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ЛаврентьеваСВ\Desktop\СУЭК-Кузбасс\На 2026\"/>
    </mc:Choice>
  </mc:AlternateContent>
  <bookViews>
    <workbookView xWindow="0" yWindow="0" windowWidth="28800" windowHeight="12135" tabRatio="858" firstSheet="19" activeTab="24"/>
  </bookViews>
  <sheets>
    <sheet name="Инструкция" sheetId="1" r:id="rId1"/>
    <sheet name="Список листов" sheetId="2" r:id="rId2"/>
    <sheet name="Информация JSON" sheetId="3" state="hidden" r:id="rId3"/>
    <sheet name="Общие сведения" sheetId="4" r:id="rId4"/>
    <sheet name="Список территорий" sheetId="5" r:id="rId5"/>
    <sheet name="Список объектов" sheetId="6" r:id="rId6"/>
    <sheet name="Расчет УЕ" sheetId="7" r:id="rId7"/>
    <sheet name="Сценарии" sheetId="8" r:id="rId8"/>
    <sheet name="Сценарии (МСА)" sheetId="9" state="hidden" r:id="rId9"/>
    <sheet name="Баланс ТН" sheetId="10" r:id="rId10"/>
    <sheet name="Топливо 4.4" sheetId="11" r:id="rId11"/>
    <sheet name="ЭнергоРесурсы" sheetId="12" r:id="rId12"/>
    <sheet name="ХВС, ТН" sheetId="13" r:id="rId13"/>
    <sheet name="Амортизация" sheetId="14" r:id="rId14"/>
    <sheet name="Аренда" sheetId="15" r:id="rId15"/>
    <sheet name="Покупка услуг" sheetId="16" r:id="rId16"/>
    <sheet name="ФОТ" sheetId="17" state="hidden" r:id="rId17"/>
    <sheet name="Налоги" sheetId="18" r:id="rId18"/>
    <sheet name="Операционные (5.1)" sheetId="19" r:id="rId19"/>
    <sheet name="Операционные (5.2)" sheetId="20" r:id="rId20"/>
    <sheet name="Неподконтрольные (5.3)" sheetId="21" r:id="rId21"/>
    <sheet name="Ресурсы (5.4)" sheetId="22" r:id="rId22"/>
    <sheet name="Корр Факт" sheetId="23" r:id="rId23"/>
    <sheet name="Корр ИП" sheetId="24" state="hidden" r:id="rId24"/>
    <sheet name="Калькуляция (5.9)" sheetId="25" r:id="rId25"/>
    <sheet name="Калькуляция (6.6)" sheetId="26" state="hidden" r:id="rId26"/>
    <sheet name="Удельные расходы (МСА)" sheetId="27" state="hidden" r:id="rId27"/>
    <sheet name="Базовый уровень (МСА)" sheetId="28" state="hidden" r:id="rId28"/>
    <sheet name="Калькуляция (МСА)" sheetId="29" state="hidden" r:id="rId29"/>
    <sheet name="ТМ" sheetId="30" r:id="rId30"/>
    <sheet name="ДПР" sheetId="31" r:id="rId31"/>
    <sheet name="Комментарии" sheetId="32" r:id="rId32"/>
    <sheet name="TEHSHEET" sheetId="33" state="hidden" r:id="rId33"/>
    <sheet name="REESTR_OBJECT" sheetId="34" state="hidden" r:id="rId34"/>
    <sheet name="REESTR_MO" sheetId="35" state="hidden" r:id="rId35"/>
    <sheet name="REESTR_ORG" sheetId="36" state="hidden" r:id="rId36"/>
    <sheet name="DICTIONARIES" sheetId="37" state="hidden" r:id="rId37"/>
    <sheet name="REESTR_DOP" sheetId="38" state="hidden" r:id="rId38"/>
  </sheets>
  <definedNames>
    <definedName name="_xlnm._FilterDatabase" localSheetId="10">'Топливо 4.4'!$T$1:$AE$250</definedName>
    <definedName name="Amortization_LOAD_1">Амортизация!$AE$25:$BB$225</definedName>
    <definedName name="Amortization_LOAD_2">Амортизация!$BC$24:$BC$225</definedName>
    <definedName name="Amortization_pIns_comm">Амортизация!$AB$230</definedName>
    <definedName name="AUTHORIZED_PERSON_EMAIL">'Общие сведения'!$AE$207</definedName>
    <definedName name="AUTHORIZED_PERSON_FIO">'Общие сведения'!$AE$204</definedName>
    <definedName name="AUTHORIZED_PERSON_PHONE">'Общие сведения'!$AE$206</definedName>
    <definedName name="AUTHORIZED_PERSON_POSITION">'Общие сведения'!$AE$205</definedName>
    <definedName name="BalanceTN_check_range1">'Баланс ТН'!$AE$26:$BB$100</definedName>
    <definedName name="BalanceTN_LOAD_VOTR">'Баланс ТН'!$AE$100:$BB$100</definedName>
    <definedName name="BalanceTN_LOAD_VOTR_COM">'Баланс ТН'!$BC$100:$BC$100</definedName>
    <definedName name="BalanceTN_LOAD_VS">'Баланс ТН'!$AE$26:$BB$63</definedName>
    <definedName name="BalanceTN_LOAD_VS_COM">'Баланс ТН'!$BC$25:$BC$63</definedName>
    <definedName name="BalanceTN_pIns_comm">'Баланс ТН'!$AB$105</definedName>
    <definedName name="BaseLevelMSA_LOAD_1">'Базовый уровень (МСА)'!$AE$25:$AF$75</definedName>
    <definedName name="BaseLevelMSA_LOAD_2">'Базовый уровень (МСА)'!$AG$24:$AI$75</definedName>
    <definedName name="BaseLevelMSA_pIns_comm">'Базовый уровень (МСА)'!$AC$80</definedName>
    <definedName name="Calculation59_LOAD_1">'Калькуляция (5.9)'!$AE$25:$BC$115</definedName>
    <definedName name="Calculation59_LOAD_2">'Калькуляция (5.9)'!$BN$24:$BP$115</definedName>
    <definedName name="Calculation59_pIns_comm">'Калькуляция (5.9)'!$AB$120</definedName>
    <definedName name="Calculation66_LOAD_1">'Калькуляция (6.6)'!$AE$25:$AK$103</definedName>
    <definedName name="Calculation66_LOAD_2">'Калькуляция (6.6)'!$AM$24:$AO$103</definedName>
    <definedName name="Calculation66_pIns_comm">'Калькуляция (6.6)'!$AB$108</definedName>
    <definedName name="CalculationMSA_LOAD_1">'Калькуляция (МСА)'!$AE$25:$AX$81</definedName>
    <definedName name="CalculationMSA_LOAD_2">'Калькуляция (МСА)'!$AY$24:$BA$81</definedName>
    <definedName name="CalculationMSA_pIns_comm">'Калькуляция (МСА)'!$AB$86</definedName>
    <definedName name="code">Инструкция!$B$2</definedName>
    <definedName name="COLDVSNA_TRANSP_VTOV">TEHSHEET!$V$2:$V$4</definedName>
    <definedName name="COLDVSNA_VTARIFF">TEHSHEET!$W$2:$W$3</definedName>
    <definedName name="COLDVSNA_VTOV">TEHSHEET!$V$2:$V$3</definedName>
    <definedName name="CorrectionOnlyForRegPeriod">'Общие сведения'!$AE$216</definedName>
    <definedName name="DOCUMENT_TYPES">TEHSHEET!$K$46:$K$52</definedName>
    <definedName name="DPR_ee_divide">ДПР!$AJ$24</definedName>
    <definedName name="dpr_list">DICTIONARIES!$C$2</definedName>
    <definedName name="DPR_LOAD_1">ДПР!$AC$29:$AJ$131</definedName>
    <definedName name="DPR_pIns_comm">ДПР!$AB$135</definedName>
    <definedName name="EnergyResources_LOAD_1">ЭнергоРесурсы!$AE$25:$BB$109</definedName>
    <definedName name="EnergyResources_LOAD_2">ЭнергоРесурсы!$BC$24:$BC$109</definedName>
    <definedName name="EnergyResources_pIns_comm">ЭнергоРесурсы!$AC$114</definedName>
    <definedName name="FIRST_TIME_REG">'Общие сведения'!$AE$165</definedName>
    <definedName name="first_year">'Общие сведения'!$AE$25</definedName>
    <definedName name="flag_end_Amortization">Амортизация!$BD$231</definedName>
    <definedName name="flag_end_BalanceTn">'Баланс ТН'!$BD$106</definedName>
    <definedName name="flag_end_BaseLevelMSA">'Базовый уровень (МСА)'!$AJ$81</definedName>
    <definedName name="flag_end_Calculation59">'Калькуляция (5.9)'!$BQ$121</definedName>
    <definedName name="flag_end_Calculation66">'Калькуляция (6.6)'!$AP$109</definedName>
    <definedName name="flag_end_CalculationMSA">'Калькуляция (МСА)'!$BB$87</definedName>
    <definedName name="flag_end_Comments">Комментарии!$AC$36</definedName>
    <definedName name="flag_end_CorrFact">'Корр Факт'!$AV$122</definedName>
    <definedName name="flag_end_DPR">ДПР!$AK$136</definedName>
    <definedName name="flag_end_EnergyResources">ЭнергоРесурсы!$BD$115</definedName>
    <definedName name="flag_end_Fuel">'Топливо 4.4'!$CU$250</definedName>
    <definedName name="flag_end_GeneralInfo">'Общие сведения'!$AF$217</definedName>
    <definedName name="flag_end_HVSTN">'ХВС, ТН'!$BD$62</definedName>
    <definedName name="flag_end_ObjectList">'Список объектов'!$AI$35</definedName>
    <definedName name="flag_end_Operating51">'Операционные (5.1)'!$AP$81</definedName>
    <definedName name="flag_end_Operating52">'Операционные (5.2)'!$BQ$51</definedName>
    <definedName name="flag_end_Rent">Аренда!$BD$57</definedName>
    <definedName name="flag_end_Resources">'Ресурсы (5.4)'!$BQ$53</definedName>
    <definedName name="flag_end_Scenarios">Сценарии!$AY$82</definedName>
    <definedName name="flag_end_ScenariosMSA">'Сценарии (МСА)'!$AZ$42</definedName>
    <definedName name="flag_end_ServicePurchase">'Покупка услуг'!$BD$71</definedName>
    <definedName name="flag_end_SheetList">'Список листов'!$AE$52</definedName>
    <definedName name="flag_end_Taxes">Налоги!$BD$61</definedName>
    <definedName name="flag_end_TerritoryList">'Список территорий'!$AH$33</definedName>
    <definedName name="flag_end_TM">ТМ!$FX$124</definedName>
    <definedName name="flag_end_UECalculation">'Расчет УЕ'!$BA$67</definedName>
    <definedName name="flag_end_Uncontrolled">'Неподконтрольные (5.3)'!$BQ$71</definedName>
    <definedName name="flag_end_UnitCostsMSA">'Удельные расходы (МСА)'!$AJ$61</definedName>
    <definedName name="flag_end_WageFund">ФОТ!$AL$83</definedName>
    <definedName name="flag_size_Amortization">Амортизация!$E$5</definedName>
    <definedName name="flag_size_BalanceTn">'Баланс ТН'!$E$5</definedName>
    <definedName name="flag_size_BaseLevelMSA">'Базовый уровень (МСА)'!$E$5</definedName>
    <definedName name="flag_size_Calculation59">'Калькуляция (5.9)'!$E$5</definedName>
    <definedName name="flag_size_Calculation66">'Калькуляция (6.6)'!$E$5</definedName>
    <definedName name="flag_size_CalculationMSA">'Калькуляция (МСА)'!$E$5</definedName>
    <definedName name="flag_size_Comments">Комментарии!$E$5</definedName>
    <definedName name="flag_size_CorrFact">'Корр Факт'!$E$5</definedName>
    <definedName name="flag_size_CorrIP">'Корр ИП'!$E$5</definedName>
    <definedName name="flag_size_DPR">ДПР!$E$5</definedName>
    <definedName name="flag_size_EnergyResources">ЭнергоРесурсы!$E$5</definedName>
    <definedName name="flag_size_Fuel">'Топливо 4.4'!$E$5</definedName>
    <definedName name="flag_size_GeneralInfo">'Общие сведения'!$E$5</definedName>
    <definedName name="flag_size_HVSTN">'ХВС, ТН'!$E$5</definedName>
    <definedName name="flag_size_ObjectList">'Список объектов'!$E$5</definedName>
    <definedName name="flag_size_Operating51">'Операционные (5.1)'!$E$5</definedName>
    <definedName name="flag_size_Operating52">'Операционные (5.2)'!$E$5</definedName>
    <definedName name="flag_size_Rent">Аренда!$E$5</definedName>
    <definedName name="flag_size_Resources">'Ресурсы (5.4)'!$E$5</definedName>
    <definedName name="flag_size_Scenarios">Сценарии!$E$5</definedName>
    <definedName name="flag_size_ScenariosMSA">'Сценарии (МСА)'!$E$5</definedName>
    <definedName name="flag_size_ServicePurchase">'Покупка услуг'!$E$5</definedName>
    <definedName name="flag_size_SheetList">'Список листов'!$E$5</definedName>
    <definedName name="flag_size_Taxes">Налоги!$E$5</definedName>
    <definedName name="flag_size_TerritoryList">'Список территорий'!$E$5</definedName>
    <definedName name="flag_size_TM">ТМ!$E$5</definedName>
    <definedName name="flag_size_UECalculation">'Расчет УЕ'!$E$5</definedName>
    <definedName name="flag_size_Uncontrolled">'Неподконтрольные (5.3)'!$E$5</definedName>
    <definedName name="flag_size_UnitCostsMSA">'Удельные расходы (МСА)'!$E$5</definedName>
    <definedName name="flag_size_WageFund">ФОТ!$E$5</definedName>
    <definedName name="flag_start_Amortization">Амортизация!$AA$21</definedName>
    <definedName name="flag_start_BalanceTn">'Баланс ТН'!$AA$21</definedName>
    <definedName name="flag_start_BaseLevelMSA">'Базовый уровень (МСА)'!$AA$21</definedName>
    <definedName name="flag_start_Calculation59">'Калькуляция (5.9)'!$AA$21</definedName>
    <definedName name="flag_start_Calculation66">'Калькуляция (6.6)'!$AA$21</definedName>
    <definedName name="flag_start_CalculationMSA">'Калькуляция (МСА)'!$AA$21</definedName>
    <definedName name="flag_start_Comments">Комментарии!$AA$21</definedName>
    <definedName name="flag_start_CorrFact">'Корр Факт'!$AA$21</definedName>
    <definedName name="flag_start_CorrIP">'Корр ИП'!$AA$21</definedName>
    <definedName name="flag_start_DPR">ДПР!$AA$21</definedName>
    <definedName name="flag_start_EnergyResources">ЭнергоРесурсы!$AA$21</definedName>
    <definedName name="flag_start_Fuel">'Топливо 4.4'!$AA$21</definedName>
    <definedName name="flag_start_GeneralInfo">'Общие сведения'!$AA$21</definedName>
    <definedName name="flag_start_HVSTN">'ХВС, ТН'!$AA$21</definedName>
    <definedName name="flag_start_ObjectList">'Список объектов'!$AA$21</definedName>
    <definedName name="flag_start_Operating51">'Операционные (5.1)'!$AA$21</definedName>
    <definedName name="flag_start_Operating52">'Операционные (5.2)'!$AA$21</definedName>
    <definedName name="flag_start_Rent">Аренда!$AA$21</definedName>
    <definedName name="flag_start_Resources">'Ресурсы (5.4)'!$AA$21</definedName>
    <definedName name="flag_start_Scenarios">Сценарии!$AA$21</definedName>
    <definedName name="flag_start_ScenariosMSA">'Сценарии (МСА)'!$AA$21</definedName>
    <definedName name="flag_start_ServicePurchase">'Покупка услуг'!$AA$21</definedName>
    <definedName name="flag_start_SheetList">'Список листов'!$AA$21</definedName>
    <definedName name="flag_start_Taxes">Налоги!$AA$21</definedName>
    <definedName name="flag_start_TerritoryList">'Список территорий'!$AA$21</definedName>
    <definedName name="flag_start_TM">ТМ!$AA$21</definedName>
    <definedName name="flag_start_UECalculation">'Расчет УЕ'!$AA$21</definedName>
    <definedName name="flag_start_Uncontrolled">'Неподконтрольные (5.3)'!$AA$21</definedName>
    <definedName name="flag_start_UnitCostsMSA">'Удельные расходы (МСА)'!$AA$21</definedName>
    <definedName name="flag_start_WageFund">ФОТ!$AA$21</definedName>
    <definedName name="flag_vis_Amortization">Амортизация!$B$2</definedName>
    <definedName name="flag_vis_BalanceTn">'Баланс ТН'!$B$2</definedName>
    <definedName name="flag_vis_BaseLevelMSA">'Базовый уровень (МСА)'!$B$2</definedName>
    <definedName name="flag_vis_Calculation59">'Калькуляция (5.9)'!$B$2</definedName>
    <definedName name="flag_vis_Calculation66">'Калькуляция (6.6)'!$B$2</definedName>
    <definedName name="flag_vis_CalculationMSA">'Калькуляция (МСА)'!$B$2</definedName>
    <definedName name="flag_vis_Comments">Комментарии!$B$2</definedName>
    <definedName name="flag_vis_CorrFact">'Корр Факт'!$B$2</definedName>
    <definedName name="flag_vis_CorrIP">'Корр ИП'!$B$2</definedName>
    <definedName name="flag_vis_DPR">ДПР!$B$2</definedName>
    <definedName name="flag_vis_EnergyResources">ЭнергоРесурсы!$B$2</definedName>
    <definedName name="flag_vis_Fuel">'Топливо 4.4'!$B$2</definedName>
    <definedName name="flag_vis_GeneralInfo">'Общие сведения'!$B$2</definedName>
    <definedName name="flag_vis_HVSTN">'ХВС, ТН'!$B$2</definedName>
    <definedName name="flag_vis_ObjectList">'Список объектов'!$B$2</definedName>
    <definedName name="flag_vis_Operating51">'Операционные (5.1)'!$B$2</definedName>
    <definedName name="flag_vis_Operating52">'Операционные (5.2)'!$B$2</definedName>
    <definedName name="flag_vis_Rent">Аренда!$B$2</definedName>
    <definedName name="flag_vis_Resources">'Ресурсы (5.4)'!$B$2</definedName>
    <definedName name="flag_vis_Scenarios">Сценарии!$B$2</definedName>
    <definedName name="flag_vis_ScenariosMSA">'Сценарии (МСА)'!$B$2</definedName>
    <definedName name="flag_vis_ServicePurchase">'Покупка услуг'!$B$2</definedName>
    <definedName name="flag_vis_SheetList">'Список листов'!$B$2</definedName>
    <definedName name="flag_vis_Taxes">Налоги!$B$2</definedName>
    <definedName name="flag_vis_TerritoryList">'Список территорий'!$B$2</definedName>
    <definedName name="flag_vis_TM">ТМ!$B$2</definedName>
    <definedName name="flag_vis_UECalculation">'Расчет УЕ'!$B$2</definedName>
    <definedName name="flag_vis_Uncontrolled">'Неподконтрольные (5.3)'!$B$2</definedName>
    <definedName name="flag_vis_UnitCostsMSA">'Удельные расходы (МСА)'!$B$2</definedName>
    <definedName name="flag_vis_WageFund">ФОТ!$B$2</definedName>
    <definedName name="fuel_ed_izm_list">TEHSHEET!$AC$2:$AC$57</definedName>
    <definedName name="fuel_list">TEHSHEET!$AB$2:$AB$57</definedName>
    <definedName name="GeneralInfo_check_area">'Общие сведения'!$AE$22:$AE$215</definedName>
    <definedName name="GeneralInfo_del_tariff_range">'Общие сведения'!$AF$169:$AF$202</definedName>
    <definedName name="GeneralInfo_LOAD_1">'Общие сведения'!$AE$44:$AE$213</definedName>
    <definedName name="GeneralInfo_pIns1">'Общие сведения'!$AE$63</definedName>
    <definedName name="GeneralInfo_pIns2">'Общие сведения'!$AE$71</definedName>
    <definedName name="GeneralInfo_pIns3">'Общие сведения'!$AE$83</definedName>
    <definedName name="GeneralInfo_pIns4">'Общие сведения'!$AE$95</definedName>
    <definedName name="GeneralInfo_pIns5">'Общие сведения'!$AE$109</definedName>
    <definedName name="GeneralInfo_pIns6">'Общие сведения'!$AE$123</definedName>
    <definedName name="GeneralInfo_pIns7">'Общие сведения'!$AE$137</definedName>
    <definedName name="GeneralInfo_tariff_start">'Общие сведения'!$Z$168</definedName>
    <definedName name="god">'Общие сведения'!$AE$24</definedName>
    <definedName name="HAS_DOC3">'Общие сведения'!$AE$64</definedName>
    <definedName name="HAS_DOC3_block">'Общие сведения'!$AE$73:$AE$83</definedName>
    <definedName name="HAS_DOC4">'Общие сведения'!$AE$84</definedName>
    <definedName name="HAS_DOC4_block">'Общие сведения'!$AE$85:$AE$95</definedName>
    <definedName name="HAS_DOC5">'Общие сведения'!$AE$96</definedName>
    <definedName name="HAS_DOC5_block">'Общие сведения'!$AE$97:$AE$109</definedName>
    <definedName name="HAS_DOC6">'Общие сведения'!$AE$110</definedName>
    <definedName name="HAS_DOC6_block">'Общие сведения'!$AE$111:$AE$123</definedName>
    <definedName name="HAS_DOC7">'Общие сведения'!$AE$124</definedName>
    <definedName name="HAS_DOC7_block">'Общие сведения'!$AE$125:$AE$137</definedName>
    <definedName name="hasTranspVO">'Общие сведения'!$AG$163</definedName>
    <definedName name="hasTranspVS">'Общие сведения'!$AF$163</definedName>
    <definedName name="hasVO">'Общие сведения'!$AE$163</definedName>
    <definedName name="hasVS">'Общие сведения'!$AD$163</definedName>
    <definedName name="HVSTN_LOAD_1">'ХВС, ТН'!$AE$25:$BB$39</definedName>
    <definedName name="HVSTN_LOAD_2">'ХВС, ТН'!$BC$24:$BC$39</definedName>
    <definedName name="HVSTN_pIns_comm">'ХВС, ТН'!$AB$61</definedName>
    <definedName name="inn">'Общие сведения'!$AE$42</definedName>
    <definedName name="InsB_GeneralInfo_tariff">'Общие сведения'!$AD$202</definedName>
    <definedName name="json_comms_Amortization">Амортизация!$AB$228:$BC$230</definedName>
    <definedName name="json_comms_BalanceTn">'Баланс ТН'!$AB$103:$BC$105</definedName>
    <definedName name="json_comms_BaseLevelMSA">'Базовый уровень (МСА)'!$AB$78:$AI$80</definedName>
    <definedName name="json_comms_Calculation59">'Калькуляция (5.9)'!$AB$118:$BP$120</definedName>
    <definedName name="json_comms_Calculation66">'Калькуляция (6.6)'!$AB$106:$AO$108</definedName>
    <definedName name="json_comms_CalculationMSA">'Калькуляция (МСА)'!$AB$84:$BA$86</definedName>
    <definedName name="json_comms_Comments">Комментарии!$AB$24:$AB$35</definedName>
    <definedName name="json_comms_DPR">ДПР!$AB$133:$AJ$135</definedName>
    <definedName name="json_comms_EnergyResources">ЭнергоРесурсы!$AB$112:$BC$114</definedName>
    <definedName name="json_comms_HVSTN">'ХВС, ТН'!$AB$59:$BC$61</definedName>
    <definedName name="json_comms_Operating51">'Операционные (5.1)'!$AB$78:$AO$80</definedName>
    <definedName name="json_comms_Operating52">'Операционные (5.2)'!$AB$48:$BP$50</definedName>
    <definedName name="json_comms_Rent">Аренда!$AB$54:$BC$56</definedName>
    <definedName name="json_comms_Resources">'Ресурсы (5.4)'!$AB$50:$BP$52</definedName>
    <definedName name="json_comms_ServicePurchase">'Покупка услуг'!$AB$68:$BC$70</definedName>
    <definedName name="json_comms_Taxes">Налоги!$AB$58:$BC$60</definedName>
    <definedName name="json_comms_TM">ТМ!$AB$121:$BG$123</definedName>
    <definedName name="json_comms_Uncontrolled">'Неподконтрольные (5.3)'!$AB$68:$BP$70</definedName>
    <definedName name="json_comms_UnitCostsMSA">'Удельные расходы (МСА)'!$AB$58:$AI$60</definedName>
    <definedName name="json_comms_WageFund">ФОТ!$AB$80:$AK$82</definedName>
    <definedName name="json_preload_Amortization">Амортизация!$AE$28:$BC$225</definedName>
    <definedName name="json_preload_BalanceTN">'Баланс ТН'!$AE$29:$BC$100</definedName>
    <definedName name="json_preload_BaseLevelMSA">'Базовый уровень (МСА)'!$AE$29:$AI$75</definedName>
    <definedName name="json_preload_Calculation59">'Калькуляция (5.9)'!$AE$28:$BP$115</definedName>
    <definedName name="json_preload_Calculation66">'Калькуляция (6.6)'!$AE$28:$AO$103</definedName>
    <definedName name="json_preload_CalculationMSA">'Калькуляция (МСА)'!$AE$28:$BA$81</definedName>
    <definedName name="json_preload_CorrFact">'Корр Факт'!$AF$29:$AT$122</definedName>
    <definedName name="json_preload_DPR">ДПР!$AC$30:$AJ$131</definedName>
    <definedName name="json_preload_EnergyResources">ЭнергоРесурсы!$AE$28:$BC$109</definedName>
    <definedName name="json_preload_Fuel">'Топливо 4.4'!$AH$29:$CT$250</definedName>
    <definedName name="json_preload_HVSTN">'ХВС, ТН'!$AE$28:$BC$56</definedName>
    <definedName name="json_preload_ObjectList">'Список объектов'!$AH$28:$AH$35</definedName>
    <definedName name="json_preload_Operating51">'Операционные (5.1)'!$AE$28:$AO$75</definedName>
    <definedName name="json_preload_Operating52">'Операционные (5.2)'!$AI$28:$BP$45</definedName>
    <definedName name="json_preload_Rent">Аренда!$AE$28:$BC$51</definedName>
    <definedName name="json_preload_Resources">'Ресурсы (5.4)'!$AE$28:$BP$47</definedName>
    <definedName name="json_preload_Scenarios">Сценарии!$AE$30:$AX$82</definedName>
    <definedName name="json_preload_ScenariosMSA">'Сценарии (МСА)'!$AF$30:$AY$42</definedName>
    <definedName name="json_preload_ServicePurchase">'Покупка услуг'!$AE$28:$BC$65</definedName>
    <definedName name="json_preload_Taxes">Налоги!$AE$28:$BC$55</definedName>
    <definedName name="json_preload_TerritoryList">'Список территорий'!$AF$27:$AG$33</definedName>
    <definedName name="json_preload_TM">ТМ!$AD$33:$FW$118</definedName>
    <definedName name="json_preload_UECalculation">'Расчет УЕ'!$AE$28:$AZ$67</definedName>
    <definedName name="json_preload_Uncontrolled">'Неподконтрольные (5.3)'!$AE$28:$BP$65</definedName>
    <definedName name="json_preload_UnitCostsMSA">'Удельные расходы (МСА)'!$AE$28:$AI$55</definedName>
    <definedName name="json_preload_WageFund">ФОТ!$AE$28:$AK$77</definedName>
    <definedName name="kpp">'Общие сведения'!$AE$43</definedName>
    <definedName name="last_year">'Общие сведения'!$AF$25</definedName>
    <definedName name="last_year_vis">'Общие сведения'!$AG$25</definedName>
    <definedName name="method_list">TEHSHEET!$K$2:$K$5</definedName>
    <definedName name="method_reg">'Общие сведения'!$AE$23</definedName>
    <definedName name="MO_END_DATE">TEHSHEET!$M$20</definedName>
    <definedName name="MO_LIST_1">REESTR_MO!$B$2</definedName>
    <definedName name="MO_LIST_10">REESTR_MO!$B$84:$B$99</definedName>
    <definedName name="MO_LIST_11">REESTR_MO!$B$100:$B$123</definedName>
    <definedName name="MO_LIST_12">REESTR_MO!$B$124:$B$134</definedName>
    <definedName name="MO_LIST_13">REESTR_MO!$B$135:$B$150</definedName>
    <definedName name="MO_LIST_14">REESTR_MO!$B$151:$B$159</definedName>
    <definedName name="MO_LIST_15">REESTR_MO!$B$160:$B$181</definedName>
    <definedName name="MO_LIST_16">REESTR_MO!$B$182:$B$198</definedName>
    <definedName name="MO_LIST_17">REESTR_MO!$B$199:$B$214</definedName>
    <definedName name="MO_LIST_18">REESTR_MO!$B$215</definedName>
    <definedName name="MO_LIST_19">REESTR_MO!$B$216:$B$234</definedName>
    <definedName name="MO_LIST_2">REESTR_MO!$B$3:$B$27</definedName>
    <definedName name="MO_LIST_20">REESTR_MO!$B$235:$B$253</definedName>
    <definedName name="MO_LIST_21">REESTR_MO!$B$254:$B$267</definedName>
    <definedName name="MO_LIST_22">REESTR_MO!$B$268:$B$280</definedName>
    <definedName name="MO_LIST_23">REESTR_MO!$B$281</definedName>
    <definedName name="MO_LIST_24">REESTR_MO!$B$282:$B$298</definedName>
    <definedName name="MO_LIST_25">REESTR_MO!$B$299</definedName>
    <definedName name="MO_LIST_26">REESTR_MO!$B$300</definedName>
    <definedName name="MO_LIST_27">REESTR_MO!$B$301:$B$318</definedName>
    <definedName name="MO_LIST_28">REESTR_MO!$B$319</definedName>
    <definedName name="MO_LIST_3">REESTR_MO!$B$28:$B$38</definedName>
    <definedName name="MO_LIST_4">REESTR_MO!$B$39</definedName>
    <definedName name="MO_LIST_5">REESTR_MO!$B$40:$B$52</definedName>
    <definedName name="MO_LIST_6">REESTR_MO!$B$53:$B$67</definedName>
    <definedName name="MO_LIST_7">REESTR_MO!$B$68</definedName>
    <definedName name="MO_LIST_8">REESTR_MO!$B$69:$B$82</definedName>
    <definedName name="MO_LIST_9">REESTR_MO!$B$83</definedName>
    <definedName name="MO_START_DATE">TEHSHEET!$M$19</definedName>
    <definedName name="MONTH_LIST">TEHSHEET!$R$2:$R$13</definedName>
    <definedName name="MR_LIST">REESTR_MO!$D$2:$D$29</definedName>
    <definedName name="MR_MO_LIST">REESTR_MO!$A$1:$C$319</definedName>
    <definedName name="nalog_system_list">TEHSHEET!$K$8:$K$9</definedName>
    <definedName name="NDS">TEHSHEET!$M$5</definedName>
    <definedName name="NONPRIVATE_OWNERSHIP_TYPE">TEHSHEET!$G$13:$G$15</definedName>
    <definedName name="ObjectList_LOAD_1">'Список объектов'!$AE$26:$AH$26</definedName>
    <definedName name="ObjectList_LOAD_3">'Список объектов'!$AC$28:$AH$29</definedName>
    <definedName name="ObjectList_object_range">'Список объектов'!$AC$28:$AC$29</definedName>
    <definedName name="ObjectList_osn_ekpl_range">'Список объектов'!$AD$28:$AD$29</definedName>
    <definedName name="OGRN">'Общие сведения'!$AE$41</definedName>
    <definedName name="OIV_LIST">TEHSHEET!$A$90:$B$175</definedName>
    <definedName name="okopf">'Общие сведения'!$AE$45</definedName>
    <definedName name="okopf_list">DICTIONARIES!$A$2:$A$97</definedName>
    <definedName name="okpo">'Общие сведения'!$AE$44</definedName>
    <definedName name="Operating51_LOAD_1">'Операционные (5.1)'!$AE$25:$AK$75</definedName>
    <definedName name="Operating51_LOAD_2">'Операционные (5.1)'!$AM$24:$AO$75</definedName>
    <definedName name="Operating51_pIns_comm">'Операционные (5.1)'!$AB$80</definedName>
    <definedName name="Operating52_LOAD_1">'Операционные (5.2)'!$AE$25:$BC$45</definedName>
    <definedName name="Operating52_LOAD_2">'Операционные (5.2)'!$BN$24:$BP$45</definedName>
    <definedName name="Operating52_pIns_comm">'Операционные (5.2)'!$AB$50</definedName>
    <definedName name="org">'Общие сведения'!$AB$33</definedName>
    <definedName name="org_declaration">'Общие сведения'!$AB$169</definedName>
    <definedName name="ORG_DIRECTOR_POSITION">'Общие сведения'!$AE$51</definedName>
    <definedName name="ORG_EMAIL">'Общие сведения'!$AE$49</definedName>
    <definedName name="ORG_END_DATE">TEHSHEET!$M$12</definedName>
    <definedName name="ORG_EXECUTOR_EMAIL">'Общие сведения'!$AE$144</definedName>
    <definedName name="ORG_EXECUTOR_FIO">'Общие сведения'!$AE$141</definedName>
    <definedName name="ORG_EXECUTOR_PHONE">'Общие сведения'!$AE$143</definedName>
    <definedName name="ORG_EXECUTOR_POSITION">'Общие сведения'!$AE$142</definedName>
    <definedName name="ORG_FIO_DIRECTOR">'Общие сведения'!$AE$50</definedName>
    <definedName name="ORG_FULL_NAME">'Общие сведения'!$AE$38</definedName>
    <definedName name="ORG_LEGAL_ADDRESS">'Общие сведения'!$AE$46</definedName>
    <definedName name="ORG_MAIL_ADDRESS">'Общие сведения'!$AE$47</definedName>
    <definedName name="ORG_PHONE">'Общие сведения'!$AE$48</definedName>
    <definedName name="ORG_SHORT_NAME">'Общие сведения'!$AE$39</definedName>
    <definedName name="ORG_SITE">'Общие сведения'!$AE$52</definedName>
    <definedName name="ORG_START_DATE">TEHSHEET!$M$11</definedName>
    <definedName name="osn_expl_list">TEHSHEET!$X$2:$X$14</definedName>
    <definedName name="OWNERSHIP_TYPE">TEHSHEET!$G$13:$G$16</definedName>
    <definedName name="OWNERSHIP_TYPE_VALUE">'Общие сведения'!$AE$55</definedName>
    <definedName name="OwnNeedsInPO">'Общие сведения'!$AE$139</definedName>
    <definedName name="PERIOD">TEHSHEET!$M$8</definedName>
    <definedName name="PERIOD_LENGTH">'Общие сведения'!$AE$26</definedName>
    <definedName name="period_list">TEHSHEET!$S$2:$S$49</definedName>
    <definedName name="pIns_Amortization_tariff">Амортизация!$AB$225</definedName>
    <definedName name="pIns_BalanceTN_tariff_vo_transp">'Баланс ТН'!$AB$100</definedName>
    <definedName name="pIns_BaseLevelMSA_tariff">'Базовый уровень (МСА)'!$AB$75</definedName>
    <definedName name="pIns_Calculation59_tariff">'Калькуляция (5.9)'!$AB$115</definedName>
    <definedName name="pIns_Calculation66_tariff">'Калькуляция (6.6)'!$AB$103</definedName>
    <definedName name="pIns_CalculationMSA_tariff">'Калькуляция (МСА)'!$AB$81</definedName>
    <definedName name="pins_DPR_tariff">ДПР!$AB$131</definedName>
    <definedName name="pIns_EnergyResources_voltage">ЭнергоРесурсы!$AC:$AC</definedName>
    <definedName name="pIns_HVSTN_postav">'ХВС, ТН'!$AC:$AC</definedName>
    <definedName name="pIns_ObjectList_obj">'Список объектов'!$AC$29</definedName>
    <definedName name="pIns_Operating51_tariff">'Операционные (5.1)'!$AB$75</definedName>
    <definedName name="pIns_Operating52_tariff">'Операционные (5.2)'!$AB$45</definedName>
    <definedName name="pIns_Rent_tariff">Аренда!$AB$51</definedName>
    <definedName name="pIns_Resources_tariff">'Ресурсы (5.4)'!$AB$47</definedName>
    <definedName name="pIns_Scenarios_tariff">Сценарии!$AC$82</definedName>
    <definedName name="pIns_ScenariosMSA_tariff">'Сценарии (МСА)'!$AC$42</definedName>
    <definedName name="pIns_ServicePurchase_postav">'Покупка услуг'!$AC:$AC</definedName>
    <definedName name="pIns_ServicePurchase_tariff">'Покупка услуг'!$AB$65</definedName>
    <definedName name="pIns_Taxes_nalog">Налоги!$AC:$AC</definedName>
    <definedName name="pIns_Taxes_tariff">Налоги!$AB$55</definedName>
    <definedName name="pIns_TerritoryList_tariff">'Список территорий'!$AB$33</definedName>
    <definedName name="pIns_TM_tariff">ТМ!$AB$118</definedName>
    <definedName name="pIns_TM_tariff_transp">ТМ!$AB$119</definedName>
    <definedName name="pIns_Uncontrolled_tariff">'Неподконтрольные (5.3)'!$AB$65</definedName>
    <definedName name="pIns_UnitCostsMSA_tariff">'Удельные расходы (МСА)'!$AB$55</definedName>
    <definedName name="pIns_WageFund_dolj">ФОТ!$AC:$AC</definedName>
    <definedName name="pIns_WageFund_tariff">ФОТ!$AB$77</definedName>
    <definedName name="plat_nds">'Общие сведения'!$AE$58</definedName>
    <definedName name="REESTR_ORG_RANGE">REESTR_ORG!$A$2:$J$135</definedName>
    <definedName name="REG_YEAR_LIST">TEHSHEET!$P$2:$P$3</definedName>
    <definedName name="REGION">TEHSHEET!$A$1:$A$86</definedName>
    <definedName name="region_id">'Общие сведения'!$AF$22</definedName>
    <definedName name="region_name">'Общие сведения'!$AE$22</definedName>
    <definedName name="Rent_LOAD_1">Аренда!$AE$25:$BB$51</definedName>
    <definedName name="Rent_LOAD_2">Аренда!$BC$24:$BC$51</definedName>
    <definedName name="Rent_pIns_comm">Аренда!$AB$56</definedName>
    <definedName name="Resources_LOAD_1">'Ресурсы (5.4)'!$AE$25:$BC$47</definedName>
    <definedName name="Resources_LOAD_2">'Ресурсы (5.4)'!$BN$24:$BP$47</definedName>
    <definedName name="Resources_pIns_comm">'Ресурсы (5.4)'!$AB$52</definedName>
    <definedName name="roiv">'Общие сведения'!$AB$31</definedName>
    <definedName name="rst_org_id">'Общие сведения'!$Z$33</definedName>
    <definedName name="Scenarios_LOAD_1">Сценарии!$AG$25:$AX$83</definedName>
    <definedName name="Scenarios_LOAD_2">Сценарии!$AE$25:$AF$83</definedName>
    <definedName name="ScenariosMSA_LOAD_1">'Сценарии (МСА)'!$AH$25:$AY$43</definedName>
    <definedName name="ScenariosMSA_LOAD_2">'Сценарии (МСА)'!$AF$25:$AG$43</definedName>
    <definedName name="ServicePurchase_LOAD_1">'Покупка услуг'!$AE$25:$BB$65</definedName>
    <definedName name="ServicePurchase_LOAD_2">'Покупка услуг'!$BC$24:$BC$65</definedName>
    <definedName name="ServicePurchase_pIns_comm">'Покупка услуг'!$AB$70</definedName>
    <definedName name="sphere_list">TEHSHEET!$T$2:$T$3</definedName>
    <definedName name="STATE_SHARE">TEHSHEET!$G$7:$G$9</definedName>
    <definedName name="STATE_SHARE_EXISTENCE">'Общие сведения'!$AE$53</definedName>
    <definedName name="STATE_SHARE_VALUE">'Общие сведения'!$AE$54</definedName>
    <definedName name="STATUS_ETO">'Общие сведения'!$AE$60</definedName>
    <definedName name="STATUS_ETO_block">'Общие сведения'!$AE$61:$AE$63</definedName>
    <definedName name="subsidiary">'Общие сведения'!$AE$40</definedName>
    <definedName name="subsidiary_list">DICTIONARIES!$B$2</definedName>
    <definedName name="support_docs_list">TEHSHEET!$X$17:$X$36</definedName>
    <definedName name="TARIFF_CALC_METHOD">TEHSHEET!$K$39:$K$42</definedName>
    <definedName name="tariff_list">TEHSHEET!$K$11</definedName>
    <definedName name="tariff_type_list">TEHSHEET!$U$2:$U$3</definedName>
    <definedName name="tax_system">'Общие сведения'!$AE$57</definedName>
    <definedName name="Taxes_LOAD_1">Налоги!$AE$25:$BB$55</definedName>
    <definedName name="Taxes_LOAD_2">Налоги!$BC$24:$BC$55</definedName>
    <definedName name="Taxes_pIns_comm">Налоги!$AB$60</definedName>
    <definedName name="tech_proc">TEHSHEET!$K$31:$K$33</definedName>
    <definedName name="TemplateState">TEHSHEET!$D$2</definedName>
    <definedName name="TerritoryList_mo_column">'Список территорий'!$AD$24:$AD$33</definedName>
    <definedName name="TerritoryList_mr_column">'Список территорий'!$AC$24:$AC$33</definedName>
    <definedName name="TM_LOAD_1">ТМ!$AD$26:$EM$119</definedName>
    <definedName name="TM_pIns_comm">ТМ!$AB$123</definedName>
    <definedName name="tn_type">TEHSHEET!$K$19:$K$21</definedName>
    <definedName name="tpl_title">'Общие сведения'!$AL$33</definedName>
    <definedName name="Uncontrolled_LOAD_1">'Неподконтрольные (5.3)'!$AE$25:$BC$65</definedName>
    <definedName name="Uncontrolled_LOAD_2">'Неподконтрольные (5.3)'!$BN$24:$BP$65</definedName>
    <definedName name="Uncontrolled_pIns_comm">'Неподконтрольные (5.3)'!$AB$70</definedName>
    <definedName name="UnitCostsMSA_LOAD_1">'Удельные расходы (МСА)'!$AE$25:$AF$55</definedName>
    <definedName name="UnitCostsMSA_LOAD_2">'Удельные расходы (МСА)'!$AG$24:$AI$55</definedName>
    <definedName name="UnitCostsMSA_pIns_comm">'Удельные расходы (МСА)'!$AD$60</definedName>
    <definedName name="VALUABLE_STATE_SHARE">TEHSHEET!$G$7:$G$9</definedName>
    <definedName name="VDET_END_DATE">TEHSHEET!$M$16</definedName>
    <definedName name="vdet_list">TEHSHEET!$K$24:$K$28</definedName>
    <definedName name="VDET_START_DATE">TEHSHEET!$M$15</definedName>
    <definedName name="version">Инструкция!$B$3</definedName>
    <definedName name="VOLTAGE_LEVEL_list">TEHSHEET!$Y$2:$Y$8</definedName>
    <definedName name="VOLTAGE_LEVEL2_list">TEHSHEET!$Z$3:$Z$7</definedName>
    <definedName name="VOTV_VTARIFF">TEHSHEET!$W$6:$W$6</definedName>
    <definedName name="VOTV_VTOV">TEHSHEET!$V$6:$V$11</definedName>
    <definedName name="WageFund_LOAD_1">ФОТ!$AE$25:$AJ$77</definedName>
    <definedName name="WageFund_LOAD_2">ФОТ!$AK$24:$AK$77</definedName>
    <definedName name="YEAR_LIST">TEHSHEET!$Q$2:$Q$20</definedName>
    <definedName name="year_list2">TEHSHEET!$Q$11:$Q$20</definedName>
    <definedName name="YES_NO">TEHSHEET!$G$2:$G$3</definedName>
  </definedNames>
  <calcPr calcId="152511"/>
</workbook>
</file>

<file path=xl/calcChain.xml><?xml version="1.0" encoding="utf-8"?>
<calcChain xmlns="http://schemas.openxmlformats.org/spreadsheetml/2006/main">
  <c r="M20" i="33" l="1"/>
  <c r="M19" i="33"/>
  <c r="M16" i="33"/>
  <c r="M15" i="33"/>
  <c r="M12" i="33"/>
  <c r="M11" i="33"/>
  <c r="X34" i="32"/>
  <c r="T134" i="31"/>
  <c r="H130" i="31"/>
  <c r="AN129" i="31"/>
  <c r="AB129" i="31"/>
  <c r="H129" i="31"/>
  <c r="B129" i="31"/>
  <c r="H128" i="31"/>
  <c r="AN127" i="31"/>
  <c r="AB127" i="31"/>
  <c r="H127" i="31"/>
  <c r="B127" i="31"/>
  <c r="H126" i="31"/>
  <c r="AN125" i="31"/>
  <c r="AB125" i="31"/>
  <c r="H125" i="31"/>
  <c r="B125" i="31"/>
  <c r="H124" i="31"/>
  <c r="AN123" i="31"/>
  <c r="AB123" i="31"/>
  <c r="H123" i="31"/>
  <c r="B123" i="31"/>
  <c r="H122" i="31"/>
  <c r="AN121" i="31"/>
  <c r="AB121" i="31"/>
  <c r="H121" i="31"/>
  <c r="B121" i="31"/>
  <c r="H120" i="31"/>
  <c r="AN119" i="31"/>
  <c r="AB119" i="31"/>
  <c r="H119" i="31"/>
  <c r="B119" i="31"/>
  <c r="H118" i="31"/>
  <c r="AN117" i="31"/>
  <c r="AB117" i="31"/>
  <c r="H117" i="31"/>
  <c r="B117" i="31"/>
  <c r="H116" i="31"/>
  <c r="AN115" i="31"/>
  <c r="AB115" i="31"/>
  <c r="H115" i="31"/>
  <c r="B115" i="31"/>
  <c r="H114" i="31"/>
  <c r="AN113" i="31"/>
  <c r="AB113" i="31"/>
  <c r="H113" i="31"/>
  <c r="B113" i="31"/>
  <c r="T112" i="31"/>
  <c r="T113" i="31" s="1"/>
  <c r="T114" i="31" s="1"/>
  <c r="T115" i="31" s="1"/>
  <c r="T116" i="31" s="1"/>
  <c r="T117" i="31" s="1"/>
  <c r="T118" i="31" s="1"/>
  <c r="T119" i="31" s="1"/>
  <c r="T120" i="31" s="1"/>
  <c r="T121" i="31" s="1"/>
  <c r="T122" i="31" s="1"/>
  <c r="T123" i="31" s="1"/>
  <c r="T124" i="31" s="1"/>
  <c r="T125" i="31" s="1"/>
  <c r="T126" i="31" s="1"/>
  <c r="T127" i="31" s="1"/>
  <c r="T128" i="31" s="1"/>
  <c r="T129" i="31" s="1"/>
  <c r="T130" i="31" s="1"/>
  <c r="H112" i="31"/>
  <c r="AN111" i="31"/>
  <c r="AB111" i="31"/>
  <c r="H111" i="31"/>
  <c r="B111" i="31"/>
  <c r="H110" i="31"/>
  <c r="AN109" i="31"/>
  <c r="AB109" i="31"/>
  <c r="H109" i="31"/>
  <c r="B109" i="31"/>
  <c r="H108" i="31"/>
  <c r="AN107" i="31"/>
  <c r="AB107" i="31"/>
  <c r="H107" i="31"/>
  <c r="B107" i="31"/>
  <c r="H106" i="31"/>
  <c r="AN105" i="31"/>
  <c r="AB105" i="31"/>
  <c r="H105" i="31"/>
  <c r="B105" i="31"/>
  <c r="H104" i="31"/>
  <c r="AN103" i="31"/>
  <c r="AB103" i="31"/>
  <c r="H103" i="31"/>
  <c r="B103" i="31"/>
  <c r="T102" i="31"/>
  <c r="T103" i="31" s="1"/>
  <c r="T104" i="31" s="1"/>
  <c r="T105" i="31" s="1"/>
  <c r="T106" i="31" s="1"/>
  <c r="T107" i="31" s="1"/>
  <c r="T108" i="31" s="1"/>
  <c r="T109" i="31" s="1"/>
  <c r="T110" i="31" s="1"/>
  <c r="T111" i="31" s="1"/>
  <c r="H102" i="31"/>
  <c r="AN101" i="31"/>
  <c r="AB101" i="31"/>
  <c r="H101" i="31"/>
  <c r="B101" i="31"/>
  <c r="H100" i="31"/>
  <c r="AN99" i="31"/>
  <c r="AB99" i="31"/>
  <c r="H99" i="31"/>
  <c r="B99" i="31"/>
  <c r="H98" i="31"/>
  <c r="AN97" i="31"/>
  <c r="AB97" i="31"/>
  <c r="H97" i="31"/>
  <c r="B97" i="31"/>
  <c r="H96" i="31"/>
  <c r="AN95" i="31"/>
  <c r="AB95" i="31"/>
  <c r="H95" i="31"/>
  <c r="B95" i="31"/>
  <c r="H94" i="31"/>
  <c r="AN93" i="31"/>
  <c r="AB93" i="31"/>
  <c r="H93" i="31"/>
  <c r="B93" i="31"/>
  <c r="H92" i="31"/>
  <c r="AN91" i="31"/>
  <c r="AB91" i="31"/>
  <c r="H91" i="31"/>
  <c r="B91" i="31"/>
  <c r="AB90" i="31"/>
  <c r="H90" i="31"/>
  <c r="AN90" i="31" s="1"/>
  <c r="B90" i="31"/>
  <c r="AB89" i="31"/>
  <c r="H89" i="31"/>
  <c r="AN89" i="31" s="1"/>
  <c r="B89" i="31"/>
  <c r="AB88" i="31"/>
  <c r="H88" i="31"/>
  <c r="AN88" i="31" s="1"/>
  <c r="B88" i="31"/>
  <c r="AB87" i="31"/>
  <c r="H87" i="31"/>
  <c r="AN87" i="31" s="1"/>
  <c r="B87" i="31"/>
  <c r="AB86" i="31"/>
  <c r="H86" i="31"/>
  <c r="AN86" i="31" s="1"/>
  <c r="F86" i="31"/>
  <c r="B86" i="31"/>
  <c r="AB85" i="31"/>
  <c r="H85" i="31"/>
  <c r="AN85" i="31" s="1"/>
  <c r="B85" i="31"/>
  <c r="T84" i="31"/>
  <c r="T85" i="31" s="1"/>
  <c r="T86" i="31" s="1"/>
  <c r="T87" i="31" s="1"/>
  <c r="T88" i="31" s="1"/>
  <c r="T89" i="31" s="1"/>
  <c r="T90" i="31" s="1"/>
  <c r="T91" i="31" s="1"/>
  <c r="T92" i="31" s="1"/>
  <c r="T93" i="31" s="1"/>
  <c r="T94" i="31" s="1"/>
  <c r="T95" i="31" s="1"/>
  <c r="T96" i="31" s="1"/>
  <c r="T97" i="31" s="1"/>
  <c r="T98" i="31" s="1"/>
  <c r="T99" i="31" s="1"/>
  <c r="T100" i="31" s="1"/>
  <c r="T101" i="31" s="1"/>
  <c r="H84" i="31"/>
  <c r="H83" i="31"/>
  <c r="F83" i="31"/>
  <c r="F84" i="31" s="1"/>
  <c r="F85" i="31" s="1"/>
  <c r="AB82" i="31"/>
  <c r="H82" i="31"/>
  <c r="AN82" i="31" s="1"/>
  <c r="F82" i="31"/>
  <c r="B82" i="31"/>
  <c r="AC81" i="31"/>
  <c r="AB81" i="31"/>
  <c r="T81" i="31"/>
  <c r="T82" i="31" s="1"/>
  <c r="T83" i="31" s="1"/>
  <c r="H81" i="31"/>
  <c r="AN81" i="31" s="1"/>
  <c r="B81" i="31"/>
  <c r="T80" i="31"/>
  <c r="F80" i="31"/>
  <c r="F81" i="31" s="1"/>
  <c r="AN79" i="31"/>
  <c r="H79" i="31"/>
  <c r="AN78" i="31"/>
  <c r="AB78" i="31"/>
  <c r="H78" i="31"/>
  <c r="B78" i="31"/>
  <c r="AN77" i="31"/>
  <c r="H77" i="31"/>
  <c r="AN76" i="31"/>
  <c r="AB76" i="31"/>
  <c r="H76" i="31"/>
  <c r="B76" i="31"/>
  <c r="H75" i="31"/>
  <c r="AN74" i="31"/>
  <c r="AB74" i="31"/>
  <c r="H74" i="31"/>
  <c r="B74" i="31"/>
  <c r="H73" i="31"/>
  <c r="H72" i="31"/>
  <c r="AB71" i="31"/>
  <c r="H71" i="31"/>
  <c r="AB70" i="31"/>
  <c r="H70" i="31"/>
  <c r="AN70" i="31" s="1"/>
  <c r="B70" i="31"/>
  <c r="AN69" i="31"/>
  <c r="AB69" i="31"/>
  <c r="H69" i="31"/>
  <c r="B69" i="31"/>
  <c r="AB68" i="31"/>
  <c r="H68" i="31"/>
  <c r="AN68" i="31" s="1"/>
  <c r="B68" i="31"/>
  <c r="AN67" i="31"/>
  <c r="H67" i="31"/>
  <c r="AB67" i="31" s="1"/>
  <c r="B67" i="31"/>
  <c r="H66" i="31"/>
  <c r="B66" i="31"/>
  <c r="H65" i="31"/>
  <c r="H64" i="31"/>
  <c r="AB63" i="31"/>
  <c r="H63" i="31"/>
  <c r="AB62" i="31"/>
  <c r="H62" i="31"/>
  <c r="AN62" i="31" s="1"/>
  <c r="B62" i="31"/>
  <c r="AN61" i="31"/>
  <c r="AB61" i="31"/>
  <c r="H61" i="31"/>
  <c r="B61" i="31"/>
  <c r="AB60" i="31"/>
  <c r="H60" i="31"/>
  <c r="AN60" i="31" s="1"/>
  <c r="B60" i="31"/>
  <c r="AN59" i="31"/>
  <c r="H59" i="31"/>
  <c r="AB59" i="31" s="1"/>
  <c r="B59" i="31"/>
  <c r="H58" i="31"/>
  <c r="H57" i="31"/>
  <c r="H56" i="31"/>
  <c r="H55" i="31"/>
  <c r="AB54" i="31"/>
  <c r="H54" i="31"/>
  <c r="AN54" i="31" s="1"/>
  <c r="B54" i="31"/>
  <c r="AN53" i="31"/>
  <c r="AB53" i="31"/>
  <c r="H53" i="31"/>
  <c r="B53" i="31"/>
  <c r="AB52" i="31"/>
  <c r="H52" i="31"/>
  <c r="AN52" i="31" s="1"/>
  <c r="B52" i="31"/>
  <c r="AN51" i="31"/>
  <c r="H51" i="31"/>
  <c r="AB51" i="31" s="1"/>
  <c r="B51" i="31"/>
  <c r="H50" i="31"/>
  <c r="B50" i="31"/>
  <c r="H49" i="31"/>
  <c r="H48" i="31"/>
  <c r="H47" i="31"/>
  <c r="AB46" i="31"/>
  <c r="H46" i="31"/>
  <c r="AN46" i="31" s="1"/>
  <c r="B46" i="31"/>
  <c r="AN45" i="31"/>
  <c r="AB45" i="31"/>
  <c r="H45" i="31"/>
  <c r="B45" i="31"/>
  <c r="AB44" i="31"/>
  <c r="H44" i="31"/>
  <c r="AN44" i="31" s="1"/>
  <c r="B44" i="31"/>
  <c r="AN43" i="31"/>
  <c r="H43" i="31"/>
  <c r="AB43" i="31" s="1"/>
  <c r="B43" i="31"/>
  <c r="H42" i="31"/>
  <c r="B42" i="31"/>
  <c r="H41" i="31"/>
  <c r="H40" i="31"/>
  <c r="AB39" i="31"/>
  <c r="H39" i="31"/>
  <c r="B39" i="31"/>
  <c r="AN38" i="31"/>
  <c r="H38" i="31"/>
  <c r="AB37" i="31"/>
  <c r="H37" i="31"/>
  <c r="B37" i="31"/>
  <c r="AN36" i="31"/>
  <c r="H36" i="31"/>
  <c r="AB35" i="31"/>
  <c r="H35" i="31"/>
  <c r="B35" i="31"/>
  <c r="H34" i="31"/>
  <c r="F34" i="31"/>
  <c r="F35" i="31" s="1"/>
  <c r="H33" i="31"/>
  <c r="AB32" i="31"/>
  <c r="H32" i="31"/>
  <c r="AN32" i="31" s="1"/>
  <c r="F32" i="31"/>
  <c r="F33" i="31" s="1"/>
  <c r="B32" i="31"/>
  <c r="H31" i="31"/>
  <c r="AN30" i="31"/>
  <c r="AC30" i="31"/>
  <c r="H30" i="31"/>
  <c r="F30" i="31"/>
  <c r="F31" i="31" s="1"/>
  <c r="T29" i="31"/>
  <c r="T30" i="31" s="1"/>
  <c r="T31" i="31" s="1"/>
  <c r="T32" i="31" s="1"/>
  <c r="T33" i="31" s="1"/>
  <c r="T34" i="31" s="1"/>
  <c r="T35" i="31" s="1"/>
  <c r="T36" i="31" s="1"/>
  <c r="T37" i="31" s="1"/>
  <c r="T38" i="31" s="1"/>
  <c r="T39" i="31" s="1"/>
  <c r="T40" i="31" s="1"/>
  <c r="T41" i="31" s="1"/>
  <c r="T42" i="31" s="1"/>
  <c r="T43" i="31" s="1"/>
  <c r="T44" i="31" s="1"/>
  <c r="T45" i="31" s="1"/>
  <c r="T46" i="31" s="1"/>
  <c r="T47" i="31" s="1"/>
  <c r="T48" i="31" s="1"/>
  <c r="T49" i="31" s="1"/>
  <c r="T50" i="31" s="1"/>
  <c r="T51" i="31" s="1"/>
  <c r="T52" i="31" s="1"/>
  <c r="T53" i="31" s="1"/>
  <c r="T54" i="31" s="1"/>
  <c r="T55" i="31" s="1"/>
  <c r="T56" i="31" s="1"/>
  <c r="T57" i="31" s="1"/>
  <c r="T58" i="31" s="1"/>
  <c r="T59" i="31" s="1"/>
  <c r="T60" i="31" s="1"/>
  <c r="T61" i="31" s="1"/>
  <c r="T62" i="31" s="1"/>
  <c r="T63" i="31" s="1"/>
  <c r="T64" i="31" s="1"/>
  <c r="T65" i="31" s="1"/>
  <c r="T66" i="31" s="1"/>
  <c r="T67" i="31" s="1"/>
  <c r="T68" i="31" s="1"/>
  <c r="T69" i="31" s="1"/>
  <c r="T70" i="31" s="1"/>
  <c r="T71" i="31" s="1"/>
  <c r="T72" i="31" s="1"/>
  <c r="T73" i="31" s="1"/>
  <c r="T74" i="31" s="1"/>
  <c r="T75" i="31" s="1"/>
  <c r="T76" i="31" s="1"/>
  <c r="T77" i="31" s="1"/>
  <c r="T78" i="31" s="1"/>
  <c r="T79" i="31" s="1"/>
  <c r="F29" i="31"/>
  <c r="T122" i="30"/>
  <c r="FW90" i="30"/>
  <c r="FT90" i="30"/>
  <c r="FQ90" i="30"/>
  <c r="FN90" i="30"/>
  <c r="FK90" i="30"/>
  <c r="FH90" i="30"/>
  <c r="FE90" i="30"/>
  <c r="FB90" i="30"/>
  <c r="EY90" i="30"/>
  <c r="EV90" i="30"/>
  <c r="ES90" i="30"/>
  <c r="EP90" i="30"/>
  <c r="EM90" i="30"/>
  <c r="EJ90" i="30"/>
  <c r="EG90" i="30"/>
  <c r="ED90" i="30"/>
  <c r="EA90" i="30"/>
  <c r="DX90" i="30"/>
  <c r="DU90" i="30"/>
  <c r="DR90" i="30"/>
  <c r="DO90" i="30"/>
  <c r="DL90" i="30"/>
  <c r="DI90" i="30"/>
  <c r="DF90" i="30"/>
  <c r="DC90" i="30"/>
  <c r="CZ90" i="30"/>
  <c r="CW90" i="30"/>
  <c r="CT90" i="30"/>
  <c r="CQ90" i="30"/>
  <c r="CN90" i="30"/>
  <c r="CK90" i="30"/>
  <c r="CH90" i="30"/>
  <c r="CE90" i="30"/>
  <c r="CB90" i="30"/>
  <c r="BY90" i="30"/>
  <c r="BV90" i="30"/>
  <c r="BS90" i="30"/>
  <c r="BP90" i="30"/>
  <c r="BM90" i="30"/>
  <c r="BJ90" i="30"/>
  <c r="BG90" i="30"/>
  <c r="BD90" i="30"/>
  <c r="BA90" i="30"/>
  <c r="AX90" i="30"/>
  <c r="AU90" i="30"/>
  <c r="AR90" i="30"/>
  <c r="AO90" i="30"/>
  <c r="AL90" i="30"/>
  <c r="AI90" i="30"/>
  <c r="AF90" i="30"/>
  <c r="FW89" i="30"/>
  <c r="FT89" i="30"/>
  <c r="FQ89" i="30"/>
  <c r="FN89" i="30"/>
  <c r="FK89" i="30"/>
  <c r="FH89" i="30"/>
  <c r="FE89" i="30"/>
  <c r="FB89" i="30"/>
  <c r="EY89" i="30"/>
  <c r="EV89" i="30"/>
  <c r="ES89" i="30"/>
  <c r="EP89" i="30"/>
  <c r="EM89" i="30"/>
  <c r="EJ89" i="30"/>
  <c r="EG89" i="30"/>
  <c r="ED89" i="30"/>
  <c r="EA89" i="30"/>
  <c r="DX89" i="30"/>
  <c r="DU89" i="30"/>
  <c r="DR89" i="30"/>
  <c r="DO89" i="30"/>
  <c r="DL89" i="30"/>
  <c r="DI89" i="30"/>
  <c r="DF89" i="30"/>
  <c r="DC89" i="30"/>
  <c r="CZ89" i="30"/>
  <c r="CW89" i="30"/>
  <c r="CT89" i="30"/>
  <c r="CQ89" i="30"/>
  <c r="CN89" i="30"/>
  <c r="CK89" i="30"/>
  <c r="CH89" i="30"/>
  <c r="CE89" i="30"/>
  <c r="CB89" i="30"/>
  <c r="BY89" i="30"/>
  <c r="BV89" i="30"/>
  <c r="BS89" i="30"/>
  <c r="BP89" i="30"/>
  <c r="BM89" i="30"/>
  <c r="BJ89" i="30"/>
  <c r="BG89" i="30"/>
  <c r="BD89" i="30"/>
  <c r="BA89" i="30"/>
  <c r="AX89" i="30"/>
  <c r="AU89" i="30"/>
  <c r="AR89" i="30"/>
  <c r="AO89" i="30"/>
  <c r="AL89" i="30"/>
  <c r="AI89" i="30"/>
  <c r="AF89" i="30"/>
  <c r="FV88" i="30"/>
  <c r="FU88" i="30"/>
  <c r="FW88" i="30" s="1"/>
  <c r="FT88" i="30"/>
  <c r="FS88" i="30"/>
  <c r="FR88" i="30"/>
  <c r="FQ88" i="30"/>
  <c r="FP88" i="30"/>
  <c r="FO88" i="30"/>
  <c r="FM88" i="30"/>
  <c r="FL88" i="30"/>
  <c r="FN88" i="30" s="1"/>
  <c r="FJ88" i="30"/>
  <c r="FI88" i="30"/>
  <c r="FK88" i="30" s="1"/>
  <c r="FH88" i="30"/>
  <c r="FG88" i="30"/>
  <c r="FF88" i="30"/>
  <c r="FE88" i="30"/>
  <c r="FD88" i="30"/>
  <c r="FC88" i="30"/>
  <c r="FA88" i="30"/>
  <c r="EZ88" i="30"/>
  <c r="FB88" i="30" s="1"/>
  <c r="EX88" i="30"/>
  <c r="EW88" i="30"/>
  <c r="EY88" i="30" s="1"/>
  <c r="EU88" i="30"/>
  <c r="ET88" i="30"/>
  <c r="EV88" i="30" s="1"/>
  <c r="ES88" i="30"/>
  <c r="ER88" i="30"/>
  <c r="EQ88" i="30"/>
  <c r="EP88" i="30"/>
  <c r="EO88" i="30"/>
  <c r="EN88" i="30"/>
  <c r="EL88" i="30"/>
  <c r="EK88" i="30"/>
  <c r="EM88" i="30" s="1"/>
  <c r="EI88" i="30"/>
  <c r="EH88" i="30"/>
  <c r="EJ88" i="30" s="1"/>
  <c r="EG88" i="30"/>
  <c r="EF88" i="30"/>
  <c r="EE88" i="30"/>
  <c r="ED88" i="30"/>
  <c r="EC88" i="30"/>
  <c r="EB88" i="30"/>
  <c r="DZ88" i="30"/>
  <c r="DY88" i="30"/>
  <c r="EA88" i="30" s="1"/>
  <c r="DX88" i="30"/>
  <c r="DW88" i="30"/>
  <c r="DV88" i="30"/>
  <c r="DU88" i="30"/>
  <c r="DT88" i="30"/>
  <c r="DS88" i="30"/>
  <c r="DQ88" i="30"/>
  <c r="DP88" i="30"/>
  <c r="DR88" i="30" s="1"/>
  <c r="DN88" i="30"/>
  <c r="DM88" i="30"/>
  <c r="DO88" i="30" s="1"/>
  <c r="DL88" i="30"/>
  <c r="DK88" i="30"/>
  <c r="DJ88" i="30"/>
  <c r="DI88" i="30"/>
  <c r="DH88" i="30"/>
  <c r="DG88" i="30"/>
  <c r="DE88" i="30"/>
  <c r="DD88" i="30"/>
  <c r="DF88" i="30" s="1"/>
  <c r="DB88" i="30"/>
  <c r="DA88" i="30"/>
  <c r="DC88" i="30" s="1"/>
  <c r="CZ88" i="30"/>
  <c r="CY88" i="30"/>
  <c r="CX88" i="30"/>
  <c r="CW88" i="30"/>
  <c r="CV88" i="30"/>
  <c r="CU88" i="30"/>
  <c r="CS88" i="30"/>
  <c r="CR88" i="30"/>
  <c r="CT88" i="30" s="1"/>
  <c r="CP88" i="30"/>
  <c r="CO88" i="30"/>
  <c r="CQ88" i="30" s="1"/>
  <c r="CM88" i="30"/>
  <c r="CL88" i="30"/>
  <c r="CN88" i="30" s="1"/>
  <c r="CK88" i="30"/>
  <c r="CJ88" i="30"/>
  <c r="CI88" i="30"/>
  <c r="CH88" i="30"/>
  <c r="CG88" i="30"/>
  <c r="CF88" i="30"/>
  <c r="CD88" i="30"/>
  <c r="CC88" i="30"/>
  <c r="CE88" i="30" s="1"/>
  <c r="CA88" i="30"/>
  <c r="BZ88" i="30"/>
  <c r="CB88" i="30" s="1"/>
  <c r="BY88" i="30"/>
  <c r="BX88" i="30"/>
  <c r="BW88" i="30"/>
  <c r="BV88" i="30"/>
  <c r="BU88" i="30"/>
  <c r="BT88" i="30"/>
  <c r="BR88" i="30"/>
  <c r="BQ88" i="30"/>
  <c r="BS88" i="30" s="1"/>
  <c r="BP88" i="30"/>
  <c r="BO88" i="30"/>
  <c r="BN88" i="30"/>
  <c r="BM88" i="30"/>
  <c r="BL88" i="30"/>
  <c r="BK88" i="30"/>
  <c r="BI88" i="30"/>
  <c r="BH88" i="30"/>
  <c r="BJ88" i="30" s="1"/>
  <c r="BF88" i="30"/>
  <c r="BE88" i="30"/>
  <c r="BG88" i="30" s="1"/>
  <c r="BC88" i="30"/>
  <c r="BB88" i="30"/>
  <c r="BD88" i="30" s="1"/>
  <c r="BA88" i="30"/>
  <c r="AZ88" i="30"/>
  <c r="AY88" i="30"/>
  <c r="AX88" i="30"/>
  <c r="AW88" i="30"/>
  <c r="AV88" i="30"/>
  <c r="AT88" i="30"/>
  <c r="AS88" i="30"/>
  <c r="AU88" i="30" s="1"/>
  <c r="AQ88" i="30"/>
  <c r="AP88" i="30"/>
  <c r="AR88" i="30" s="1"/>
  <c r="AO88" i="30"/>
  <c r="AN88" i="30"/>
  <c r="AM88" i="30"/>
  <c r="AL88" i="30"/>
  <c r="AK88" i="30"/>
  <c r="AJ88" i="30"/>
  <c r="AH88" i="30"/>
  <c r="AG88" i="30"/>
  <c r="AI88" i="30" s="1"/>
  <c r="AF88" i="30"/>
  <c r="AE88" i="30"/>
  <c r="AD88" i="30"/>
  <c r="FV87" i="30"/>
  <c r="FU87" i="30"/>
  <c r="FS87" i="30"/>
  <c r="FR87" i="30"/>
  <c r="FP87" i="30"/>
  <c r="FO87" i="30"/>
  <c r="FM87" i="30"/>
  <c r="FL87" i="30"/>
  <c r="FJ87" i="30"/>
  <c r="FI87" i="30"/>
  <c r="FG87" i="30"/>
  <c r="FF87" i="30"/>
  <c r="FD87" i="30"/>
  <c r="FC87" i="30"/>
  <c r="FA87" i="30"/>
  <c r="EZ87" i="30"/>
  <c r="EX87" i="30"/>
  <c r="EW87" i="30"/>
  <c r="EU87" i="30"/>
  <c r="ET87" i="30"/>
  <c r="ER87" i="30"/>
  <c r="EQ87" i="30"/>
  <c r="EO87" i="30"/>
  <c r="EN87" i="30"/>
  <c r="EL87" i="30"/>
  <c r="EK87" i="30"/>
  <c r="EI87" i="30"/>
  <c r="EH87" i="30"/>
  <c r="EF87" i="30"/>
  <c r="EE87" i="30"/>
  <c r="EC87" i="30"/>
  <c r="EB87" i="30"/>
  <c r="DZ87" i="30"/>
  <c r="DY87" i="30"/>
  <c r="DW87" i="30"/>
  <c r="DV87" i="30"/>
  <c r="DT87" i="30"/>
  <c r="DS87" i="30"/>
  <c r="DQ87" i="30"/>
  <c r="DP87" i="30"/>
  <c r="DN87" i="30"/>
  <c r="DM87" i="30"/>
  <c r="DK87" i="30"/>
  <c r="DJ87" i="30"/>
  <c r="DH87" i="30"/>
  <c r="DG87" i="30"/>
  <c r="DE87" i="30"/>
  <c r="DD87" i="30"/>
  <c r="DB87" i="30"/>
  <c r="DA87" i="30"/>
  <c r="CY87" i="30"/>
  <c r="CX87" i="30"/>
  <c r="CV87" i="30"/>
  <c r="CU87" i="30"/>
  <c r="CS87" i="30"/>
  <c r="CR87" i="30"/>
  <c r="CP87" i="30"/>
  <c r="CO87" i="30"/>
  <c r="CM87" i="30"/>
  <c r="CL87" i="30"/>
  <c r="CJ87" i="30"/>
  <c r="CI87" i="30"/>
  <c r="CG87" i="30"/>
  <c r="CF87" i="30"/>
  <c r="CD87" i="30"/>
  <c r="CC87" i="30"/>
  <c r="CA87" i="30"/>
  <c r="BZ87" i="30"/>
  <c r="BX87" i="30"/>
  <c r="BW87" i="30"/>
  <c r="BU87" i="30"/>
  <c r="BT87" i="30"/>
  <c r="BR87" i="30"/>
  <c r="BQ87" i="30"/>
  <c r="BO87" i="30"/>
  <c r="BN87" i="30"/>
  <c r="BL87" i="30"/>
  <c r="BK87" i="30"/>
  <c r="BI87" i="30"/>
  <c r="BH87" i="30"/>
  <c r="FW86" i="30"/>
  <c r="FT86" i="30"/>
  <c r="FQ86" i="30"/>
  <c r="FN86" i="30"/>
  <c r="FK86" i="30"/>
  <c r="FH86" i="30"/>
  <c r="FE86" i="30"/>
  <c r="FB86" i="30"/>
  <c r="EY86" i="30"/>
  <c r="EV86" i="30"/>
  <c r="ES86" i="30"/>
  <c r="EP86" i="30"/>
  <c r="EM86" i="30"/>
  <c r="EJ86" i="30"/>
  <c r="EG86" i="30"/>
  <c r="ED86" i="30"/>
  <c r="EA86" i="30"/>
  <c r="DX86" i="30"/>
  <c r="DU86" i="30"/>
  <c r="DR86" i="30"/>
  <c r="DO86" i="30"/>
  <c r="DL86" i="30"/>
  <c r="DI86" i="30"/>
  <c r="DF86" i="30"/>
  <c r="DC86" i="30"/>
  <c r="CZ86" i="30"/>
  <c r="CW86" i="30"/>
  <c r="CT86" i="30"/>
  <c r="CQ86" i="30"/>
  <c r="CN86" i="30"/>
  <c r="CK86" i="30"/>
  <c r="CH86" i="30"/>
  <c r="CE86" i="30"/>
  <c r="CB86" i="30"/>
  <c r="BY86" i="30"/>
  <c r="BV86" i="30"/>
  <c r="BS86" i="30"/>
  <c r="BP86" i="30"/>
  <c r="BM86" i="30"/>
  <c r="BJ86" i="30"/>
  <c r="FW85" i="30"/>
  <c r="FT85" i="30"/>
  <c r="FQ85" i="30"/>
  <c r="FN85" i="30"/>
  <c r="FK85" i="30"/>
  <c r="FH85" i="30"/>
  <c r="FE85" i="30"/>
  <c r="FB85" i="30"/>
  <c r="EY85" i="30"/>
  <c r="EV85" i="30"/>
  <c r="ES85" i="30"/>
  <c r="EP85" i="30"/>
  <c r="EM85" i="30"/>
  <c r="EJ85" i="30"/>
  <c r="EG85" i="30"/>
  <c r="ED85" i="30"/>
  <c r="EA85" i="30"/>
  <c r="DX85" i="30"/>
  <c r="DU85" i="30"/>
  <c r="DR85" i="30"/>
  <c r="DO85" i="30"/>
  <c r="DL85" i="30"/>
  <c r="DI85" i="30"/>
  <c r="DF85" i="30"/>
  <c r="DC85" i="30"/>
  <c r="CZ85" i="30"/>
  <c r="CW85" i="30"/>
  <c r="CT85" i="30"/>
  <c r="CQ85" i="30"/>
  <c r="CN85" i="30"/>
  <c r="CK85" i="30"/>
  <c r="CH85" i="30"/>
  <c r="CE85" i="30"/>
  <c r="CB85" i="30"/>
  <c r="BY85" i="30"/>
  <c r="BV85" i="30"/>
  <c r="BS85" i="30"/>
  <c r="BP85" i="30"/>
  <c r="BM85" i="30"/>
  <c r="BJ85" i="30"/>
  <c r="FW84" i="30"/>
  <c r="FT84" i="30"/>
  <c r="FQ84" i="30"/>
  <c r="FN84" i="30"/>
  <c r="FK84" i="30"/>
  <c r="FH84" i="30"/>
  <c r="FE84" i="30"/>
  <c r="FB84" i="30"/>
  <c r="EY84" i="30"/>
  <c r="EV84" i="30"/>
  <c r="ES84" i="30"/>
  <c r="EP84" i="30"/>
  <c r="EM84" i="30"/>
  <c r="EJ84" i="30"/>
  <c r="EG84" i="30"/>
  <c r="ED84" i="30"/>
  <c r="EA84" i="30"/>
  <c r="DX84" i="30"/>
  <c r="DU84" i="30"/>
  <c r="DR84" i="30"/>
  <c r="DO84" i="30"/>
  <c r="DL84" i="30"/>
  <c r="DI84" i="30"/>
  <c r="DF84" i="30"/>
  <c r="DC84" i="30"/>
  <c r="CZ84" i="30"/>
  <c r="CW84" i="30"/>
  <c r="CT84" i="30"/>
  <c r="CQ84" i="30"/>
  <c r="CN84" i="30"/>
  <c r="CK84" i="30"/>
  <c r="CH84" i="30"/>
  <c r="CE84" i="30"/>
  <c r="CB84" i="30"/>
  <c r="BY84" i="30"/>
  <c r="BV84" i="30"/>
  <c r="BS84" i="30"/>
  <c r="BP84" i="30"/>
  <c r="BM84" i="30"/>
  <c r="BJ84" i="30"/>
  <c r="FW83" i="30"/>
  <c r="FT83" i="30"/>
  <c r="FQ83" i="30"/>
  <c r="FN83" i="30"/>
  <c r="FK83" i="30"/>
  <c r="FH83" i="30"/>
  <c r="FE83" i="30"/>
  <c r="FB83" i="30"/>
  <c r="EY83" i="30"/>
  <c r="EV83" i="30"/>
  <c r="ES83" i="30"/>
  <c r="EP83" i="30"/>
  <c r="EM83" i="30"/>
  <c r="EJ83" i="30"/>
  <c r="EG83" i="30"/>
  <c r="ED83" i="30"/>
  <c r="EA83" i="30"/>
  <c r="DX83" i="30"/>
  <c r="DU83" i="30"/>
  <c r="DR83" i="30"/>
  <c r="DO83" i="30"/>
  <c r="DL83" i="30"/>
  <c r="DI83" i="30"/>
  <c r="DF83" i="30"/>
  <c r="DC83" i="30"/>
  <c r="CZ83" i="30"/>
  <c r="CW83" i="30"/>
  <c r="CT83" i="30"/>
  <c r="CQ83" i="30"/>
  <c r="CN83" i="30"/>
  <c r="CK83" i="30"/>
  <c r="CH83" i="30"/>
  <c r="CE83" i="30"/>
  <c r="CB83" i="30"/>
  <c r="BY83" i="30"/>
  <c r="BV83" i="30"/>
  <c r="BS83" i="30"/>
  <c r="BP83" i="30"/>
  <c r="BM83" i="30"/>
  <c r="BJ83" i="30"/>
  <c r="FV82" i="30"/>
  <c r="FU82" i="30"/>
  <c r="FW82" i="30" s="1"/>
  <c r="FS82" i="30"/>
  <c r="FR82" i="30"/>
  <c r="FT82" i="30" s="1"/>
  <c r="FQ82" i="30"/>
  <c r="FP82" i="30"/>
  <c r="FO82" i="30"/>
  <c r="FN82" i="30"/>
  <c r="FM82" i="30"/>
  <c r="FL82" i="30"/>
  <c r="FJ82" i="30"/>
  <c r="FI82" i="30"/>
  <c r="FK82" i="30" s="1"/>
  <c r="FH82" i="30"/>
  <c r="FG82" i="30"/>
  <c r="FF82" i="30"/>
  <c r="FE82" i="30"/>
  <c r="FD82" i="30"/>
  <c r="FC82" i="30"/>
  <c r="FA82" i="30"/>
  <c r="EZ82" i="30"/>
  <c r="FB82" i="30" s="1"/>
  <c r="EX82" i="30"/>
  <c r="EW82" i="30"/>
  <c r="EY82" i="30" s="1"/>
  <c r="EU82" i="30"/>
  <c r="ET82" i="30"/>
  <c r="EV82" i="30" s="1"/>
  <c r="ES82" i="30"/>
  <c r="ER82" i="30"/>
  <c r="EQ82" i="30"/>
  <c r="EP82" i="30"/>
  <c r="EO82" i="30"/>
  <c r="EN82" i="30"/>
  <c r="EL82" i="30"/>
  <c r="EK82" i="30"/>
  <c r="EM82" i="30" s="1"/>
  <c r="EI82" i="30"/>
  <c r="EH82" i="30"/>
  <c r="EJ82" i="30" s="1"/>
  <c r="EG82" i="30"/>
  <c r="EF82" i="30"/>
  <c r="EE82" i="30"/>
  <c r="ED82" i="30"/>
  <c r="EC82" i="30"/>
  <c r="EB82" i="30"/>
  <c r="DZ82" i="30"/>
  <c r="DY82" i="30"/>
  <c r="EA82" i="30" s="1"/>
  <c r="DX82" i="30"/>
  <c r="DW82" i="30"/>
  <c r="DV82" i="30"/>
  <c r="DU82" i="30"/>
  <c r="DT82" i="30"/>
  <c r="DS82" i="30"/>
  <c r="DQ82" i="30"/>
  <c r="DP82" i="30"/>
  <c r="DR82" i="30" s="1"/>
  <c r="DN82" i="30"/>
  <c r="DM82" i="30"/>
  <c r="DO82" i="30" s="1"/>
  <c r="DL82" i="30"/>
  <c r="DK82" i="30"/>
  <c r="DJ82" i="30"/>
  <c r="DI82" i="30"/>
  <c r="DH82" i="30"/>
  <c r="DG82" i="30"/>
  <c r="DE82" i="30"/>
  <c r="DD82" i="30"/>
  <c r="DF82" i="30" s="1"/>
  <c r="DB82" i="30"/>
  <c r="DA82" i="30"/>
  <c r="DC82" i="30" s="1"/>
  <c r="CZ82" i="30"/>
  <c r="CY82" i="30"/>
  <c r="CX82" i="30"/>
  <c r="CW82" i="30"/>
  <c r="CV82" i="30"/>
  <c r="CU82" i="30"/>
  <c r="CS82" i="30"/>
  <c r="CR82" i="30"/>
  <c r="CT82" i="30" s="1"/>
  <c r="CP82" i="30"/>
  <c r="CO82" i="30"/>
  <c r="CQ82" i="30" s="1"/>
  <c r="CM82" i="30"/>
  <c r="CL82" i="30"/>
  <c r="CN82" i="30" s="1"/>
  <c r="CK82" i="30"/>
  <c r="CJ82" i="30"/>
  <c r="CI82" i="30"/>
  <c r="CH82" i="30"/>
  <c r="CG82" i="30"/>
  <c r="CF82" i="30"/>
  <c r="CD82" i="30"/>
  <c r="CC82" i="30"/>
  <c r="CE82" i="30" s="1"/>
  <c r="CA82" i="30"/>
  <c r="BZ82" i="30"/>
  <c r="CB82" i="30" s="1"/>
  <c r="BY82" i="30"/>
  <c r="BX82" i="30"/>
  <c r="BW82" i="30"/>
  <c r="BV82" i="30"/>
  <c r="BU82" i="30"/>
  <c r="BT82" i="30"/>
  <c r="BR82" i="30"/>
  <c r="BQ82" i="30"/>
  <c r="BS82" i="30" s="1"/>
  <c r="BP82" i="30"/>
  <c r="BO82" i="30"/>
  <c r="BN82" i="30"/>
  <c r="BM82" i="30"/>
  <c r="BL82" i="30"/>
  <c r="BK82" i="30"/>
  <c r="BI82" i="30"/>
  <c r="BH82" i="30"/>
  <c r="BJ82" i="30" s="1"/>
  <c r="T82" i="30"/>
  <c r="T83" i="30" s="1"/>
  <c r="T84" i="30" s="1"/>
  <c r="T85" i="30" s="1"/>
  <c r="T86" i="30" s="1"/>
  <c r="T87" i="30" s="1"/>
  <c r="T88" i="30" s="1"/>
  <c r="T89" i="30" s="1"/>
  <c r="T90" i="30" s="1"/>
  <c r="T91" i="30" s="1"/>
  <c r="FV81" i="30"/>
  <c r="FU81" i="30"/>
  <c r="FS81" i="30"/>
  <c r="FR81" i="30"/>
  <c r="FP81" i="30"/>
  <c r="FO81" i="30"/>
  <c r="FM81" i="30"/>
  <c r="FL81" i="30"/>
  <c r="FJ81" i="30"/>
  <c r="FI81" i="30"/>
  <c r="FG81" i="30"/>
  <c r="FF81" i="30"/>
  <c r="FD81" i="30"/>
  <c r="FC81" i="30"/>
  <c r="FA81" i="30"/>
  <c r="EZ81" i="30"/>
  <c r="EX81" i="30"/>
  <c r="EW81" i="30"/>
  <c r="EU81" i="30"/>
  <c r="ET81" i="30"/>
  <c r="ER81" i="30"/>
  <c r="EQ81" i="30"/>
  <c r="EO81" i="30"/>
  <c r="EN81" i="30"/>
  <c r="EL81" i="30"/>
  <c r="EK81" i="30"/>
  <c r="EI81" i="30"/>
  <c r="EH81" i="30"/>
  <c r="EF81" i="30"/>
  <c r="EE81" i="30"/>
  <c r="EC81" i="30"/>
  <c r="EB81" i="30"/>
  <c r="DZ81" i="30"/>
  <c r="DY81" i="30"/>
  <c r="DW81" i="30"/>
  <c r="DV81" i="30"/>
  <c r="DT81" i="30"/>
  <c r="DS81" i="30"/>
  <c r="DQ81" i="30"/>
  <c r="DP81" i="30"/>
  <c r="DN81" i="30"/>
  <c r="DM81" i="30"/>
  <c r="DK81" i="30"/>
  <c r="DJ81" i="30"/>
  <c r="DH81" i="30"/>
  <c r="DG81" i="30"/>
  <c r="DE81" i="30"/>
  <c r="DD81" i="30"/>
  <c r="DB81" i="30"/>
  <c r="DA81" i="30"/>
  <c r="CY81" i="30"/>
  <c r="CX81" i="30"/>
  <c r="CV81" i="30"/>
  <c r="CU81" i="30"/>
  <c r="CS81" i="30"/>
  <c r="CR81" i="30"/>
  <c r="CP81" i="30"/>
  <c r="CO81" i="30"/>
  <c r="CM81" i="30"/>
  <c r="CL81" i="30"/>
  <c r="CJ81" i="30"/>
  <c r="CI81" i="30"/>
  <c r="CG81" i="30"/>
  <c r="CF81" i="30"/>
  <c r="CD81" i="30"/>
  <c r="CC81" i="30"/>
  <c r="CA81" i="30"/>
  <c r="BZ81" i="30"/>
  <c r="BX81" i="30"/>
  <c r="BW81" i="30"/>
  <c r="BU81" i="30"/>
  <c r="BT81" i="30"/>
  <c r="BR81" i="30"/>
  <c r="BQ81" i="30"/>
  <c r="BO81" i="30"/>
  <c r="BN81" i="30"/>
  <c r="BL81" i="30"/>
  <c r="BK81" i="30"/>
  <c r="BI81" i="30"/>
  <c r="BH81" i="30"/>
  <c r="FW80" i="30"/>
  <c r="FT80" i="30"/>
  <c r="FQ80" i="30"/>
  <c r="FN80" i="30"/>
  <c r="FK80" i="30"/>
  <c r="FH80" i="30"/>
  <c r="FE80" i="30"/>
  <c r="FB80" i="30"/>
  <c r="EY80" i="30"/>
  <c r="EV80" i="30"/>
  <c r="ES80" i="30"/>
  <c r="EP80" i="30"/>
  <c r="EM80" i="30"/>
  <c r="EJ80" i="30"/>
  <c r="EG80" i="30"/>
  <c r="ED80" i="30"/>
  <c r="EA80" i="30"/>
  <c r="DX80" i="30"/>
  <c r="DU80" i="30"/>
  <c r="DR80" i="30"/>
  <c r="DO80" i="30"/>
  <c r="DL80" i="30"/>
  <c r="DI80" i="30"/>
  <c r="DF80" i="30"/>
  <c r="DC80" i="30"/>
  <c r="CZ80" i="30"/>
  <c r="CW80" i="30"/>
  <c r="CT80" i="30"/>
  <c r="CQ80" i="30"/>
  <c r="CN80" i="30"/>
  <c r="CK80" i="30"/>
  <c r="CH80" i="30"/>
  <c r="CE80" i="30"/>
  <c r="CB80" i="30"/>
  <c r="BY80" i="30"/>
  <c r="BV80" i="30"/>
  <c r="BS80" i="30"/>
  <c r="BP80" i="30"/>
  <c r="BM80" i="30"/>
  <c r="BJ80" i="30"/>
  <c r="FW79" i="30"/>
  <c r="FT79" i="30"/>
  <c r="FQ79" i="30"/>
  <c r="FN79" i="30"/>
  <c r="FK79" i="30"/>
  <c r="FH79" i="30"/>
  <c r="FE79" i="30"/>
  <c r="FB79" i="30"/>
  <c r="EY79" i="30"/>
  <c r="EV79" i="30"/>
  <c r="ES79" i="30"/>
  <c r="EP79" i="30"/>
  <c r="EM79" i="30"/>
  <c r="EJ79" i="30"/>
  <c r="EG79" i="30"/>
  <c r="ED79" i="30"/>
  <c r="EA79" i="30"/>
  <c r="DX79" i="30"/>
  <c r="DU79" i="30"/>
  <c r="DR79" i="30"/>
  <c r="DO79" i="30"/>
  <c r="DL79" i="30"/>
  <c r="DI79" i="30"/>
  <c r="DF79" i="30"/>
  <c r="DC79" i="30"/>
  <c r="CZ79" i="30"/>
  <c r="CW79" i="30"/>
  <c r="CT79" i="30"/>
  <c r="CQ79" i="30"/>
  <c r="CN79" i="30"/>
  <c r="CK79" i="30"/>
  <c r="CH79" i="30"/>
  <c r="CE79" i="30"/>
  <c r="CB79" i="30"/>
  <c r="BY79" i="30"/>
  <c r="BV79" i="30"/>
  <c r="BS79" i="30"/>
  <c r="BP79" i="30"/>
  <c r="BM79" i="30"/>
  <c r="BJ79" i="30"/>
  <c r="F77" i="30"/>
  <c r="F76" i="30"/>
  <c r="F75" i="30"/>
  <c r="AD74" i="30"/>
  <c r="T74" i="30"/>
  <c r="T76" i="30" s="1"/>
  <c r="T77" i="30" s="1"/>
  <c r="T78" i="30" s="1"/>
  <c r="T79" i="30" s="1"/>
  <c r="T80" i="30" s="1"/>
  <c r="T81" i="30" s="1"/>
  <c r="F74" i="30"/>
  <c r="GB46" i="30"/>
  <c r="FW46" i="30"/>
  <c r="FT46" i="30"/>
  <c r="FQ46" i="30"/>
  <c r="FN46" i="30"/>
  <c r="FK46" i="30"/>
  <c r="FH46" i="30"/>
  <c r="FE46" i="30"/>
  <c r="FB46" i="30"/>
  <c r="EY46" i="30"/>
  <c r="EV46" i="30"/>
  <c r="ES46" i="30"/>
  <c r="EP46" i="30"/>
  <c r="EM46" i="30"/>
  <c r="EJ46" i="30"/>
  <c r="EG46" i="30"/>
  <c r="ED46" i="30"/>
  <c r="EA46" i="30"/>
  <c r="DX46" i="30"/>
  <c r="DU46" i="30"/>
  <c r="DR46" i="30"/>
  <c r="DO46" i="30"/>
  <c r="DL46" i="30"/>
  <c r="DI46" i="30"/>
  <c r="DF46" i="30"/>
  <c r="DC46" i="30"/>
  <c r="CZ46" i="30"/>
  <c r="CW46" i="30"/>
  <c r="CT46" i="30"/>
  <c r="CQ46" i="30"/>
  <c r="CN46" i="30"/>
  <c r="CK46" i="30"/>
  <c r="CH46" i="30"/>
  <c r="CE46" i="30"/>
  <c r="CB46" i="30"/>
  <c r="BY46" i="30"/>
  <c r="BV46" i="30"/>
  <c r="BS46" i="30"/>
  <c r="BP46" i="30"/>
  <c r="BM46" i="30"/>
  <c r="BJ46" i="30"/>
  <c r="BG46" i="30"/>
  <c r="BD46" i="30"/>
  <c r="BA46" i="30"/>
  <c r="AX46" i="30"/>
  <c r="AU46" i="30"/>
  <c r="AR46" i="30"/>
  <c r="AO46" i="30"/>
  <c r="AL46" i="30"/>
  <c r="AI46" i="30"/>
  <c r="AF46" i="30"/>
  <c r="Q46" i="30"/>
  <c r="GB45" i="30"/>
  <c r="FW45" i="30"/>
  <c r="FT45" i="30"/>
  <c r="FQ45" i="30"/>
  <c r="FN45" i="30"/>
  <c r="FK45" i="30"/>
  <c r="FH45" i="30"/>
  <c r="FE45" i="30"/>
  <c r="FB45" i="30"/>
  <c r="EY45" i="30"/>
  <c r="EV45" i="30"/>
  <c r="ES45" i="30"/>
  <c r="EP45" i="30"/>
  <c r="EM45" i="30"/>
  <c r="EJ45" i="30"/>
  <c r="EG45" i="30"/>
  <c r="ED45" i="30"/>
  <c r="EA45" i="30"/>
  <c r="DX45" i="30"/>
  <c r="DU45" i="30"/>
  <c r="DR45" i="30"/>
  <c r="DO45" i="30"/>
  <c r="DL45" i="30"/>
  <c r="DI45" i="30"/>
  <c r="DF45" i="30"/>
  <c r="DC45" i="30"/>
  <c r="CZ45" i="30"/>
  <c r="CW45" i="30"/>
  <c r="CT45" i="30"/>
  <c r="CQ45" i="30"/>
  <c r="CN45" i="30"/>
  <c r="CK45" i="30"/>
  <c r="CH45" i="30"/>
  <c r="CE45" i="30"/>
  <c r="CB45" i="30"/>
  <c r="BY45" i="30"/>
  <c r="BV45" i="30"/>
  <c r="BS45" i="30"/>
  <c r="BP45" i="30"/>
  <c r="BM45" i="30"/>
  <c r="BJ45" i="30"/>
  <c r="BG45" i="30"/>
  <c r="BD45" i="30"/>
  <c r="BA45" i="30"/>
  <c r="AX45" i="30"/>
  <c r="AU45" i="30"/>
  <c r="AR45" i="30"/>
  <c r="AO45" i="30"/>
  <c r="AL45" i="30"/>
  <c r="AI45" i="30"/>
  <c r="AF45" i="30"/>
  <c r="Q45" i="30"/>
  <c r="FW44" i="30"/>
  <c r="FT44" i="30"/>
  <c r="FQ44" i="30"/>
  <c r="FN44" i="30"/>
  <c r="FK44" i="30"/>
  <c r="FH44" i="30"/>
  <c r="FE44" i="30"/>
  <c r="FB44" i="30"/>
  <c r="EY44" i="30"/>
  <c r="EV44" i="30"/>
  <c r="ES44" i="30"/>
  <c r="EP44" i="30"/>
  <c r="EM44" i="30"/>
  <c r="EJ44" i="30"/>
  <c r="EG44" i="30"/>
  <c r="ED44" i="30"/>
  <c r="EA44" i="30"/>
  <c r="DX44" i="30"/>
  <c r="DU44" i="30"/>
  <c r="DR44" i="30"/>
  <c r="DO44" i="30"/>
  <c r="DL44" i="30"/>
  <c r="DI44" i="30"/>
  <c r="DF44" i="30"/>
  <c r="DC44" i="30"/>
  <c r="CZ44" i="30"/>
  <c r="CW44" i="30"/>
  <c r="CT44" i="30"/>
  <c r="CQ44" i="30"/>
  <c r="CN44" i="30"/>
  <c r="CK44" i="30"/>
  <c r="CH44" i="30"/>
  <c r="CE44" i="30"/>
  <c r="CB44" i="30"/>
  <c r="BY44" i="30"/>
  <c r="BV44" i="30"/>
  <c r="BS44" i="30"/>
  <c r="BP44" i="30"/>
  <c r="BM44" i="30"/>
  <c r="BJ44" i="30"/>
  <c r="BG44" i="30"/>
  <c r="BD44" i="30"/>
  <c r="BA44" i="30"/>
  <c r="AX44" i="30"/>
  <c r="AU44" i="30"/>
  <c r="AR44" i="30"/>
  <c r="AO44" i="30"/>
  <c r="AL44" i="30"/>
  <c r="AI44" i="30"/>
  <c r="AF44" i="30"/>
  <c r="FW43" i="30"/>
  <c r="FT43" i="30"/>
  <c r="FQ43" i="30"/>
  <c r="FN43" i="30"/>
  <c r="FK43" i="30"/>
  <c r="FH43" i="30"/>
  <c r="FE43" i="30"/>
  <c r="FB43" i="30"/>
  <c r="EY43" i="30"/>
  <c r="EV43" i="30"/>
  <c r="ES43" i="30"/>
  <c r="EP43" i="30"/>
  <c r="EM43" i="30"/>
  <c r="EJ43" i="30"/>
  <c r="EG43" i="30"/>
  <c r="ED43" i="30"/>
  <c r="EA43" i="30"/>
  <c r="DX43" i="30"/>
  <c r="DU43" i="30"/>
  <c r="DR43" i="30"/>
  <c r="DO43" i="30"/>
  <c r="DL43" i="30"/>
  <c r="DI43" i="30"/>
  <c r="DF43" i="30"/>
  <c r="DC43" i="30"/>
  <c r="CZ43" i="30"/>
  <c r="CW43" i="30"/>
  <c r="CT43" i="30"/>
  <c r="CQ43" i="30"/>
  <c r="CN43" i="30"/>
  <c r="CK43" i="30"/>
  <c r="CH43" i="30"/>
  <c r="CE43" i="30"/>
  <c r="CB43" i="30"/>
  <c r="BY43" i="30"/>
  <c r="BV43" i="30"/>
  <c r="BS43" i="30"/>
  <c r="BP43" i="30"/>
  <c r="BM43" i="30"/>
  <c r="BJ43" i="30"/>
  <c r="BG43" i="30"/>
  <c r="BD43" i="30"/>
  <c r="BA43" i="30"/>
  <c r="AX43" i="30"/>
  <c r="AU43" i="30"/>
  <c r="AR43" i="30"/>
  <c r="AO43" i="30"/>
  <c r="AL43" i="30"/>
  <c r="AI43" i="30"/>
  <c r="AF43" i="30"/>
  <c r="FV42" i="30"/>
  <c r="FU42" i="30"/>
  <c r="FW42" i="30" s="1"/>
  <c r="FS42" i="30"/>
  <c r="FR42" i="30"/>
  <c r="FT42" i="30" s="1"/>
  <c r="FQ42" i="30"/>
  <c r="FP42" i="30"/>
  <c r="FO42" i="30"/>
  <c r="FN42" i="30"/>
  <c r="FM42" i="30"/>
  <c r="FL42" i="30"/>
  <c r="FJ42" i="30"/>
  <c r="FI42" i="30"/>
  <c r="FK42" i="30" s="1"/>
  <c r="FG42" i="30"/>
  <c r="FF42" i="30"/>
  <c r="FH42" i="30" s="1"/>
  <c r="FD42" i="30"/>
  <c r="FC42" i="30"/>
  <c r="FE42" i="30" s="1"/>
  <c r="FB42" i="30"/>
  <c r="FA42" i="30"/>
  <c r="EZ42" i="30"/>
  <c r="EY42" i="30"/>
  <c r="EX42" i="30"/>
  <c r="EW42" i="30"/>
  <c r="EU42" i="30"/>
  <c r="ET42" i="30"/>
  <c r="EV42" i="30" s="1"/>
  <c r="ER42" i="30"/>
  <c r="EQ42" i="30"/>
  <c r="ES42" i="30" s="1"/>
  <c r="EP42" i="30"/>
  <c r="EO42" i="30"/>
  <c r="EN42" i="30"/>
  <c r="EM42" i="30"/>
  <c r="EL42" i="30"/>
  <c r="EK42" i="30"/>
  <c r="EI42" i="30"/>
  <c r="EH42" i="30"/>
  <c r="EJ42" i="30" s="1"/>
  <c r="EG42" i="30"/>
  <c r="EF42" i="30"/>
  <c r="EE42" i="30"/>
  <c r="ED42" i="30"/>
  <c r="EC42" i="30"/>
  <c r="EB42" i="30"/>
  <c r="DZ42" i="30"/>
  <c r="DY42" i="30"/>
  <c r="EA42" i="30" s="1"/>
  <c r="DW42" i="30"/>
  <c r="DV42" i="30"/>
  <c r="DX42" i="30" s="1"/>
  <c r="DT42" i="30"/>
  <c r="DS42" i="30"/>
  <c r="DU42" i="30" s="1"/>
  <c r="DR42" i="30"/>
  <c r="DQ42" i="30"/>
  <c r="DP42" i="30"/>
  <c r="DO42" i="30"/>
  <c r="DN42" i="30"/>
  <c r="DM42" i="30"/>
  <c r="DK42" i="30"/>
  <c r="DJ42" i="30"/>
  <c r="DL42" i="30" s="1"/>
  <c r="DH42" i="30"/>
  <c r="DG42" i="30"/>
  <c r="DI42" i="30" s="1"/>
  <c r="DF42" i="30"/>
  <c r="DE42" i="30"/>
  <c r="DD42" i="30"/>
  <c r="DC42" i="30"/>
  <c r="DB42" i="30"/>
  <c r="DA42" i="30"/>
  <c r="CY42" i="30"/>
  <c r="CX42" i="30"/>
  <c r="CZ42" i="30" s="1"/>
  <c r="CW42" i="30"/>
  <c r="CV42" i="30"/>
  <c r="CU42" i="30"/>
  <c r="CT42" i="30"/>
  <c r="CS42" i="30"/>
  <c r="CR42" i="30"/>
  <c r="CP42" i="30"/>
  <c r="CO42" i="30"/>
  <c r="CQ42" i="30" s="1"/>
  <c r="CM42" i="30"/>
  <c r="CL42" i="30"/>
  <c r="CN42" i="30" s="1"/>
  <c r="CK42" i="30"/>
  <c r="CJ42" i="30"/>
  <c r="CI42" i="30"/>
  <c r="CH42" i="30"/>
  <c r="CG42" i="30"/>
  <c r="CF42" i="30"/>
  <c r="CD42" i="30"/>
  <c r="CC42" i="30"/>
  <c r="CE42" i="30" s="1"/>
  <c r="CA42" i="30"/>
  <c r="BZ42" i="30"/>
  <c r="CB42" i="30" s="1"/>
  <c r="BY42" i="30"/>
  <c r="BX42" i="30"/>
  <c r="BW42" i="30"/>
  <c r="BV42" i="30"/>
  <c r="BU42" i="30"/>
  <c r="BT42" i="30"/>
  <c r="BR42" i="30"/>
  <c r="BQ42" i="30"/>
  <c r="BS42" i="30" s="1"/>
  <c r="BO42" i="30"/>
  <c r="BN42" i="30"/>
  <c r="BP42" i="30" s="1"/>
  <c r="BL42" i="30"/>
  <c r="BK42" i="30"/>
  <c r="BM42" i="30" s="1"/>
  <c r="BJ42" i="30"/>
  <c r="BI42" i="30"/>
  <c r="BH42" i="30"/>
  <c r="BG42" i="30"/>
  <c r="BF42" i="30"/>
  <c r="BE42" i="30"/>
  <c r="BC42" i="30"/>
  <c r="BB42" i="30"/>
  <c r="BD42" i="30" s="1"/>
  <c r="AZ42" i="30"/>
  <c r="AY42" i="30"/>
  <c r="BA42" i="30" s="1"/>
  <c r="AX42" i="30"/>
  <c r="AW42" i="30"/>
  <c r="AV42" i="30"/>
  <c r="AU42" i="30"/>
  <c r="AT42" i="30"/>
  <c r="AS42" i="30"/>
  <c r="AQ42" i="30"/>
  <c r="AP42" i="30"/>
  <c r="AR42" i="30" s="1"/>
  <c r="AO42" i="30"/>
  <c r="AN42" i="30"/>
  <c r="AM42" i="30"/>
  <c r="AL42" i="30"/>
  <c r="AK42" i="30"/>
  <c r="AJ42" i="30"/>
  <c r="AH42" i="30"/>
  <c r="AG42" i="30"/>
  <c r="AI42" i="30" s="1"/>
  <c r="AE42" i="30"/>
  <c r="AD42" i="30"/>
  <c r="AF42" i="30" s="1"/>
  <c r="FV41" i="30"/>
  <c r="FU41" i="30"/>
  <c r="FS41" i="30"/>
  <c r="FR41" i="30"/>
  <c r="FP41" i="30"/>
  <c r="FO41" i="30"/>
  <c r="FM41" i="30"/>
  <c r="FL41" i="30"/>
  <c r="FJ41" i="30"/>
  <c r="FI41" i="30"/>
  <c r="FG41" i="30"/>
  <c r="FF41" i="30"/>
  <c r="FD41" i="30"/>
  <c r="FC41" i="30"/>
  <c r="FA41" i="30"/>
  <c r="EZ41" i="30"/>
  <c r="EX41" i="30"/>
  <c r="EW41" i="30"/>
  <c r="EU41" i="30"/>
  <c r="ET41" i="30"/>
  <c r="ER41" i="30"/>
  <c r="EQ41" i="30"/>
  <c r="EO41" i="30"/>
  <c r="EN41" i="30"/>
  <c r="EL41" i="30"/>
  <c r="EK41" i="30"/>
  <c r="EI41" i="30"/>
  <c r="EH41" i="30"/>
  <c r="EF41" i="30"/>
  <c r="EE41" i="30"/>
  <c r="EC41" i="30"/>
  <c r="EB41" i="30"/>
  <c r="DZ41" i="30"/>
  <c r="DY41" i="30"/>
  <c r="DW41" i="30"/>
  <c r="DV41" i="30"/>
  <c r="DT41" i="30"/>
  <c r="DS41" i="30"/>
  <c r="DQ41" i="30"/>
  <c r="DP41" i="30"/>
  <c r="DN41" i="30"/>
  <c r="DM41" i="30"/>
  <c r="DK41" i="30"/>
  <c r="DJ41" i="30"/>
  <c r="DH41" i="30"/>
  <c r="DG41" i="30"/>
  <c r="DE41" i="30"/>
  <c r="DD41" i="30"/>
  <c r="DB41" i="30"/>
  <c r="DA41" i="30"/>
  <c r="CY41" i="30"/>
  <c r="CX41" i="30"/>
  <c r="CV41" i="30"/>
  <c r="CU41" i="30"/>
  <c r="CS41" i="30"/>
  <c r="CR41" i="30"/>
  <c r="CP41" i="30"/>
  <c r="CO41" i="30"/>
  <c r="CM41" i="30"/>
  <c r="CL41" i="30"/>
  <c r="CJ41" i="30"/>
  <c r="CI41" i="30"/>
  <c r="CG41" i="30"/>
  <c r="CF41" i="30"/>
  <c r="CD41" i="30"/>
  <c r="CC41" i="30"/>
  <c r="CA41" i="30"/>
  <c r="BZ41" i="30"/>
  <c r="BX41" i="30"/>
  <c r="BW41" i="30"/>
  <c r="BU41" i="30"/>
  <c r="BT41" i="30"/>
  <c r="BR41" i="30"/>
  <c r="BQ41" i="30"/>
  <c r="BO41" i="30"/>
  <c r="BN41" i="30"/>
  <c r="BL41" i="30"/>
  <c r="BK41" i="30"/>
  <c r="BI41" i="30"/>
  <c r="BH41" i="30"/>
  <c r="FW40" i="30"/>
  <c r="FT40" i="30"/>
  <c r="FQ40" i="30"/>
  <c r="FN40" i="30"/>
  <c r="FK40" i="30"/>
  <c r="FH40" i="30"/>
  <c r="FE40" i="30"/>
  <c r="FB40" i="30"/>
  <c r="EY40" i="30"/>
  <c r="EV40" i="30"/>
  <c r="ES40" i="30"/>
  <c r="EP40" i="30"/>
  <c r="EM40" i="30"/>
  <c r="EJ40" i="30"/>
  <c r="EG40" i="30"/>
  <c r="ED40" i="30"/>
  <c r="EA40" i="30"/>
  <c r="DX40" i="30"/>
  <c r="DU40" i="30"/>
  <c r="DR40" i="30"/>
  <c r="DO40" i="30"/>
  <c r="DL40" i="30"/>
  <c r="DI40" i="30"/>
  <c r="DF40" i="30"/>
  <c r="DC40" i="30"/>
  <c r="CZ40" i="30"/>
  <c r="CW40" i="30"/>
  <c r="CT40" i="30"/>
  <c r="CQ40" i="30"/>
  <c r="CN40" i="30"/>
  <c r="CK40" i="30"/>
  <c r="CH40" i="30"/>
  <c r="CE40" i="30"/>
  <c r="CB40" i="30"/>
  <c r="BY40" i="30"/>
  <c r="BV40" i="30"/>
  <c r="BS40" i="30"/>
  <c r="BP40" i="30"/>
  <c r="BM40" i="30"/>
  <c r="BJ40" i="30"/>
  <c r="FW39" i="30"/>
  <c r="FT39" i="30"/>
  <c r="FQ39" i="30"/>
  <c r="FN39" i="30"/>
  <c r="FK39" i="30"/>
  <c r="FH39" i="30"/>
  <c r="FE39" i="30"/>
  <c r="FB39" i="30"/>
  <c r="EY39" i="30"/>
  <c r="EV39" i="30"/>
  <c r="ES39" i="30"/>
  <c r="EP39" i="30"/>
  <c r="EM39" i="30"/>
  <c r="EJ39" i="30"/>
  <c r="EG39" i="30"/>
  <c r="ED39" i="30"/>
  <c r="EA39" i="30"/>
  <c r="DX39" i="30"/>
  <c r="DU39" i="30"/>
  <c r="DR39" i="30"/>
  <c r="DO39" i="30"/>
  <c r="DL39" i="30"/>
  <c r="DI39" i="30"/>
  <c r="DF39" i="30"/>
  <c r="DC39" i="30"/>
  <c r="CZ39" i="30"/>
  <c r="CW39" i="30"/>
  <c r="CT39" i="30"/>
  <c r="CQ39" i="30"/>
  <c r="CN39" i="30"/>
  <c r="CK39" i="30"/>
  <c r="CH39" i="30"/>
  <c r="CE39" i="30"/>
  <c r="CB39" i="30"/>
  <c r="BY39" i="30"/>
  <c r="BV39" i="30"/>
  <c r="BS39" i="30"/>
  <c r="BP39" i="30"/>
  <c r="BM39" i="30"/>
  <c r="BJ39" i="30"/>
  <c r="FW38" i="30"/>
  <c r="FT38" i="30"/>
  <c r="FQ38" i="30"/>
  <c r="FN38" i="30"/>
  <c r="FK38" i="30"/>
  <c r="FH38" i="30"/>
  <c r="FE38" i="30"/>
  <c r="FB38" i="30"/>
  <c r="EY38" i="30"/>
  <c r="EV38" i="30"/>
  <c r="ES38" i="30"/>
  <c r="EP38" i="30"/>
  <c r="EM38" i="30"/>
  <c r="EJ38" i="30"/>
  <c r="EG38" i="30"/>
  <c r="ED38" i="30"/>
  <c r="EA38" i="30"/>
  <c r="DX38" i="30"/>
  <c r="DU38" i="30"/>
  <c r="DR38" i="30"/>
  <c r="DO38" i="30"/>
  <c r="DL38" i="30"/>
  <c r="DI38" i="30"/>
  <c r="DF38" i="30"/>
  <c r="DC38" i="30"/>
  <c r="CZ38" i="30"/>
  <c r="CW38" i="30"/>
  <c r="CT38" i="30"/>
  <c r="CQ38" i="30"/>
  <c r="CN38" i="30"/>
  <c r="CK38" i="30"/>
  <c r="CH38" i="30"/>
  <c r="CE38" i="30"/>
  <c r="CB38" i="30"/>
  <c r="BY38" i="30"/>
  <c r="BV38" i="30"/>
  <c r="BS38" i="30"/>
  <c r="BP38" i="30"/>
  <c r="BM38" i="30"/>
  <c r="BJ38" i="30"/>
  <c r="FW37" i="30"/>
  <c r="FT37" i="30"/>
  <c r="FQ37" i="30"/>
  <c r="FN37" i="30"/>
  <c r="FK37" i="30"/>
  <c r="FH37" i="30"/>
  <c r="FE37" i="30"/>
  <c r="FB37" i="30"/>
  <c r="EY37" i="30"/>
  <c r="EV37" i="30"/>
  <c r="ES37" i="30"/>
  <c r="EP37" i="30"/>
  <c r="EM37" i="30"/>
  <c r="EJ37" i="30"/>
  <c r="EG37" i="30"/>
  <c r="ED37" i="30"/>
  <c r="EA37" i="30"/>
  <c r="DX37" i="30"/>
  <c r="DU37" i="30"/>
  <c r="DR37" i="30"/>
  <c r="DO37" i="30"/>
  <c r="DL37" i="30"/>
  <c r="DI37" i="30"/>
  <c r="DF37" i="30"/>
  <c r="DC37" i="30"/>
  <c r="CZ37" i="30"/>
  <c r="CW37" i="30"/>
  <c r="CT37" i="30"/>
  <c r="CQ37" i="30"/>
  <c r="CN37" i="30"/>
  <c r="CK37" i="30"/>
  <c r="CH37" i="30"/>
  <c r="CE37" i="30"/>
  <c r="CB37" i="30"/>
  <c r="BY37" i="30"/>
  <c r="BV37" i="30"/>
  <c r="BS37" i="30"/>
  <c r="BP37" i="30"/>
  <c r="BM37" i="30"/>
  <c r="BJ37" i="30"/>
  <c r="FW36" i="30"/>
  <c r="FV36" i="30"/>
  <c r="FU36" i="30"/>
  <c r="FS36" i="30"/>
  <c r="FR36" i="30"/>
  <c r="FT36" i="30" s="1"/>
  <c r="FP36" i="30"/>
  <c r="FO36" i="30"/>
  <c r="FQ36" i="30" s="1"/>
  <c r="FN36" i="30"/>
  <c r="FM36" i="30"/>
  <c r="FL36" i="30"/>
  <c r="FK36" i="30"/>
  <c r="FJ36" i="30"/>
  <c r="FI36" i="30"/>
  <c r="FG36" i="30"/>
  <c r="FF36" i="30"/>
  <c r="FH36" i="30" s="1"/>
  <c r="FD36" i="30"/>
  <c r="FC36" i="30"/>
  <c r="FE36" i="30" s="1"/>
  <c r="FB36" i="30"/>
  <c r="FA36" i="30"/>
  <c r="EZ36" i="30"/>
  <c r="EY36" i="30"/>
  <c r="EX36" i="30"/>
  <c r="EW36" i="30"/>
  <c r="EU36" i="30"/>
  <c r="ET36" i="30"/>
  <c r="EV36" i="30" s="1"/>
  <c r="ES36" i="30"/>
  <c r="ER36" i="30"/>
  <c r="EQ36" i="30"/>
  <c r="EP36" i="30"/>
  <c r="EO36" i="30"/>
  <c r="EN36" i="30"/>
  <c r="EL36" i="30"/>
  <c r="EK36" i="30"/>
  <c r="EM36" i="30" s="1"/>
  <c r="EI36" i="30"/>
  <c r="EH36" i="30"/>
  <c r="EJ36" i="30" s="1"/>
  <c r="EG36" i="30"/>
  <c r="EF36" i="30"/>
  <c r="EE36" i="30"/>
  <c r="ED36" i="30"/>
  <c r="EC36" i="30"/>
  <c r="EB36" i="30"/>
  <c r="DZ36" i="30"/>
  <c r="DY36" i="30"/>
  <c r="EA36" i="30" s="1"/>
  <c r="DW36" i="30"/>
  <c r="DV36" i="30"/>
  <c r="DX36" i="30" s="1"/>
  <c r="DT36" i="30"/>
  <c r="DS36" i="30"/>
  <c r="DU36" i="30" s="1"/>
  <c r="DR36" i="30"/>
  <c r="DQ36" i="30"/>
  <c r="DP36" i="30"/>
  <c r="DO36" i="30"/>
  <c r="DN36" i="30"/>
  <c r="DM36" i="30"/>
  <c r="DK36" i="30"/>
  <c r="DJ36" i="30"/>
  <c r="DL36" i="30" s="1"/>
  <c r="DI36" i="30"/>
  <c r="DH36" i="30"/>
  <c r="DG36" i="30"/>
  <c r="DF36" i="30"/>
  <c r="DE36" i="30"/>
  <c r="DD36" i="30"/>
  <c r="DB36" i="30"/>
  <c r="DA36" i="30"/>
  <c r="DC36" i="30" s="1"/>
  <c r="CY36" i="30"/>
  <c r="CX36" i="30"/>
  <c r="CZ36" i="30" s="1"/>
  <c r="CW36" i="30"/>
  <c r="CV36" i="30"/>
  <c r="CU36" i="30"/>
  <c r="CT36" i="30"/>
  <c r="CS36" i="30"/>
  <c r="CR36" i="30"/>
  <c r="CP36" i="30"/>
  <c r="CO36" i="30"/>
  <c r="CQ36" i="30" s="1"/>
  <c r="CM36" i="30"/>
  <c r="CL36" i="30"/>
  <c r="CN36" i="30" s="1"/>
  <c r="CJ36" i="30"/>
  <c r="CI36" i="30"/>
  <c r="CK36" i="30" s="1"/>
  <c r="CH36" i="30"/>
  <c r="CG36" i="30"/>
  <c r="CF36" i="30"/>
  <c r="CE36" i="30"/>
  <c r="CD36" i="30"/>
  <c r="CC36" i="30"/>
  <c r="CA36" i="30"/>
  <c r="BZ36" i="30"/>
  <c r="CB36" i="30" s="1"/>
  <c r="BX36" i="30"/>
  <c r="BW36" i="30"/>
  <c r="BY36" i="30" s="1"/>
  <c r="BV36" i="30"/>
  <c r="BU36" i="30"/>
  <c r="BT36" i="30"/>
  <c r="BS36" i="30"/>
  <c r="BR36" i="30"/>
  <c r="BQ36" i="30"/>
  <c r="BO36" i="30"/>
  <c r="BN36" i="30"/>
  <c r="BP36" i="30" s="1"/>
  <c r="BL36" i="30"/>
  <c r="BK36" i="30"/>
  <c r="BM36" i="30" s="1"/>
  <c r="BJ36" i="30"/>
  <c r="BI36" i="30"/>
  <c r="BH36" i="30"/>
  <c r="FV35" i="30"/>
  <c r="FU35" i="30"/>
  <c r="FS35" i="30"/>
  <c r="FR35" i="30"/>
  <c r="FP35" i="30"/>
  <c r="FO35" i="30"/>
  <c r="FM35" i="30"/>
  <c r="FL35" i="30"/>
  <c r="FJ35" i="30"/>
  <c r="FI35" i="30"/>
  <c r="FG35" i="30"/>
  <c r="FF35" i="30"/>
  <c r="FD35" i="30"/>
  <c r="FC35" i="30"/>
  <c r="FA35" i="30"/>
  <c r="EZ35" i="30"/>
  <c r="EX35" i="30"/>
  <c r="EW35" i="30"/>
  <c r="EU35" i="30"/>
  <c r="ET35" i="30"/>
  <c r="ER35" i="30"/>
  <c r="EQ35" i="30"/>
  <c r="EO35" i="30"/>
  <c r="EN35" i="30"/>
  <c r="EL35" i="30"/>
  <c r="EK35" i="30"/>
  <c r="EI35" i="30"/>
  <c r="EH35" i="30"/>
  <c r="EF35" i="30"/>
  <c r="EE35" i="30"/>
  <c r="EC35" i="30"/>
  <c r="EB35" i="30"/>
  <c r="DZ35" i="30"/>
  <c r="DY35" i="30"/>
  <c r="DW35" i="30"/>
  <c r="DV35" i="30"/>
  <c r="DT35" i="30"/>
  <c r="DS35" i="30"/>
  <c r="DQ35" i="30"/>
  <c r="DP35" i="30"/>
  <c r="DN35" i="30"/>
  <c r="DM35" i="30"/>
  <c r="DK35" i="30"/>
  <c r="DJ35" i="30"/>
  <c r="DH35" i="30"/>
  <c r="DG35" i="30"/>
  <c r="DE35" i="30"/>
  <c r="DD35" i="30"/>
  <c r="DB35" i="30"/>
  <c r="DA35" i="30"/>
  <c r="CY35" i="30"/>
  <c r="CX35" i="30"/>
  <c r="CV35" i="30"/>
  <c r="CU35" i="30"/>
  <c r="CS35" i="30"/>
  <c r="CR35" i="30"/>
  <c r="CP35" i="30"/>
  <c r="CO35" i="30"/>
  <c r="CM35" i="30"/>
  <c r="CL35" i="30"/>
  <c r="CJ35" i="30"/>
  <c r="CI35" i="30"/>
  <c r="CG35" i="30"/>
  <c r="CF35" i="30"/>
  <c r="CD35" i="30"/>
  <c r="CC35" i="30"/>
  <c r="CA35" i="30"/>
  <c r="BZ35" i="30"/>
  <c r="BX35" i="30"/>
  <c r="BW35" i="30"/>
  <c r="BU35" i="30"/>
  <c r="BT35" i="30"/>
  <c r="BR35" i="30"/>
  <c r="BQ35" i="30"/>
  <c r="BO35" i="30"/>
  <c r="BN35" i="30"/>
  <c r="BL35" i="30"/>
  <c r="BK35" i="30"/>
  <c r="BI35" i="30"/>
  <c r="BH35" i="30"/>
  <c r="FW34" i="30"/>
  <c r="FT34" i="30"/>
  <c r="FQ34" i="30"/>
  <c r="FN34" i="30"/>
  <c r="FK34" i="30"/>
  <c r="FH34" i="30"/>
  <c r="FE34" i="30"/>
  <c r="FB34" i="30"/>
  <c r="EY34" i="30"/>
  <c r="EV34" i="30"/>
  <c r="ES34" i="30"/>
  <c r="EP34" i="30"/>
  <c r="EM34" i="30"/>
  <c r="EJ34" i="30"/>
  <c r="EG34" i="30"/>
  <c r="ED34" i="30"/>
  <c r="EA34" i="30"/>
  <c r="DX34" i="30"/>
  <c r="DU34" i="30"/>
  <c r="DR34" i="30"/>
  <c r="DO34" i="30"/>
  <c r="DL34" i="30"/>
  <c r="DI34" i="30"/>
  <c r="DF34" i="30"/>
  <c r="DC34" i="30"/>
  <c r="CZ34" i="30"/>
  <c r="CW34" i="30"/>
  <c r="CT34" i="30"/>
  <c r="CQ34" i="30"/>
  <c r="CN34" i="30"/>
  <c r="CK34" i="30"/>
  <c r="CH34" i="30"/>
  <c r="CE34" i="30"/>
  <c r="CB34" i="30"/>
  <c r="BY34" i="30"/>
  <c r="BV34" i="30"/>
  <c r="BS34" i="30"/>
  <c r="BP34" i="30"/>
  <c r="BM34" i="30"/>
  <c r="BJ34" i="30"/>
  <c r="FW33" i="30"/>
  <c r="FT33" i="30"/>
  <c r="FQ33" i="30"/>
  <c r="FN33" i="30"/>
  <c r="FK33" i="30"/>
  <c r="FH33" i="30"/>
  <c r="FE33" i="30"/>
  <c r="FB33" i="30"/>
  <c r="EY33" i="30"/>
  <c r="EV33" i="30"/>
  <c r="ES33" i="30"/>
  <c r="EP33" i="30"/>
  <c r="EM33" i="30"/>
  <c r="EJ33" i="30"/>
  <c r="EG33" i="30"/>
  <c r="ED33" i="30"/>
  <c r="EA33" i="30"/>
  <c r="DX33" i="30"/>
  <c r="DU33" i="30"/>
  <c r="DR33" i="30"/>
  <c r="DO33" i="30"/>
  <c r="DL33" i="30"/>
  <c r="DI33" i="30"/>
  <c r="DF33" i="30"/>
  <c r="DC33" i="30"/>
  <c r="CZ33" i="30"/>
  <c r="CW33" i="30"/>
  <c r="CT33" i="30"/>
  <c r="CQ33" i="30"/>
  <c r="CN33" i="30"/>
  <c r="CK33" i="30"/>
  <c r="CH33" i="30"/>
  <c r="CE33" i="30"/>
  <c r="CB33" i="30"/>
  <c r="BY33" i="30"/>
  <c r="BV33" i="30"/>
  <c r="BS33" i="30"/>
  <c r="BP33" i="30"/>
  <c r="BM33" i="30"/>
  <c r="BJ33" i="30"/>
  <c r="AD28" i="30"/>
  <c r="T28" i="30"/>
  <c r="T30" i="30" s="1"/>
  <c r="T31" i="30" s="1"/>
  <c r="T32" i="30" s="1"/>
  <c r="T33" i="30" s="1"/>
  <c r="T34" i="30" s="1"/>
  <c r="T35" i="30" s="1"/>
  <c r="T36" i="30" s="1"/>
  <c r="T37" i="30" s="1"/>
  <c r="T38" i="30" s="1"/>
  <c r="T39" i="30" s="1"/>
  <c r="T40" i="30" s="1"/>
  <c r="T41" i="30" s="1"/>
  <c r="T42" i="30" s="1"/>
  <c r="T43" i="30" s="1"/>
  <c r="T44" i="30" s="1"/>
  <c r="T47" i="30" s="1"/>
  <c r="T46" i="30" s="1"/>
  <c r="T45" i="30" s="1"/>
  <c r="F28" i="30"/>
  <c r="F29" i="30" s="1"/>
  <c r="F30" i="30" s="1"/>
  <c r="FR25" i="30"/>
  <c r="FF25" i="30"/>
  <c r="EZ25" i="30"/>
  <c r="ET25" i="30"/>
  <c r="EK25" i="30"/>
  <c r="EH25" i="30"/>
  <c r="DV25" i="30"/>
  <c r="DJ25" i="30"/>
  <c r="CX25" i="30"/>
  <c r="CR25" i="30"/>
  <c r="CL25" i="30"/>
  <c r="BZ25" i="30"/>
  <c r="BN25" i="30"/>
  <c r="BH25" i="30"/>
  <c r="BB25" i="30"/>
  <c r="AV25" i="30"/>
  <c r="AS25" i="30"/>
  <c r="AP25" i="30"/>
  <c r="AD25" i="30"/>
  <c r="FW10" i="30"/>
  <c r="FV10" i="30"/>
  <c r="FU10" i="30"/>
  <c r="FT10" i="30"/>
  <c r="FS10" i="30"/>
  <c r="FR10" i="30"/>
  <c r="FQ10" i="30"/>
  <c r="FP10" i="30"/>
  <c r="FO10" i="30"/>
  <c r="FN10" i="30"/>
  <c r="FM10" i="30"/>
  <c r="FL10" i="30"/>
  <c r="FK10" i="30"/>
  <c r="FJ10" i="30"/>
  <c r="FI10" i="30"/>
  <c r="FH10" i="30"/>
  <c r="FG10" i="30"/>
  <c r="FF10" i="30"/>
  <c r="FE10" i="30"/>
  <c r="FD10" i="30"/>
  <c r="FC10" i="30"/>
  <c r="FB10" i="30"/>
  <c r="FA10" i="30"/>
  <c r="EZ10" i="30"/>
  <c r="EY10" i="30"/>
  <c r="EX10" i="30"/>
  <c r="EW10" i="30"/>
  <c r="EV10" i="30"/>
  <c r="EU10" i="30"/>
  <c r="ET10" i="30"/>
  <c r="ES10" i="30"/>
  <c r="ER10" i="30"/>
  <c r="EQ10" i="30"/>
  <c r="EP10" i="30"/>
  <c r="EO10" i="30"/>
  <c r="EN10" i="30"/>
  <c r="EM10" i="30"/>
  <c r="EL10" i="30"/>
  <c r="EK10" i="30"/>
  <c r="EJ10" i="30"/>
  <c r="EI10" i="30"/>
  <c r="EH10" i="30"/>
  <c r="EG10" i="30"/>
  <c r="EF10" i="30"/>
  <c r="EE10" i="30"/>
  <c r="ED10" i="30"/>
  <c r="EC10" i="30"/>
  <c r="EB10" i="30"/>
  <c r="EA10" i="30"/>
  <c r="DZ10" i="30"/>
  <c r="DY10" i="30"/>
  <c r="DX10" i="30"/>
  <c r="DW10" i="30"/>
  <c r="DV10" i="30"/>
  <c r="DU10" i="30"/>
  <c r="DT10" i="30"/>
  <c r="DS10" i="30"/>
  <c r="DR10" i="30"/>
  <c r="DQ10" i="30"/>
  <c r="DP10" i="30"/>
  <c r="DO10" i="30"/>
  <c r="DN10" i="30"/>
  <c r="DM10" i="30"/>
  <c r="DL10" i="30"/>
  <c r="DK10" i="30"/>
  <c r="DJ10" i="30"/>
  <c r="DI10" i="30"/>
  <c r="DH10" i="30"/>
  <c r="DG10" i="30"/>
  <c r="DF10" i="30"/>
  <c r="DE10" i="30"/>
  <c r="DD10" i="30"/>
  <c r="DC10" i="30"/>
  <c r="DB10" i="30"/>
  <c r="DA10" i="30"/>
  <c r="CZ10" i="30"/>
  <c r="CY10" i="30"/>
  <c r="CX10" i="30"/>
  <c r="CW10" i="30"/>
  <c r="CV10" i="30"/>
  <c r="CU10" i="30"/>
  <c r="CT10" i="30"/>
  <c r="CS10" i="30"/>
  <c r="CR10" i="30"/>
  <c r="CQ10" i="30"/>
  <c r="CP10" i="30"/>
  <c r="CO10" i="30"/>
  <c r="CN10" i="30"/>
  <c r="CM10" i="30"/>
  <c r="CL10" i="30"/>
  <c r="CK10" i="30"/>
  <c r="CJ10" i="30"/>
  <c r="CI10" i="30"/>
  <c r="CH10" i="30"/>
  <c r="CG10" i="30"/>
  <c r="CF10" i="30"/>
  <c r="CE10" i="30"/>
  <c r="CD10" i="30"/>
  <c r="CC10" i="30"/>
  <c r="CB10" i="30"/>
  <c r="CA10" i="30"/>
  <c r="BZ10" i="30"/>
  <c r="BY10" i="30"/>
  <c r="BX10" i="30"/>
  <c r="BW10" i="30"/>
  <c r="BV10" i="30"/>
  <c r="BU10" i="30"/>
  <c r="BT10" i="30"/>
  <c r="BS10" i="30"/>
  <c r="BR10" i="30"/>
  <c r="BQ10" i="30"/>
  <c r="BP10" i="30"/>
  <c r="BO10" i="30"/>
  <c r="BN10" i="30"/>
  <c r="BM10" i="30"/>
  <c r="BL10" i="30"/>
  <c r="BK10" i="30"/>
  <c r="BJ10" i="30"/>
  <c r="BI10" i="30"/>
  <c r="BH10" i="30"/>
  <c r="BG10" i="30"/>
  <c r="BF10" i="30"/>
  <c r="BE10" i="30"/>
  <c r="BD10" i="30"/>
  <c r="BC10" i="30"/>
  <c r="BB10" i="30"/>
  <c r="BA10" i="30"/>
  <c r="AZ10" i="30"/>
  <c r="AY10" i="30"/>
  <c r="AX10" i="30"/>
  <c r="AW10" i="30"/>
  <c r="AV10" i="30"/>
  <c r="AU10" i="30"/>
  <c r="AT10" i="30"/>
  <c r="AS10" i="30"/>
  <c r="AR10" i="30"/>
  <c r="AQ10" i="30"/>
  <c r="AP10" i="30"/>
  <c r="AO10" i="30"/>
  <c r="AN10" i="30"/>
  <c r="AM10" i="30"/>
  <c r="AL10" i="30"/>
  <c r="AK10" i="30"/>
  <c r="AJ10" i="30"/>
  <c r="AI10" i="30"/>
  <c r="AH10" i="30"/>
  <c r="AG10" i="30"/>
  <c r="AF10" i="30"/>
  <c r="AE10" i="30"/>
  <c r="AD10" i="30"/>
  <c r="FW9" i="30"/>
  <c r="FV9" i="30"/>
  <c r="FU9" i="30"/>
  <c r="FT9" i="30"/>
  <c r="FS9" i="30"/>
  <c r="FR9" i="30"/>
  <c r="FQ9" i="30"/>
  <c r="FP9" i="30"/>
  <c r="FO9" i="30"/>
  <c r="FN9" i="30"/>
  <c r="FM9" i="30"/>
  <c r="FL9" i="30"/>
  <c r="FK9" i="30"/>
  <c r="FJ9" i="30"/>
  <c r="FI9" i="30"/>
  <c r="FH9" i="30"/>
  <c r="FG9" i="30"/>
  <c r="FF9" i="30"/>
  <c r="FE9" i="30"/>
  <c r="FD9" i="30"/>
  <c r="FC9" i="30"/>
  <c r="FB9" i="30"/>
  <c r="FA9" i="30"/>
  <c r="EZ9" i="30"/>
  <c r="EY9" i="30"/>
  <c r="EX9" i="30"/>
  <c r="EW9" i="30"/>
  <c r="EV9" i="30"/>
  <c r="EU9" i="30"/>
  <c r="ET9" i="30"/>
  <c r="ES9" i="30"/>
  <c r="ER9" i="30"/>
  <c r="EQ9" i="30"/>
  <c r="EP9" i="30"/>
  <c r="EO9" i="30"/>
  <c r="EN9" i="30"/>
  <c r="EM9" i="30"/>
  <c r="EL9" i="30"/>
  <c r="EK9" i="30"/>
  <c r="EJ9" i="30"/>
  <c r="EI9" i="30"/>
  <c r="EH9" i="30"/>
  <c r="EG9" i="30"/>
  <c r="EF9" i="30"/>
  <c r="EE9" i="30"/>
  <c r="ED9" i="30"/>
  <c r="EC9" i="30"/>
  <c r="EB9" i="30"/>
  <c r="EA9" i="30"/>
  <c r="DZ9" i="30"/>
  <c r="DY9" i="30"/>
  <c r="DX9" i="30"/>
  <c r="DW9" i="30"/>
  <c r="DV9" i="30"/>
  <c r="DU9" i="30"/>
  <c r="DT9" i="30"/>
  <c r="DS9" i="30"/>
  <c r="DR9" i="30"/>
  <c r="DQ9" i="30"/>
  <c r="DP9" i="30"/>
  <c r="DO9" i="30"/>
  <c r="DN9" i="30"/>
  <c r="DM9" i="30"/>
  <c r="DL9" i="30"/>
  <c r="DK9" i="30"/>
  <c r="DJ9" i="30"/>
  <c r="DI9" i="30"/>
  <c r="DH9" i="30"/>
  <c r="DG9" i="30"/>
  <c r="DF9" i="30"/>
  <c r="DE9" i="30"/>
  <c r="DD9" i="30"/>
  <c r="DC9" i="30"/>
  <c r="DB9" i="30"/>
  <c r="DA9" i="30"/>
  <c r="CZ9" i="30"/>
  <c r="CY9" i="30"/>
  <c r="CX9" i="30"/>
  <c r="CW9" i="30"/>
  <c r="CV9" i="30"/>
  <c r="CU9" i="30"/>
  <c r="CT9" i="30"/>
  <c r="CS9" i="30"/>
  <c r="CR9" i="30"/>
  <c r="CQ9" i="30"/>
  <c r="CP9" i="30"/>
  <c r="CO9" i="30"/>
  <c r="CN9" i="30"/>
  <c r="CM9" i="30"/>
  <c r="CL9" i="30"/>
  <c r="CK9" i="30"/>
  <c r="CJ9" i="30"/>
  <c r="CI9" i="30"/>
  <c r="CH9" i="30"/>
  <c r="CG9" i="30"/>
  <c r="CF9" i="30"/>
  <c r="CE9" i="30"/>
  <c r="CD9" i="30"/>
  <c r="CC9" i="30"/>
  <c r="CB9" i="30"/>
  <c r="CA9" i="30"/>
  <c r="BZ9" i="30"/>
  <c r="BY9" i="30"/>
  <c r="BX9" i="30"/>
  <c r="BW9" i="30"/>
  <c r="BV9" i="30"/>
  <c r="BU9" i="30"/>
  <c r="BT9" i="30"/>
  <c r="BS9" i="30"/>
  <c r="BR9" i="30"/>
  <c r="BQ9" i="30"/>
  <c r="BP9" i="30"/>
  <c r="BO9" i="30"/>
  <c r="BN9" i="30"/>
  <c r="BM9" i="30"/>
  <c r="BL9" i="30"/>
  <c r="BK9" i="30"/>
  <c r="BJ9" i="30"/>
  <c r="BI9" i="30"/>
  <c r="BH9" i="30"/>
  <c r="BG9" i="30"/>
  <c r="BF9" i="30"/>
  <c r="BE9" i="30"/>
  <c r="BD9" i="30"/>
  <c r="BC9" i="30"/>
  <c r="BB9" i="30"/>
  <c r="BA9" i="30"/>
  <c r="AZ9" i="30"/>
  <c r="AY9" i="30"/>
  <c r="AX9" i="30"/>
  <c r="AW9" i="30"/>
  <c r="AV9" i="30"/>
  <c r="AU9" i="30"/>
  <c r="AT9" i="30"/>
  <c r="AS9" i="30"/>
  <c r="AR9" i="30"/>
  <c r="AQ9" i="30"/>
  <c r="AP9" i="30"/>
  <c r="AO9" i="30"/>
  <c r="AN9" i="30"/>
  <c r="AM9" i="30"/>
  <c r="AL9" i="30"/>
  <c r="AK9" i="30"/>
  <c r="AJ9" i="30"/>
  <c r="AI9" i="30"/>
  <c r="AH9" i="30"/>
  <c r="AG9" i="30"/>
  <c r="AF9" i="30"/>
  <c r="AE9" i="30"/>
  <c r="AD9" i="30"/>
  <c r="FW8" i="30"/>
  <c r="FP8" i="30"/>
  <c r="FE8" i="30"/>
  <c r="EZ8" i="30"/>
  <c r="EK8" i="30"/>
  <c r="EC8" i="30"/>
  <c r="DX8" i="30"/>
  <c r="DP8" i="30"/>
  <c r="DI8" i="30"/>
  <c r="CZ8" i="30"/>
  <c r="CN8" i="30"/>
  <c r="CG8" i="30"/>
  <c r="BX8" i="30"/>
  <c r="BL8" i="30"/>
  <c r="BI8" i="30"/>
  <c r="BD8" i="30"/>
  <c r="AV8" i="30"/>
  <c r="AG8" i="30"/>
  <c r="FW7" i="30"/>
  <c r="FV7" i="30"/>
  <c r="FU7" i="30"/>
  <c r="FT7" i="30"/>
  <c r="FS7" i="30"/>
  <c r="FR7" i="30"/>
  <c r="FQ7" i="30"/>
  <c r="FP7" i="30"/>
  <c r="FO7" i="30"/>
  <c r="FN7" i="30"/>
  <c r="FM7" i="30"/>
  <c r="FL7" i="30"/>
  <c r="FK7" i="30"/>
  <c r="FJ7" i="30"/>
  <c r="FI7" i="30"/>
  <c r="FH7" i="30"/>
  <c r="FG7" i="30"/>
  <c r="FF7" i="30"/>
  <c r="FE7" i="30"/>
  <c r="FD7" i="30"/>
  <c r="FC7" i="30"/>
  <c r="FB7" i="30"/>
  <c r="FA7" i="30"/>
  <c r="EZ7" i="30"/>
  <c r="EY7" i="30"/>
  <c r="EX7" i="30"/>
  <c r="EW7" i="30"/>
  <c r="EV7" i="30"/>
  <c r="EU7" i="30"/>
  <c r="ET7" i="30"/>
  <c r="ES7" i="30"/>
  <c r="ES8" i="30" s="1"/>
  <c r="ER7" i="30"/>
  <c r="EQ7" i="30"/>
  <c r="EP7" i="30"/>
  <c r="EO7" i="30"/>
  <c r="EN7" i="30"/>
  <c r="EM7" i="30"/>
  <c r="EL7" i="30"/>
  <c r="EK7" i="30"/>
  <c r="EJ7" i="30"/>
  <c r="EI7" i="30"/>
  <c r="EH7" i="30"/>
  <c r="EG7" i="30"/>
  <c r="EF7" i="30"/>
  <c r="EE7" i="30"/>
  <c r="ED7" i="30"/>
  <c r="EC7" i="30"/>
  <c r="EB7" i="30"/>
  <c r="EA7" i="30"/>
  <c r="DZ7" i="30"/>
  <c r="DY7" i="30"/>
  <c r="DX7" i="30"/>
  <c r="DW7" i="30"/>
  <c r="DV7" i="30"/>
  <c r="DU7" i="30"/>
  <c r="DU8" i="30" s="1"/>
  <c r="DT7" i="30"/>
  <c r="DS7" i="30"/>
  <c r="DR7" i="30"/>
  <c r="DQ7" i="30"/>
  <c r="DP7" i="30"/>
  <c r="DO7" i="30"/>
  <c r="DN7" i="30"/>
  <c r="DM7" i="30"/>
  <c r="DL7" i="30"/>
  <c r="DK7" i="30"/>
  <c r="DJ7" i="30"/>
  <c r="DI7" i="30"/>
  <c r="DH7" i="30"/>
  <c r="DG7" i="30"/>
  <c r="DF7" i="30"/>
  <c r="DE7" i="30"/>
  <c r="DD7" i="30"/>
  <c r="DC7" i="30"/>
  <c r="DB7" i="30"/>
  <c r="DA7" i="30"/>
  <c r="CZ7" i="30"/>
  <c r="CY7" i="30"/>
  <c r="CX7" i="30"/>
  <c r="CW7" i="30"/>
  <c r="CV7" i="30"/>
  <c r="CU7" i="30"/>
  <c r="CT7" i="30"/>
  <c r="CS7" i="30"/>
  <c r="CS8" i="30" s="1"/>
  <c r="CR7" i="30"/>
  <c r="CQ7" i="30"/>
  <c r="CP7" i="30"/>
  <c r="CO7" i="30"/>
  <c r="CN7" i="30"/>
  <c r="CM7" i="30"/>
  <c r="CL7" i="30"/>
  <c r="CK7" i="30"/>
  <c r="CJ7" i="30"/>
  <c r="CI7" i="30"/>
  <c r="CH7" i="30"/>
  <c r="CG7" i="30"/>
  <c r="CF7" i="30"/>
  <c r="CE7" i="30"/>
  <c r="CD7" i="30"/>
  <c r="CC7" i="30"/>
  <c r="CB7" i="30"/>
  <c r="CA7" i="30"/>
  <c r="BZ7" i="30"/>
  <c r="BY7" i="30"/>
  <c r="BY8" i="30" s="1"/>
  <c r="BX7" i="30"/>
  <c r="BW7" i="30"/>
  <c r="BV7" i="30"/>
  <c r="BU7" i="30"/>
  <c r="BT7" i="30"/>
  <c r="BS7" i="30"/>
  <c r="BR7" i="30"/>
  <c r="BQ7" i="30"/>
  <c r="BQ8" i="30" s="1"/>
  <c r="BP7" i="30"/>
  <c r="BO7" i="30"/>
  <c r="BN7" i="30"/>
  <c r="BM7" i="30"/>
  <c r="BL7" i="30"/>
  <c r="BK7" i="30"/>
  <c r="BJ7" i="30"/>
  <c r="BI7" i="30"/>
  <c r="BH7" i="30"/>
  <c r="BG7" i="30"/>
  <c r="BF7" i="30"/>
  <c r="BE7" i="30"/>
  <c r="BD7" i="30"/>
  <c r="BC7" i="30"/>
  <c r="BB7" i="30"/>
  <c r="BA7" i="30"/>
  <c r="AZ7" i="30"/>
  <c r="AY7" i="30"/>
  <c r="AX7" i="30"/>
  <c r="AW7" i="30"/>
  <c r="AW8" i="30" s="1"/>
  <c r="AV7" i="30"/>
  <c r="AU7" i="30"/>
  <c r="AT7" i="30"/>
  <c r="AS7" i="30"/>
  <c r="AR7" i="30"/>
  <c r="AQ7" i="30"/>
  <c r="AP7" i="30"/>
  <c r="AO7" i="30"/>
  <c r="AN7" i="30"/>
  <c r="AM7" i="30"/>
  <c r="AL7" i="30"/>
  <c r="AK7" i="30"/>
  <c r="AJ7" i="30"/>
  <c r="AI7" i="30"/>
  <c r="AH7" i="30"/>
  <c r="AG7" i="30"/>
  <c r="AF7" i="30"/>
  <c r="AE7" i="30"/>
  <c r="AD7" i="30"/>
  <c r="FW6" i="30"/>
  <c r="FV6" i="30"/>
  <c r="FU6" i="30"/>
  <c r="FT6" i="30"/>
  <c r="FS6" i="30"/>
  <c r="FR6" i="30"/>
  <c r="FQ6" i="30"/>
  <c r="FQ8" i="30" s="1"/>
  <c r="FP6" i="30"/>
  <c r="FO6" i="30"/>
  <c r="FN6" i="30"/>
  <c r="FM6" i="30"/>
  <c r="FL6" i="30"/>
  <c r="FK6" i="30"/>
  <c r="FJ6" i="30"/>
  <c r="FI6" i="30"/>
  <c r="FH6" i="30"/>
  <c r="FG6" i="30"/>
  <c r="FG8" i="30" s="1"/>
  <c r="FF6" i="30"/>
  <c r="FE6" i="30"/>
  <c r="FD6" i="30"/>
  <c r="FC6" i="30"/>
  <c r="FB6" i="30"/>
  <c r="FA6" i="30"/>
  <c r="FA8" i="30" s="1"/>
  <c r="EZ6" i="30"/>
  <c r="EY6" i="30"/>
  <c r="EY8" i="30" s="1"/>
  <c r="EX6" i="30"/>
  <c r="EW6" i="30"/>
  <c r="EV6" i="30"/>
  <c r="EU6" i="30"/>
  <c r="ET6" i="30"/>
  <c r="ES6" i="30"/>
  <c r="ER6" i="30"/>
  <c r="EQ6" i="30"/>
  <c r="EP6" i="30"/>
  <c r="EO6" i="30"/>
  <c r="EO8" i="30" s="1"/>
  <c r="EN6" i="30"/>
  <c r="EM6" i="30"/>
  <c r="EL6" i="30"/>
  <c r="EK6" i="30"/>
  <c r="EJ6" i="30"/>
  <c r="EI6" i="30"/>
  <c r="EH6" i="30"/>
  <c r="EG6" i="30"/>
  <c r="EF6" i="30"/>
  <c r="EE6" i="30"/>
  <c r="ED6" i="30"/>
  <c r="EC6" i="30"/>
  <c r="EB6" i="30"/>
  <c r="EA6" i="30"/>
  <c r="DZ6" i="30"/>
  <c r="DY6" i="30"/>
  <c r="DY25" i="30" s="1"/>
  <c r="DX6" i="30"/>
  <c r="DW6" i="30"/>
  <c r="DV6" i="30"/>
  <c r="DU6" i="30"/>
  <c r="DT6" i="30"/>
  <c r="DS6" i="30"/>
  <c r="DR6" i="30"/>
  <c r="DQ6" i="30"/>
  <c r="DP6" i="30"/>
  <c r="DO6" i="30"/>
  <c r="DN6" i="30"/>
  <c r="DM6" i="30"/>
  <c r="DL6" i="30"/>
  <c r="DK6" i="30"/>
  <c r="DJ6" i="30"/>
  <c r="DI6" i="30"/>
  <c r="DH6" i="30"/>
  <c r="DG6" i="30"/>
  <c r="DF6" i="30"/>
  <c r="DE6" i="30"/>
  <c r="DE8" i="30" s="1"/>
  <c r="DD6" i="30"/>
  <c r="DC6" i="30"/>
  <c r="DC8" i="30" s="1"/>
  <c r="DB6" i="30"/>
  <c r="DA6" i="30"/>
  <c r="CZ6" i="30"/>
  <c r="CY6" i="30"/>
  <c r="CX6" i="30"/>
  <c r="CW6" i="30"/>
  <c r="CV6" i="30"/>
  <c r="CU6" i="30"/>
  <c r="CU25" i="30" s="1"/>
  <c r="CT6" i="30"/>
  <c r="CS6" i="30"/>
  <c r="CR6" i="30"/>
  <c r="CQ6" i="30"/>
  <c r="CP6" i="30"/>
  <c r="CO6" i="30"/>
  <c r="CO25" i="30" s="1"/>
  <c r="CN6" i="30"/>
  <c r="CM6" i="30"/>
  <c r="CL6" i="30"/>
  <c r="CK6" i="30"/>
  <c r="CJ6" i="30"/>
  <c r="CI6" i="30"/>
  <c r="CH6" i="30"/>
  <c r="CG6" i="30"/>
  <c r="CF6" i="30"/>
  <c r="CE6" i="30"/>
  <c r="CD6" i="30"/>
  <c r="CC6" i="30"/>
  <c r="CC25" i="30" s="1"/>
  <c r="CB6" i="30"/>
  <c r="CA6" i="30"/>
  <c r="BZ6" i="30"/>
  <c r="BY6" i="30"/>
  <c r="BX6" i="30"/>
  <c r="BW6" i="30"/>
  <c r="BV6" i="30"/>
  <c r="BU6" i="30"/>
  <c r="BT6" i="30"/>
  <c r="BS6" i="30"/>
  <c r="BS8" i="30" s="1"/>
  <c r="BR6" i="30"/>
  <c r="BQ6" i="30"/>
  <c r="BP6" i="30"/>
  <c r="BO6" i="30"/>
  <c r="BN6" i="30"/>
  <c r="BM6" i="30"/>
  <c r="BM8" i="30" s="1"/>
  <c r="BL6" i="30"/>
  <c r="BK6" i="30"/>
  <c r="BJ6" i="30"/>
  <c r="BI6" i="30"/>
  <c r="BH6" i="30"/>
  <c r="BG6" i="30"/>
  <c r="BF6" i="30"/>
  <c r="BE6" i="30"/>
  <c r="BD6" i="30"/>
  <c r="BC6" i="30"/>
  <c r="BB6" i="30"/>
  <c r="BA6" i="30"/>
  <c r="AZ6" i="30"/>
  <c r="AY6" i="30"/>
  <c r="AX6" i="30"/>
  <c r="AW6" i="30"/>
  <c r="AV6" i="30"/>
  <c r="AU6" i="30"/>
  <c r="AT6" i="30"/>
  <c r="AS6" i="30"/>
  <c r="AR6" i="30"/>
  <c r="AR8" i="30" s="1"/>
  <c r="AQ6" i="30"/>
  <c r="AP6" i="30"/>
  <c r="AO6" i="30"/>
  <c r="AN6" i="30"/>
  <c r="AN8" i="30" s="1"/>
  <c r="AM6" i="30"/>
  <c r="AL6" i="30"/>
  <c r="AK6" i="30"/>
  <c r="AJ6" i="30"/>
  <c r="AI6" i="30"/>
  <c r="AI8" i="30" s="1"/>
  <c r="AH6" i="30"/>
  <c r="AG6" i="30"/>
  <c r="AF6" i="30"/>
  <c r="AF8" i="30" s="1"/>
  <c r="AE6" i="30"/>
  <c r="AE8" i="30" s="1"/>
  <c r="AD6" i="30"/>
  <c r="T85" i="29"/>
  <c r="AW79" i="29"/>
  <c r="AR79" i="29"/>
  <c r="AG79" i="29"/>
  <c r="AS77" i="29"/>
  <c r="AS78" i="29" s="1"/>
  <c r="BD71" i="29"/>
  <c r="BF70" i="29"/>
  <c r="AB70" i="29"/>
  <c r="AX69" i="29"/>
  <c r="AX62" i="29" s="1"/>
  <c r="AW69" i="29"/>
  <c r="AV69" i="29"/>
  <c r="AU69" i="29"/>
  <c r="AT69" i="29"/>
  <c r="AT62" i="29" s="1"/>
  <c r="AS69" i="29"/>
  <c r="AR69" i="29"/>
  <c r="AQ69" i="29"/>
  <c r="AP69" i="29"/>
  <c r="AP62" i="29" s="1"/>
  <c r="AP55" i="29" s="1"/>
  <c r="AO69" i="29"/>
  <c r="AN69" i="29"/>
  <c r="AM69" i="29"/>
  <c r="AL69" i="29"/>
  <c r="AK69" i="29"/>
  <c r="AJ69" i="29"/>
  <c r="AI69" i="29"/>
  <c r="AH69" i="29"/>
  <c r="AH62" i="29" s="1"/>
  <c r="AG69" i="29"/>
  <c r="AF69" i="29"/>
  <c r="AE69" i="29"/>
  <c r="BD68" i="29"/>
  <c r="BF67" i="29"/>
  <c r="AB67" i="29"/>
  <c r="AX66" i="29"/>
  <c r="AW66" i="29"/>
  <c r="AV66" i="29"/>
  <c r="AU66" i="29"/>
  <c r="AT66" i="29"/>
  <c r="AS66" i="29"/>
  <c r="AR66" i="29"/>
  <c r="AQ66" i="29"/>
  <c r="AP66" i="29"/>
  <c r="AO66" i="29"/>
  <c r="AN66" i="29"/>
  <c r="AM66" i="29"/>
  <c r="AL66" i="29"/>
  <c r="AK66" i="29"/>
  <c r="AJ66" i="29"/>
  <c r="AI66" i="29"/>
  <c r="AH66" i="29"/>
  <c r="AG66" i="29"/>
  <c r="AF66" i="29"/>
  <c r="AE66" i="29"/>
  <c r="BD65" i="29"/>
  <c r="BF64" i="29"/>
  <c r="AB64" i="29"/>
  <c r="AX63" i="29"/>
  <c r="AW63" i="29"/>
  <c r="AW62" i="29" s="1"/>
  <c r="AW55" i="29" s="1"/>
  <c r="AW77" i="29" s="1"/>
  <c r="AW78" i="29" s="1"/>
  <c r="AV63" i="29"/>
  <c r="AV62" i="29" s="1"/>
  <c r="AU63" i="29"/>
  <c r="AT63" i="29"/>
  <c r="AS63" i="29"/>
  <c r="AS62" i="29" s="1"/>
  <c r="AS55" i="29" s="1"/>
  <c r="AS79" i="29" s="1"/>
  <c r="AR63" i="29"/>
  <c r="AR62" i="29" s="1"/>
  <c r="AR55" i="29" s="1"/>
  <c r="AR77" i="29" s="1"/>
  <c r="AR78" i="29" s="1"/>
  <c r="AQ63" i="29"/>
  <c r="AP63" i="29"/>
  <c r="AO63" i="29"/>
  <c r="AO62" i="29" s="1"/>
  <c r="AN63" i="29"/>
  <c r="AM63" i="29"/>
  <c r="AL63" i="29"/>
  <c r="AL62" i="29" s="1"/>
  <c r="AK63" i="29"/>
  <c r="AK62" i="29" s="1"/>
  <c r="AJ63" i="29"/>
  <c r="AJ62" i="29" s="1"/>
  <c r="AJ55" i="29" s="1"/>
  <c r="AI63" i="29"/>
  <c r="AH63" i="29"/>
  <c r="AG63" i="29"/>
  <c r="AG62" i="29" s="1"/>
  <c r="AG55" i="29" s="1"/>
  <c r="AG77" i="29" s="1"/>
  <c r="AG78" i="29" s="1"/>
  <c r="AF63" i="29"/>
  <c r="AF62" i="29" s="1"/>
  <c r="AE63" i="29"/>
  <c r="AN62" i="29"/>
  <c r="AM62" i="29"/>
  <c r="AI62" i="29"/>
  <c r="AX56" i="29"/>
  <c r="AW56" i="29"/>
  <c r="AV56" i="29"/>
  <c r="AU56" i="29"/>
  <c r="AT56" i="29"/>
  <c r="AS56" i="29"/>
  <c r="AR56" i="29"/>
  <c r="AQ56" i="29"/>
  <c r="AP56" i="29"/>
  <c r="AO56" i="29"/>
  <c r="AN56" i="29"/>
  <c r="AM56" i="29"/>
  <c r="AM55" i="29" s="1"/>
  <c r="AM77" i="29" s="1"/>
  <c r="AM78" i="29" s="1"/>
  <c r="AL56" i="29"/>
  <c r="AK56" i="29"/>
  <c r="AJ56" i="29"/>
  <c r="AI56" i="29"/>
  <c r="AH56" i="29"/>
  <c r="AG56" i="29"/>
  <c r="AF56" i="29"/>
  <c r="AE56" i="29"/>
  <c r="AV55" i="29"/>
  <c r="AO55" i="29"/>
  <c r="AO79" i="29" s="1"/>
  <c r="AK55" i="29"/>
  <c r="AF55" i="29"/>
  <c r="T54" i="29"/>
  <c r="F54" i="29"/>
  <c r="AS52" i="29"/>
  <c r="AU50" i="29"/>
  <c r="AU51" i="29" s="1"/>
  <c r="BD44" i="29"/>
  <c r="BF43" i="29"/>
  <c r="AB43" i="29"/>
  <c r="AX42" i="29"/>
  <c r="AW42" i="29"/>
  <c r="AV42" i="29"/>
  <c r="AU42" i="29"/>
  <c r="AT42" i="29"/>
  <c r="AS42" i="29"/>
  <c r="AR42" i="29"/>
  <c r="AQ42" i="29"/>
  <c r="AP42" i="29"/>
  <c r="AO42" i="29"/>
  <c r="AN42" i="29"/>
  <c r="AM42" i="29"/>
  <c r="AL42" i="29"/>
  <c r="AK42" i="29"/>
  <c r="AJ42" i="29"/>
  <c r="AJ35" i="29" s="1"/>
  <c r="AI42" i="29"/>
  <c r="AH42" i="29"/>
  <c r="AG42" i="29"/>
  <c r="AF42" i="29"/>
  <c r="AE42" i="29"/>
  <c r="BD41" i="29"/>
  <c r="BF40" i="29"/>
  <c r="AB40" i="29"/>
  <c r="AX39" i="29"/>
  <c r="AW39" i="29"/>
  <c r="AV39" i="29"/>
  <c r="AU39" i="29"/>
  <c r="AU35" i="29" s="1"/>
  <c r="AT39" i="29"/>
  <c r="AS39" i="29"/>
  <c r="AR39" i="29"/>
  <c r="AQ39" i="29"/>
  <c r="AQ35" i="29" s="1"/>
  <c r="AP39" i="29"/>
  <c r="AO39" i="29"/>
  <c r="AN39" i="29"/>
  <c r="AM39" i="29"/>
  <c r="AM35" i="29" s="1"/>
  <c r="AL39" i="29"/>
  <c r="AK39" i="29"/>
  <c r="AJ39" i="29"/>
  <c r="AI39" i="29"/>
  <c r="AH39" i="29"/>
  <c r="AG39" i="29"/>
  <c r="AF39" i="29"/>
  <c r="AE39" i="29"/>
  <c r="AE35" i="29" s="1"/>
  <c r="BD38" i="29"/>
  <c r="BF37" i="29"/>
  <c r="AB37" i="29"/>
  <c r="AX36" i="29"/>
  <c r="AX35" i="29" s="1"/>
  <c r="AX28" i="29" s="1"/>
  <c r="AW36" i="29"/>
  <c r="AW35" i="29" s="1"/>
  <c r="AW28" i="29" s="1"/>
  <c r="AV36" i="29"/>
  <c r="AU36" i="29"/>
  <c r="AT36" i="29"/>
  <c r="AS36" i="29"/>
  <c r="AS35" i="29" s="1"/>
  <c r="AS28" i="29" s="1"/>
  <c r="AS50" i="29" s="1"/>
  <c r="AS51" i="29" s="1"/>
  <c r="AR36" i="29"/>
  <c r="AQ36" i="29"/>
  <c r="AP36" i="29"/>
  <c r="AO36" i="29"/>
  <c r="AO35" i="29" s="1"/>
  <c r="AO28" i="29" s="1"/>
  <c r="AO52" i="29" s="1"/>
  <c r="AN36" i="29"/>
  <c r="AM36" i="29"/>
  <c r="AL36" i="29"/>
  <c r="AL35" i="29" s="1"/>
  <c r="AL28" i="29" s="1"/>
  <c r="AK36" i="29"/>
  <c r="AK35" i="29" s="1"/>
  <c r="AK28" i="29" s="1"/>
  <c r="AJ36" i="29"/>
  <c r="AI36" i="29"/>
  <c r="AH36" i="29"/>
  <c r="AH35" i="29" s="1"/>
  <c r="AH28" i="29" s="1"/>
  <c r="AG36" i="29"/>
  <c r="AG35" i="29" s="1"/>
  <c r="AG28" i="29" s="1"/>
  <c r="AF36" i="29"/>
  <c r="AE36" i="29"/>
  <c r="AT35" i="29"/>
  <c r="AT28" i="29" s="1"/>
  <c r="AP35" i="29"/>
  <c r="AN35" i="29"/>
  <c r="AI35" i="29"/>
  <c r="F30" i="29"/>
  <c r="AX29" i="29"/>
  <c r="AW29" i="29"/>
  <c r="AV29" i="29"/>
  <c r="AU29" i="29"/>
  <c r="AU28" i="29" s="1"/>
  <c r="AU52" i="29" s="1"/>
  <c r="AT29" i="29"/>
  <c r="AS29" i="29"/>
  <c r="AR29" i="29"/>
  <c r="AQ29" i="29"/>
  <c r="AQ28" i="29" s="1"/>
  <c r="AP29" i="29"/>
  <c r="AO29" i="29"/>
  <c r="AN29" i="29"/>
  <c r="AM29" i="29"/>
  <c r="AM28" i="29" s="1"/>
  <c r="AL29" i="29"/>
  <c r="AK29" i="29"/>
  <c r="AJ29" i="29"/>
  <c r="AI29" i="29"/>
  <c r="AH29" i="29"/>
  <c r="AG29" i="29"/>
  <c r="AF29" i="29"/>
  <c r="AE29" i="29"/>
  <c r="AE28" i="29" s="1"/>
  <c r="AE52" i="29" s="1"/>
  <c r="AP28" i="29"/>
  <c r="F28" i="29"/>
  <c r="F29" i="29" s="1"/>
  <c r="T29" i="29" s="1"/>
  <c r="I27" i="29"/>
  <c r="F27" i="29"/>
  <c r="T27" i="29" s="1"/>
  <c r="AX24" i="29"/>
  <c r="AW24" i="29"/>
  <c r="AV24" i="29"/>
  <c r="AU24" i="29"/>
  <c r="AT24" i="29"/>
  <c r="AS24" i="29"/>
  <c r="AR24" i="29"/>
  <c r="AQ24" i="29"/>
  <c r="AP24" i="29"/>
  <c r="AO24" i="29"/>
  <c r="AN24" i="29"/>
  <c r="AM24" i="29"/>
  <c r="AL24" i="29"/>
  <c r="AK24" i="29"/>
  <c r="AJ24" i="29"/>
  <c r="AI24" i="29"/>
  <c r="AH24" i="29"/>
  <c r="AG24" i="29"/>
  <c r="AF24" i="29"/>
  <c r="AE24" i="29"/>
  <c r="BA11" i="29"/>
  <c r="AZ11" i="29"/>
  <c r="AY11" i="29"/>
  <c r="AX10" i="29"/>
  <c r="AW10" i="29"/>
  <c r="AV10" i="29"/>
  <c r="AU10" i="29"/>
  <c r="AT10" i="29"/>
  <c r="AS10" i="29"/>
  <c r="AR10" i="29"/>
  <c r="AQ10" i="29"/>
  <c r="AP10" i="29"/>
  <c r="AO10" i="29"/>
  <c r="AN10" i="29"/>
  <c r="AM10" i="29"/>
  <c r="AL10" i="29"/>
  <c r="AK10" i="29"/>
  <c r="AJ10" i="29"/>
  <c r="AI10" i="29"/>
  <c r="AH10" i="29"/>
  <c r="AG10" i="29"/>
  <c r="AF10" i="29"/>
  <c r="AE10" i="29"/>
  <c r="AX9" i="29"/>
  <c r="AW9" i="29"/>
  <c r="AV9" i="29"/>
  <c r="AU9" i="29"/>
  <c r="AT9" i="29"/>
  <c r="AS9" i="29"/>
  <c r="AR9" i="29"/>
  <c r="AQ9" i="29"/>
  <c r="AP9" i="29"/>
  <c r="AO9" i="29"/>
  <c r="AN9" i="29"/>
  <c r="AM9" i="29"/>
  <c r="AL9" i="29"/>
  <c r="AK9" i="29"/>
  <c r="AJ9" i="29"/>
  <c r="AI9" i="29"/>
  <c r="AH9" i="29"/>
  <c r="AG9" i="29"/>
  <c r="AF9" i="29"/>
  <c r="AE9" i="29"/>
  <c r="AX8" i="29"/>
  <c r="AV8" i="29"/>
  <c r="AT8" i="29"/>
  <c r="AN8" i="29"/>
  <c r="AJ8" i="29"/>
  <c r="AF8" i="29"/>
  <c r="AX7" i="29"/>
  <c r="AW7" i="29"/>
  <c r="AV7" i="29"/>
  <c r="AU7" i="29"/>
  <c r="AT7" i="29"/>
  <c r="AS7" i="29"/>
  <c r="AR7" i="29"/>
  <c r="AQ7" i="29"/>
  <c r="AP7" i="29"/>
  <c r="AO7" i="29"/>
  <c r="AN7" i="29"/>
  <c r="AM7" i="29"/>
  <c r="AL7" i="29"/>
  <c r="AK7" i="29"/>
  <c r="AJ7" i="29"/>
  <c r="AI7" i="29"/>
  <c r="AH7" i="29"/>
  <c r="AG7" i="29"/>
  <c r="AF7" i="29"/>
  <c r="AE7" i="29"/>
  <c r="AX6" i="29"/>
  <c r="AW6" i="29"/>
  <c r="AW8" i="29" s="1"/>
  <c r="AV6" i="29"/>
  <c r="AU6" i="29"/>
  <c r="AU8" i="29" s="1"/>
  <c r="AT6" i="29"/>
  <c r="AS6" i="29"/>
  <c r="AR6" i="29"/>
  <c r="AR8" i="29" s="1"/>
  <c r="AQ6" i="29"/>
  <c r="AQ8" i="29" s="1"/>
  <c r="AP6" i="29"/>
  <c r="AO6" i="29"/>
  <c r="AN6" i="29"/>
  <c r="AM6" i="29"/>
  <c r="AM8" i="29" s="1"/>
  <c r="AL6" i="29"/>
  <c r="AL8" i="29" s="1"/>
  <c r="AK6" i="29"/>
  <c r="AJ6" i="29"/>
  <c r="AI6" i="29"/>
  <c r="AI8" i="29" s="1"/>
  <c r="AH6" i="29"/>
  <c r="AH8" i="29" s="1"/>
  <c r="AG6" i="29"/>
  <c r="AF6" i="29"/>
  <c r="AE6" i="29"/>
  <c r="AE8" i="29" s="1"/>
  <c r="T79" i="28"/>
  <c r="AL67" i="28"/>
  <c r="AN66" i="28"/>
  <c r="AB66" i="28"/>
  <c r="AF65" i="28"/>
  <c r="AE65" i="28"/>
  <c r="AL64" i="28"/>
  <c r="AN63" i="28"/>
  <c r="AB63" i="28"/>
  <c r="AF62" i="28"/>
  <c r="AE62" i="28"/>
  <c r="AE70" i="28" s="1"/>
  <c r="AE73" i="28" s="1"/>
  <c r="AE57" i="28"/>
  <c r="AE60" i="28" s="1"/>
  <c r="AF55" i="28"/>
  <c r="AF57" i="28" s="1"/>
  <c r="AF60" i="28" s="1"/>
  <c r="AE55" i="28"/>
  <c r="F51" i="28"/>
  <c r="AF49" i="28"/>
  <c r="AF46" i="28"/>
  <c r="AL43" i="28"/>
  <c r="AN42" i="28"/>
  <c r="AB42" i="28"/>
  <c r="AF41" i="28"/>
  <c r="AE41" i="28"/>
  <c r="AE46" i="28" s="1"/>
  <c r="AE49" i="28" s="1"/>
  <c r="AL40" i="28"/>
  <c r="AN39" i="28"/>
  <c r="AB39" i="28"/>
  <c r="AF38" i="28"/>
  <c r="AE38" i="28"/>
  <c r="AF33" i="28"/>
  <c r="AF36" i="28" s="1"/>
  <c r="AE33" i="28"/>
  <c r="AE36" i="28" s="1"/>
  <c r="AF31" i="28"/>
  <c r="AE31" i="28"/>
  <c r="F27" i="28"/>
  <c r="AF24" i="28"/>
  <c r="AE24" i="28"/>
  <c r="AI11" i="28"/>
  <c r="AH11" i="28"/>
  <c r="AG11" i="28"/>
  <c r="AF10" i="28"/>
  <c r="AE10" i="28"/>
  <c r="AF9" i="28"/>
  <c r="AE9" i="28"/>
  <c r="AF7" i="28"/>
  <c r="AE7" i="28"/>
  <c r="AF6" i="28"/>
  <c r="AF8" i="28" s="1"/>
  <c r="AE6" i="28"/>
  <c r="AE8" i="28" s="1"/>
  <c r="T59" i="27"/>
  <c r="AF51" i="27"/>
  <c r="AE51" i="27"/>
  <c r="AF45" i="27"/>
  <c r="AE45" i="27"/>
  <c r="F42" i="27"/>
  <c r="F43" i="27" s="1"/>
  <c r="F44" i="27" s="1"/>
  <c r="F45" i="27" s="1"/>
  <c r="F46" i="27" s="1"/>
  <c r="F47" i="27" s="1"/>
  <c r="F48" i="27" s="1"/>
  <c r="F49" i="27" s="1"/>
  <c r="F50" i="27" s="1"/>
  <c r="F51" i="27" s="1"/>
  <c r="F52" i="27" s="1"/>
  <c r="F53" i="27" s="1"/>
  <c r="F54" i="27" s="1"/>
  <c r="T41" i="27"/>
  <c r="T42" i="27" s="1"/>
  <c r="T43" i="27" s="1"/>
  <c r="T44" i="27" s="1"/>
  <c r="T45" i="27" s="1"/>
  <c r="T46" i="27" s="1"/>
  <c r="T47" i="27" s="1"/>
  <c r="T48" i="27" s="1"/>
  <c r="T49" i="27" s="1"/>
  <c r="T50" i="27" s="1"/>
  <c r="T51" i="27" s="1"/>
  <c r="T52" i="27" s="1"/>
  <c r="T53" i="27" s="1"/>
  <c r="T54" i="27" s="1"/>
  <c r="I41" i="27"/>
  <c r="F41" i="27"/>
  <c r="AF37" i="27"/>
  <c r="AE37" i="27"/>
  <c r="AF31" i="27"/>
  <c r="AE31" i="27"/>
  <c r="T31" i="27"/>
  <c r="T32" i="27" s="1"/>
  <c r="T33" i="27" s="1"/>
  <c r="T34" i="27" s="1"/>
  <c r="T35" i="27" s="1"/>
  <c r="T36" i="27" s="1"/>
  <c r="T37" i="27" s="1"/>
  <c r="T38" i="27" s="1"/>
  <c r="T39" i="27" s="1"/>
  <c r="T40" i="27" s="1"/>
  <c r="T30" i="27"/>
  <c r="T28" i="27"/>
  <c r="T29" i="27" s="1"/>
  <c r="F28" i="27"/>
  <c r="F29" i="27" s="1"/>
  <c r="F30" i="27" s="1"/>
  <c r="F31" i="27" s="1"/>
  <c r="F32" i="27" s="1"/>
  <c r="F33" i="27" s="1"/>
  <c r="F34" i="27" s="1"/>
  <c r="F35" i="27" s="1"/>
  <c r="F36" i="27" s="1"/>
  <c r="F37" i="27" s="1"/>
  <c r="F38" i="27" s="1"/>
  <c r="F39" i="27" s="1"/>
  <c r="F40" i="27" s="1"/>
  <c r="T27" i="27"/>
  <c r="I27" i="27"/>
  <c r="F27" i="27"/>
  <c r="AF24" i="27"/>
  <c r="AE24" i="27"/>
  <c r="AI11" i="27"/>
  <c r="AH11" i="27"/>
  <c r="AG11" i="27"/>
  <c r="AF10" i="27"/>
  <c r="AE10" i="27"/>
  <c r="AF9" i="27"/>
  <c r="AE9" i="27"/>
  <c r="AF8" i="27"/>
  <c r="AF7" i="27"/>
  <c r="AE7" i="27"/>
  <c r="AF6" i="27"/>
  <c r="AE6" i="27"/>
  <c r="AE8" i="27" s="1"/>
  <c r="T107" i="26"/>
  <c r="AL102" i="26"/>
  <c r="AH102" i="26"/>
  <c r="AK100" i="26"/>
  <c r="AJ100" i="26"/>
  <c r="AI100" i="26"/>
  <c r="AL100" i="26" s="1"/>
  <c r="AG100" i="26"/>
  <c r="AH100" i="26" s="1"/>
  <c r="AF100" i="26"/>
  <c r="AE100" i="26"/>
  <c r="AL97" i="26"/>
  <c r="AH97" i="26"/>
  <c r="AL94" i="26"/>
  <c r="AH94" i="26"/>
  <c r="AL92" i="26"/>
  <c r="AH92" i="26"/>
  <c r="AL90" i="26"/>
  <c r="AH90" i="26"/>
  <c r="AL88" i="26"/>
  <c r="AH88" i="26"/>
  <c r="AT85" i="26"/>
  <c r="AL85" i="26"/>
  <c r="AH85" i="26"/>
  <c r="AB85" i="26"/>
  <c r="AL82" i="26"/>
  <c r="AH82" i="26"/>
  <c r="AL79" i="26"/>
  <c r="AH79" i="26"/>
  <c r="AL78" i="26"/>
  <c r="AH78" i="26"/>
  <c r="AL77" i="26"/>
  <c r="AH77" i="26"/>
  <c r="AL75" i="26"/>
  <c r="AH75" i="26"/>
  <c r="AL69" i="26"/>
  <c r="AH69" i="26"/>
  <c r="AL68" i="26"/>
  <c r="AH68" i="26"/>
  <c r="F66" i="26"/>
  <c r="F67" i="26" s="1"/>
  <c r="T65" i="26"/>
  <c r="T66" i="26" s="1"/>
  <c r="T67" i="26" s="1"/>
  <c r="T68" i="26" s="1"/>
  <c r="T69" i="26" s="1"/>
  <c r="T70" i="26" s="1"/>
  <c r="T71" i="26" s="1"/>
  <c r="T72" i="26" s="1"/>
  <c r="T73" i="26" s="1"/>
  <c r="T74" i="26" s="1"/>
  <c r="T75" i="26" s="1"/>
  <c r="T76" i="26" s="1"/>
  <c r="T77" i="26" s="1"/>
  <c r="T78" i="26" s="1"/>
  <c r="T79" i="26" s="1"/>
  <c r="T80" i="26" s="1"/>
  <c r="T81" i="26" s="1"/>
  <c r="T82" i="26" s="1"/>
  <c r="T83" i="26" s="1"/>
  <c r="T84" i="26" s="1"/>
  <c r="I65" i="26"/>
  <c r="F65" i="26"/>
  <c r="AL64" i="26"/>
  <c r="AH64" i="26"/>
  <c r="AK62" i="26"/>
  <c r="AJ62" i="26"/>
  <c r="AI62" i="26"/>
  <c r="AL62" i="26" s="1"/>
  <c r="AG62" i="26"/>
  <c r="AH62" i="26" s="1"/>
  <c r="AF62" i="26"/>
  <c r="AE62" i="26"/>
  <c r="AL59" i="26"/>
  <c r="AH59" i="26"/>
  <c r="AL56" i="26"/>
  <c r="AH56" i="26"/>
  <c r="AL54" i="26"/>
  <c r="AH54" i="26"/>
  <c r="AL52" i="26"/>
  <c r="AH52" i="26"/>
  <c r="AL50" i="26"/>
  <c r="AH50" i="26"/>
  <c r="AT47" i="26"/>
  <c r="AL47" i="26"/>
  <c r="AH47" i="26"/>
  <c r="AB47" i="26"/>
  <c r="AL44" i="26"/>
  <c r="AH44" i="26"/>
  <c r="AL41" i="26"/>
  <c r="AH41" i="26"/>
  <c r="AL40" i="26"/>
  <c r="AH40" i="26"/>
  <c r="AL39" i="26"/>
  <c r="AH39" i="26"/>
  <c r="AL37" i="26"/>
  <c r="AH37" i="26"/>
  <c r="AL31" i="26"/>
  <c r="AH31" i="26"/>
  <c r="AL30" i="26"/>
  <c r="AH30" i="26"/>
  <c r="T28" i="26"/>
  <c r="T29" i="26" s="1"/>
  <c r="T30" i="26" s="1"/>
  <c r="T31" i="26" s="1"/>
  <c r="T32" i="26" s="1"/>
  <c r="T33" i="26" s="1"/>
  <c r="T34" i="26" s="1"/>
  <c r="T35" i="26" s="1"/>
  <c r="T36" i="26" s="1"/>
  <c r="T37" i="26" s="1"/>
  <c r="T38" i="26" s="1"/>
  <c r="T39" i="26" s="1"/>
  <c r="T40" i="26" s="1"/>
  <c r="T41" i="26" s="1"/>
  <c r="T42" i="26" s="1"/>
  <c r="T43" i="26" s="1"/>
  <c r="T44" i="26" s="1"/>
  <c r="T45" i="26" s="1"/>
  <c r="T46" i="26" s="1"/>
  <c r="F28" i="26"/>
  <c r="F29" i="26" s="1"/>
  <c r="T27" i="26"/>
  <c r="I27" i="26"/>
  <c r="F27" i="26"/>
  <c r="AL24" i="26"/>
  <c r="AK24" i="26"/>
  <c r="AJ24" i="26"/>
  <c r="AI24" i="26"/>
  <c r="AH24" i="26"/>
  <c r="AG24" i="26"/>
  <c r="AF24" i="26"/>
  <c r="AE24" i="26"/>
  <c r="AO11" i="26"/>
  <c r="AN11" i="26"/>
  <c r="AM11" i="26"/>
  <c r="AL10" i="26"/>
  <c r="AK10" i="26"/>
  <c r="AJ10" i="26"/>
  <c r="AI10" i="26"/>
  <c r="AH10" i="26"/>
  <c r="AG10" i="26"/>
  <c r="AF10" i="26"/>
  <c r="AE10" i="26"/>
  <c r="AL9" i="26"/>
  <c r="AK9" i="26"/>
  <c r="AJ9" i="26"/>
  <c r="AI9" i="26"/>
  <c r="AH9" i="26"/>
  <c r="AG9" i="26"/>
  <c r="AF9" i="26"/>
  <c r="AE9" i="26"/>
  <c r="AK8" i="26"/>
  <c r="AJ8" i="26"/>
  <c r="AI8" i="26"/>
  <c r="AG8" i="26"/>
  <c r="AF8" i="26"/>
  <c r="AK7" i="26"/>
  <c r="AJ7" i="26"/>
  <c r="AI7" i="26"/>
  <c r="AH7" i="26"/>
  <c r="AG7" i="26"/>
  <c r="AF7" i="26"/>
  <c r="AE7" i="26"/>
  <c r="AL6" i="26"/>
  <c r="AK6" i="26"/>
  <c r="AJ6" i="26"/>
  <c r="AI6" i="26"/>
  <c r="AH6" i="26"/>
  <c r="AH8" i="26" s="1"/>
  <c r="AG6" i="26"/>
  <c r="AF6" i="26"/>
  <c r="AE6" i="26"/>
  <c r="AE8" i="26" s="1"/>
  <c r="T119" i="25"/>
  <c r="BM114" i="25"/>
  <c r="BL114" i="25"/>
  <c r="BK114" i="25"/>
  <c r="BJ114" i="25"/>
  <c r="BI114" i="25"/>
  <c r="BH114" i="25"/>
  <c r="BG114" i="25"/>
  <c r="BF114" i="25"/>
  <c r="BE114" i="25"/>
  <c r="BD114" i="25"/>
  <c r="AH114" i="25"/>
  <c r="AB113" i="25"/>
  <c r="AI112" i="25"/>
  <c r="AE112" i="25"/>
  <c r="AB112" i="25"/>
  <c r="AB111" i="25"/>
  <c r="AB110" i="25"/>
  <c r="AB109" i="25"/>
  <c r="AJ108" i="25"/>
  <c r="AB108" i="25"/>
  <c r="AB106" i="25"/>
  <c r="AB105" i="25"/>
  <c r="BM103" i="25"/>
  <c r="BL103" i="25"/>
  <c r="BK103" i="25"/>
  <c r="BJ103" i="25"/>
  <c r="BI103" i="25"/>
  <c r="BH103" i="25"/>
  <c r="BG103" i="25"/>
  <c r="BF103" i="25"/>
  <c r="BE103" i="25"/>
  <c r="BD103" i="25"/>
  <c r="AH103" i="25"/>
  <c r="BS101" i="25"/>
  <c r="BU100" i="25"/>
  <c r="BM100" i="25"/>
  <c r="BL100" i="25"/>
  <c r="BK100" i="25"/>
  <c r="BJ100" i="25"/>
  <c r="BI100" i="25"/>
  <c r="BH100" i="25"/>
  <c r="BG100" i="25"/>
  <c r="BF100" i="25"/>
  <c r="BE100" i="25"/>
  <c r="BD100" i="25"/>
  <c r="AH100" i="25"/>
  <c r="AB100" i="25"/>
  <c r="BS99" i="25"/>
  <c r="BM98" i="25"/>
  <c r="BI98" i="25"/>
  <c r="BE98" i="25"/>
  <c r="BD98" i="25"/>
  <c r="BC98" i="25"/>
  <c r="BB98" i="25"/>
  <c r="BA98" i="25"/>
  <c r="BL98" i="25" s="1"/>
  <c r="AZ98" i="25"/>
  <c r="BK98" i="25" s="1"/>
  <c r="AY98" i="25"/>
  <c r="BJ98" i="25" s="1"/>
  <c r="AX98" i="25"/>
  <c r="AW98" i="25"/>
  <c r="BH98" i="25" s="1"/>
  <c r="AV98" i="25"/>
  <c r="BG98" i="25" s="1"/>
  <c r="AU98" i="25"/>
  <c r="BF98" i="25" s="1"/>
  <c r="AT98" i="25"/>
  <c r="AS98" i="25"/>
  <c r="AR98" i="25"/>
  <c r="AQ98" i="25"/>
  <c r="AP98" i="25"/>
  <c r="AO98" i="25"/>
  <c r="AN98" i="25"/>
  <c r="AM98" i="25"/>
  <c r="AL98" i="25"/>
  <c r="AK98" i="25"/>
  <c r="AJ98" i="25"/>
  <c r="AI98" i="25"/>
  <c r="AG98" i="25"/>
  <c r="AF98" i="25"/>
  <c r="AE98" i="25"/>
  <c r="BM97" i="25"/>
  <c r="BL97" i="25"/>
  <c r="BK97" i="25"/>
  <c r="BJ97" i="25"/>
  <c r="BI97" i="25"/>
  <c r="BH97" i="25"/>
  <c r="BG97" i="25"/>
  <c r="BF97" i="25"/>
  <c r="BE97" i="25"/>
  <c r="BD97" i="25"/>
  <c r="AH97" i="25"/>
  <c r="BM96" i="25"/>
  <c r="BL96" i="25"/>
  <c r="BK96" i="25"/>
  <c r="BJ96" i="25"/>
  <c r="BI96" i="25"/>
  <c r="BH96" i="25"/>
  <c r="BG96" i="25"/>
  <c r="BF96" i="25"/>
  <c r="BE96" i="25"/>
  <c r="BD96" i="25"/>
  <c r="AH96" i="25"/>
  <c r="BM95" i="25"/>
  <c r="BL95" i="25"/>
  <c r="BK95" i="25"/>
  <c r="BJ95" i="25"/>
  <c r="BI95" i="25"/>
  <c r="BH95" i="25"/>
  <c r="BG95" i="25"/>
  <c r="BF95" i="25"/>
  <c r="BE95" i="25"/>
  <c r="BD95" i="25"/>
  <c r="AH95" i="25"/>
  <c r="BM94" i="25"/>
  <c r="BL94" i="25"/>
  <c r="BK94" i="25"/>
  <c r="BJ94" i="25"/>
  <c r="BI94" i="25"/>
  <c r="BH94" i="25"/>
  <c r="BG94" i="25"/>
  <c r="BF94" i="25"/>
  <c r="BD94" i="25"/>
  <c r="AH94" i="25"/>
  <c r="BM93" i="25"/>
  <c r="BL93" i="25"/>
  <c r="BK93" i="25"/>
  <c r="BJ93" i="25"/>
  <c r="BI93" i="25"/>
  <c r="BH93" i="25"/>
  <c r="BG93" i="25"/>
  <c r="BF93" i="25"/>
  <c r="BE93" i="25"/>
  <c r="BD93" i="25"/>
  <c r="AH93" i="25"/>
  <c r="BM92" i="25"/>
  <c r="BL92" i="25"/>
  <c r="BK92" i="25"/>
  <c r="BJ92" i="25"/>
  <c r="BI92" i="25"/>
  <c r="BH92" i="25"/>
  <c r="BG92" i="25"/>
  <c r="BF92" i="25"/>
  <c r="BE92" i="25"/>
  <c r="BD92" i="25"/>
  <c r="AH92" i="25"/>
  <c r="BM91" i="25"/>
  <c r="BL91" i="25"/>
  <c r="BK91" i="25"/>
  <c r="BJ91" i="25"/>
  <c r="BI91" i="25"/>
  <c r="BH91" i="25"/>
  <c r="BG91" i="25"/>
  <c r="BF91" i="25"/>
  <c r="BE91" i="25"/>
  <c r="BD91" i="25"/>
  <c r="AH91" i="25"/>
  <c r="BM90" i="25"/>
  <c r="BL90" i="25"/>
  <c r="BK90" i="25"/>
  <c r="BJ90" i="25"/>
  <c r="BI90" i="25"/>
  <c r="BH90" i="25"/>
  <c r="BG90" i="25"/>
  <c r="BF90" i="25"/>
  <c r="BE90" i="25"/>
  <c r="BD90" i="25"/>
  <c r="AH90" i="25"/>
  <c r="BM89" i="25"/>
  <c r="BL89" i="25"/>
  <c r="BK89" i="25"/>
  <c r="BJ89" i="25"/>
  <c r="BI89" i="25"/>
  <c r="BH89" i="25"/>
  <c r="BG89" i="25"/>
  <c r="BF89" i="25"/>
  <c r="BE89" i="25"/>
  <c r="BD89" i="25"/>
  <c r="AH89" i="25"/>
  <c r="BM88" i="25"/>
  <c r="BL88" i="25"/>
  <c r="BK88" i="25"/>
  <c r="BJ88" i="25"/>
  <c r="BI88" i="25"/>
  <c r="BH88" i="25"/>
  <c r="BG88" i="25"/>
  <c r="BF88" i="25"/>
  <c r="BE88" i="25"/>
  <c r="BD88" i="25"/>
  <c r="AH88" i="25"/>
  <c r="BL87" i="25"/>
  <c r="BJ87" i="25"/>
  <c r="BH87" i="25"/>
  <c r="BF87" i="25"/>
  <c r="BD87" i="25"/>
  <c r="BC87" i="25"/>
  <c r="BB87" i="25"/>
  <c r="BM87" i="25" s="1"/>
  <c r="BA87" i="25"/>
  <c r="AZ87" i="25"/>
  <c r="BK87" i="25" s="1"/>
  <c r="AY87" i="25"/>
  <c r="AX87" i="25"/>
  <c r="BI87" i="25" s="1"/>
  <c r="AW87" i="25"/>
  <c r="AV87" i="25"/>
  <c r="BG87" i="25" s="1"/>
  <c r="AU87" i="25"/>
  <c r="AT87" i="25"/>
  <c r="BE87" i="25" s="1"/>
  <c r="AS87" i="25"/>
  <c r="AR87" i="25"/>
  <c r="AQ87" i="25"/>
  <c r="AP87" i="25"/>
  <c r="AO87" i="25"/>
  <c r="AN87" i="25"/>
  <c r="AM87" i="25"/>
  <c r="AL87" i="25"/>
  <c r="AK87" i="25"/>
  <c r="AJ87" i="25"/>
  <c r="AI87" i="25"/>
  <c r="AH87" i="25"/>
  <c r="AG87" i="25"/>
  <c r="AF87" i="25"/>
  <c r="AE87" i="25"/>
  <c r="BM86" i="25"/>
  <c r="BL86" i="25"/>
  <c r="BK86" i="25"/>
  <c r="BJ86" i="25"/>
  <c r="BI86" i="25"/>
  <c r="BH86" i="25"/>
  <c r="BG86" i="25"/>
  <c r="BF86" i="25"/>
  <c r="BE86" i="25"/>
  <c r="BD86" i="25"/>
  <c r="AH86" i="25"/>
  <c r="BM85" i="25"/>
  <c r="BL85" i="25"/>
  <c r="BK85" i="25"/>
  <c r="BJ85" i="25"/>
  <c r="BI85" i="25"/>
  <c r="BH85" i="25"/>
  <c r="BG85" i="25"/>
  <c r="BF85" i="25"/>
  <c r="BE85" i="25"/>
  <c r="BD85" i="25"/>
  <c r="AH85" i="25"/>
  <c r="BM84" i="25"/>
  <c r="BL84" i="25"/>
  <c r="BK84" i="25"/>
  <c r="BJ84" i="25"/>
  <c r="BI84" i="25"/>
  <c r="BH84" i="25"/>
  <c r="BG84" i="25"/>
  <c r="BF84" i="25"/>
  <c r="BE84" i="25"/>
  <c r="BD84" i="25"/>
  <c r="AH84" i="25"/>
  <c r="BM83" i="25"/>
  <c r="BL83" i="25"/>
  <c r="BK83" i="25"/>
  <c r="BJ83" i="25"/>
  <c r="BI83" i="25"/>
  <c r="BH83" i="25"/>
  <c r="BG83" i="25"/>
  <c r="BF83" i="25"/>
  <c r="BE83" i="25"/>
  <c r="BD83" i="25"/>
  <c r="AH83" i="25"/>
  <c r="BM82" i="25"/>
  <c r="BL82" i="25"/>
  <c r="BK82" i="25"/>
  <c r="BJ82" i="25"/>
  <c r="BI82" i="25"/>
  <c r="BH82" i="25"/>
  <c r="BG82" i="25"/>
  <c r="BF82" i="25"/>
  <c r="BE82" i="25"/>
  <c r="BD82" i="25"/>
  <c r="AH82" i="25"/>
  <c r="BM81" i="25"/>
  <c r="BL81" i="25"/>
  <c r="BK81" i="25"/>
  <c r="BJ81" i="25"/>
  <c r="BI81" i="25"/>
  <c r="BH81" i="25"/>
  <c r="BG81" i="25"/>
  <c r="BF81" i="25"/>
  <c r="BE81" i="25"/>
  <c r="BD81" i="25"/>
  <c r="AH81" i="25"/>
  <c r="BM80" i="25"/>
  <c r="BL80" i="25"/>
  <c r="BK80" i="25"/>
  <c r="BJ80" i="25"/>
  <c r="BI80" i="25"/>
  <c r="BH80" i="25"/>
  <c r="BG80" i="25"/>
  <c r="BF80" i="25"/>
  <c r="BE80" i="25"/>
  <c r="BD80" i="25"/>
  <c r="AH80" i="25"/>
  <c r="BM79" i="25"/>
  <c r="BL79" i="25"/>
  <c r="BK79" i="25"/>
  <c r="BJ79" i="25"/>
  <c r="BI79" i="25"/>
  <c r="BH79" i="25"/>
  <c r="BG79" i="25"/>
  <c r="BF79" i="25"/>
  <c r="BE79" i="25"/>
  <c r="BD79" i="25"/>
  <c r="AH79" i="25"/>
  <c r="BM78" i="25"/>
  <c r="BL78" i="25"/>
  <c r="BK78" i="25"/>
  <c r="BJ78" i="25"/>
  <c r="BI78" i="25"/>
  <c r="BH78" i="25"/>
  <c r="BG78" i="25"/>
  <c r="BF78" i="25"/>
  <c r="BE78" i="25"/>
  <c r="BD78" i="25"/>
  <c r="AH78" i="25"/>
  <c r="BM77" i="25"/>
  <c r="BL77" i="25"/>
  <c r="BK77" i="25"/>
  <c r="BJ77" i="25"/>
  <c r="BI77" i="25"/>
  <c r="BH77" i="25"/>
  <c r="BG77" i="25"/>
  <c r="BF77" i="25"/>
  <c r="BE77" i="25"/>
  <c r="BD77" i="25"/>
  <c r="AH77" i="25"/>
  <c r="BM76" i="25"/>
  <c r="BL76" i="25"/>
  <c r="BK76" i="25"/>
  <c r="BJ76" i="25"/>
  <c r="BI76" i="25"/>
  <c r="BH76" i="25"/>
  <c r="BG76" i="25"/>
  <c r="BF76" i="25"/>
  <c r="BE76" i="25"/>
  <c r="BD76" i="25"/>
  <c r="AH76" i="25"/>
  <c r="BM75" i="25"/>
  <c r="BL75" i="25"/>
  <c r="BK75" i="25"/>
  <c r="BJ75" i="25"/>
  <c r="BI75" i="25"/>
  <c r="BH75" i="25"/>
  <c r="BG75" i="25"/>
  <c r="BF75" i="25"/>
  <c r="BE75" i="25"/>
  <c r="BD75" i="25"/>
  <c r="AH75" i="25"/>
  <c r="T73" i="25"/>
  <c r="T74" i="25" s="1"/>
  <c r="F72" i="25"/>
  <c r="T71" i="25"/>
  <c r="T72" i="25" s="1"/>
  <c r="I71" i="25"/>
  <c r="F71" i="25"/>
  <c r="BM70" i="25"/>
  <c r="BL70" i="25"/>
  <c r="BK70" i="25"/>
  <c r="BJ70" i="25"/>
  <c r="BI70" i="25"/>
  <c r="BH70" i="25"/>
  <c r="BG70" i="25"/>
  <c r="BF70" i="25"/>
  <c r="BE70" i="25"/>
  <c r="BD70" i="25"/>
  <c r="AH70" i="25"/>
  <c r="AB69" i="25"/>
  <c r="AI68" i="25"/>
  <c r="AE68" i="25"/>
  <c r="AB68" i="25"/>
  <c r="AB67" i="25"/>
  <c r="AB66" i="25"/>
  <c r="AB65" i="25"/>
  <c r="AB64" i="25"/>
  <c r="AB62" i="25"/>
  <c r="AB61" i="25"/>
  <c r="BM59" i="25"/>
  <c r="BL59" i="25"/>
  <c r="BK59" i="25"/>
  <c r="BJ59" i="25"/>
  <c r="BI59" i="25"/>
  <c r="BH59" i="25"/>
  <c r="BG59" i="25"/>
  <c r="BF59" i="25"/>
  <c r="BE59" i="25"/>
  <c r="BD59" i="25"/>
  <c r="AH59" i="25"/>
  <c r="BS57" i="25"/>
  <c r="BU56" i="25"/>
  <c r="BM56" i="25"/>
  <c r="BL56" i="25"/>
  <c r="BK56" i="25"/>
  <c r="BJ56" i="25"/>
  <c r="BI56" i="25"/>
  <c r="BH56" i="25"/>
  <c r="BG56" i="25"/>
  <c r="BF56" i="25"/>
  <c r="BE56" i="25"/>
  <c r="BD56" i="25"/>
  <c r="AH56" i="25"/>
  <c r="AB56" i="25"/>
  <c r="BS55" i="25"/>
  <c r="BM54" i="25"/>
  <c r="BI54" i="25"/>
  <c r="BH54" i="25"/>
  <c r="BE54" i="25"/>
  <c r="BD54" i="25"/>
  <c r="BC54" i="25"/>
  <c r="BB54" i="25"/>
  <c r="BA54" i="25"/>
  <c r="BL54" i="25" s="1"/>
  <c r="AZ54" i="25"/>
  <c r="BK54" i="25" s="1"/>
  <c r="AY54" i="25"/>
  <c r="BJ54" i="25" s="1"/>
  <c r="AX54" i="25"/>
  <c r="AW54" i="25"/>
  <c r="AV54" i="25"/>
  <c r="BG54" i="25" s="1"/>
  <c r="AU54" i="25"/>
  <c r="BF54" i="25" s="1"/>
  <c r="AT54" i="25"/>
  <c r="AS54" i="25"/>
  <c r="AR54" i="25"/>
  <c r="AQ54" i="25"/>
  <c r="AP54" i="25"/>
  <c r="AO54" i="25"/>
  <c r="AN54" i="25"/>
  <c r="AM54" i="25"/>
  <c r="AL54" i="25"/>
  <c r="AK54" i="25"/>
  <c r="AJ54" i="25"/>
  <c r="AI54" i="25"/>
  <c r="AG54" i="25"/>
  <c r="AH54" i="25" s="1"/>
  <c r="AF54" i="25"/>
  <c r="AE54" i="25"/>
  <c r="BM53" i="25"/>
  <c r="BL53" i="25"/>
  <c r="BK53" i="25"/>
  <c r="BJ53" i="25"/>
  <c r="BI53" i="25"/>
  <c r="BH53" i="25"/>
  <c r="BG53" i="25"/>
  <c r="BF53" i="25"/>
  <c r="BE53" i="25"/>
  <c r="BD53" i="25"/>
  <c r="AH53" i="25"/>
  <c r="BM52" i="25"/>
  <c r="BL52" i="25"/>
  <c r="BK52" i="25"/>
  <c r="BJ52" i="25"/>
  <c r="BI52" i="25"/>
  <c r="BH52" i="25"/>
  <c r="BG52" i="25"/>
  <c r="BF52" i="25"/>
  <c r="BE52" i="25"/>
  <c r="BD52" i="25"/>
  <c r="AH52" i="25"/>
  <c r="BM51" i="25"/>
  <c r="BL51" i="25"/>
  <c r="BK51" i="25"/>
  <c r="BJ51" i="25"/>
  <c r="BI51" i="25"/>
  <c r="BH51" i="25"/>
  <c r="BG51" i="25"/>
  <c r="BF51" i="25"/>
  <c r="BE51" i="25"/>
  <c r="BD51" i="25"/>
  <c r="AH51" i="25"/>
  <c r="BM50" i="25"/>
  <c r="BL50" i="25"/>
  <c r="BK50" i="25"/>
  <c r="BJ50" i="25"/>
  <c r="BI50" i="25"/>
  <c r="BH50" i="25"/>
  <c r="BG50" i="25"/>
  <c r="BF50" i="25"/>
  <c r="BD50" i="25"/>
  <c r="AH50" i="25"/>
  <c r="BM49" i="25"/>
  <c r="BL49" i="25"/>
  <c r="BK49" i="25"/>
  <c r="BJ49" i="25"/>
  <c r="BI49" i="25"/>
  <c r="BH49" i="25"/>
  <c r="BG49" i="25"/>
  <c r="BF49" i="25"/>
  <c r="BE49" i="25"/>
  <c r="BD49" i="25"/>
  <c r="AH49" i="25"/>
  <c r="BM48" i="25"/>
  <c r="BL48" i="25"/>
  <c r="BK48" i="25"/>
  <c r="BJ48" i="25"/>
  <c r="BI48" i="25"/>
  <c r="BH48" i="25"/>
  <c r="BG48" i="25"/>
  <c r="BF48" i="25"/>
  <c r="BE48" i="25"/>
  <c r="BD48" i="25"/>
  <c r="AH48" i="25"/>
  <c r="BM47" i="25"/>
  <c r="BL47" i="25"/>
  <c r="BK47" i="25"/>
  <c r="BJ47" i="25"/>
  <c r="BI47" i="25"/>
  <c r="BH47" i="25"/>
  <c r="BG47" i="25"/>
  <c r="BF47" i="25"/>
  <c r="BE47" i="25"/>
  <c r="BD47" i="25"/>
  <c r="AH47" i="25"/>
  <c r="BM46" i="25"/>
  <c r="BL46" i="25"/>
  <c r="BK46" i="25"/>
  <c r="BJ46" i="25"/>
  <c r="BI46" i="25"/>
  <c r="BH46" i="25"/>
  <c r="BG46" i="25"/>
  <c r="BF46" i="25"/>
  <c r="BE46" i="25"/>
  <c r="BD46" i="25"/>
  <c r="AH46" i="25"/>
  <c r="BM45" i="25"/>
  <c r="BL45" i="25"/>
  <c r="BK45" i="25"/>
  <c r="BJ45" i="25"/>
  <c r="BI45" i="25"/>
  <c r="BH45" i="25"/>
  <c r="BG45" i="25"/>
  <c r="BF45" i="25"/>
  <c r="BE45" i="25"/>
  <c r="BD45" i="25"/>
  <c r="AH45" i="25"/>
  <c r="BM44" i="25"/>
  <c r="BL44" i="25"/>
  <c r="BK44" i="25"/>
  <c r="BJ44" i="25"/>
  <c r="BI44" i="25"/>
  <c r="BH44" i="25"/>
  <c r="BG44" i="25"/>
  <c r="BF44" i="25"/>
  <c r="BE44" i="25"/>
  <c r="BD44" i="25"/>
  <c r="AH44" i="25"/>
  <c r="BM43" i="25"/>
  <c r="BJ43" i="25"/>
  <c r="BF43" i="25"/>
  <c r="BE43" i="25"/>
  <c r="BD43" i="25"/>
  <c r="BC43" i="25"/>
  <c r="BB43" i="25"/>
  <c r="BA43" i="25"/>
  <c r="BL43" i="25" s="1"/>
  <c r="AZ43" i="25"/>
  <c r="BK43" i="25" s="1"/>
  <c r="AY43" i="25"/>
  <c r="AX43" i="25"/>
  <c r="BI43" i="25" s="1"/>
  <c r="AW43" i="25"/>
  <c r="BH43" i="25" s="1"/>
  <c r="AV43" i="25"/>
  <c r="BG43" i="25" s="1"/>
  <c r="AU43" i="25"/>
  <c r="AT43" i="25"/>
  <c r="AS43" i="25"/>
  <c r="AR43" i="25"/>
  <c r="AQ43" i="25"/>
  <c r="AP43" i="25"/>
  <c r="AO43" i="25"/>
  <c r="AN43" i="25"/>
  <c r="AM43" i="25"/>
  <c r="AL43" i="25"/>
  <c r="AK43" i="25"/>
  <c r="AJ43" i="25"/>
  <c r="AI43" i="25"/>
  <c r="AG43" i="25"/>
  <c r="AH43" i="25" s="1"/>
  <c r="AF43" i="25"/>
  <c r="AE43" i="25"/>
  <c r="BM42" i="25"/>
  <c r="BL42" i="25"/>
  <c r="BK42" i="25"/>
  <c r="BJ42" i="25"/>
  <c r="BI42" i="25"/>
  <c r="BH42" i="25"/>
  <c r="BG42" i="25"/>
  <c r="BF42" i="25"/>
  <c r="BE42" i="25"/>
  <c r="BD42" i="25"/>
  <c r="AH42" i="25"/>
  <c r="BM41" i="25"/>
  <c r="BL41" i="25"/>
  <c r="BK41" i="25"/>
  <c r="BJ41" i="25"/>
  <c r="BI41" i="25"/>
  <c r="BH41" i="25"/>
  <c r="BG41" i="25"/>
  <c r="BF41" i="25"/>
  <c r="BE41" i="25"/>
  <c r="BD41" i="25"/>
  <c r="AH41" i="25"/>
  <c r="BM40" i="25"/>
  <c r="BL40" i="25"/>
  <c r="BK40" i="25"/>
  <c r="BJ40" i="25"/>
  <c r="BI40" i="25"/>
  <c r="BH40" i="25"/>
  <c r="BG40" i="25"/>
  <c r="BF40" i="25"/>
  <c r="BE40" i="25"/>
  <c r="BD40" i="25"/>
  <c r="AH40" i="25"/>
  <c r="BM39" i="25"/>
  <c r="BL39" i="25"/>
  <c r="BK39" i="25"/>
  <c r="BJ39" i="25"/>
  <c r="BI39" i="25"/>
  <c r="BH39" i="25"/>
  <c r="BG39" i="25"/>
  <c r="BF39" i="25"/>
  <c r="BE39" i="25"/>
  <c r="BD39" i="25"/>
  <c r="AH39" i="25"/>
  <c r="BM38" i="25"/>
  <c r="BL38" i="25"/>
  <c r="BK38" i="25"/>
  <c r="BJ38" i="25"/>
  <c r="BI38" i="25"/>
  <c r="BH38" i="25"/>
  <c r="BG38" i="25"/>
  <c r="BF38" i="25"/>
  <c r="BE38" i="25"/>
  <c r="BD38" i="25"/>
  <c r="AH38" i="25"/>
  <c r="BM37" i="25"/>
  <c r="BL37" i="25"/>
  <c r="BK37" i="25"/>
  <c r="BJ37" i="25"/>
  <c r="BI37" i="25"/>
  <c r="BH37" i="25"/>
  <c r="BG37" i="25"/>
  <c r="BF37" i="25"/>
  <c r="BE37" i="25"/>
  <c r="BD37" i="25"/>
  <c r="AH37" i="25"/>
  <c r="BM36" i="25"/>
  <c r="BL36" i="25"/>
  <c r="BK36" i="25"/>
  <c r="BJ36" i="25"/>
  <c r="BI36" i="25"/>
  <c r="BH36" i="25"/>
  <c r="BG36" i="25"/>
  <c r="BF36" i="25"/>
  <c r="BE36" i="25"/>
  <c r="BD36" i="25"/>
  <c r="AH36" i="25"/>
  <c r="BM35" i="25"/>
  <c r="BL35" i="25"/>
  <c r="BK35" i="25"/>
  <c r="BJ35" i="25"/>
  <c r="BI35" i="25"/>
  <c r="BH35" i="25"/>
  <c r="BG35" i="25"/>
  <c r="BF35" i="25"/>
  <c r="BE35" i="25"/>
  <c r="BD35" i="25"/>
  <c r="AH35" i="25"/>
  <c r="BM34" i="25"/>
  <c r="BL34" i="25"/>
  <c r="BK34" i="25"/>
  <c r="BJ34" i="25"/>
  <c r="BI34" i="25"/>
  <c r="BH34" i="25"/>
  <c r="BG34" i="25"/>
  <c r="BF34" i="25"/>
  <c r="BE34" i="25"/>
  <c r="BD34" i="25"/>
  <c r="AH34" i="25"/>
  <c r="BM33" i="25"/>
  <c r="BL33" i="25"/>
  <c r="BK33" i="25"/>
  <c r="BJ33" i="25"/>
  <c r="BI33" i="25"/>
  <c r="BH33" i="25"/>
  <c r="BG33" i="25"/>
  <c r="BF33" i="25"/>
  <c r="BE33" i="25"/>
  <c r="BD33" i="25"/>
  <c r="AH33" i="25"/>
  <c r="BM32" i="25"/>
  <c r="BL32" i="25"/>
  <c r="BK32" i="25"/>
  <c r="BJ32" i="25"/>
  <c r="BI32" i="25"/>
  <c r="BH32" i="25"/>
  <c r="BG32" i="25"/>
  <c r="BF32" i="25"/>
  <c r="BE32" i="25"/>
  <c r="BD32" i="25"/>
  <c r="AH32" i="25"/>
  <c r="BM31" i="25"/>
  <c r="BL31" i="25"/>
  <c r="BK31" i="25"/>
  <c r="BJ31" i="25"/>
  <c r="BI31" i="25"/>
  <c r="BH31" i="25"/>
  <c r="BG31" i="25"/>
  <c r="BF31" i="25"/>
  <c r="BE31" i="25"/>
  <c r="BD31" i="25"/>
  <c r="AH31" i="25"/>
  <c r="T27" i="25"/>
  <c r="T28" i="25" s="1"/>
  <c r="T29" i="25" s="1"/>
  <c r="T30" i="25" s="1"/>
  <c r="F27" i="25"/>
  <c r="F28" i="25" s="1"/>
  <c r="BM24" i="25"/>
  <c r="BL24" i="25"/>
  <c r="BK24" i="25"/>
  <c r="BJ24" i="25"/>
  <c r="BI24" i="25"/>
  <c r="BH24" i="25"/>
  <c r="BG24" i="25"/>
  <c r="BF24" i="25"/>
  <c r="BE24" i="25"/>
  <c r="BD24" i="25"/>
  <c r="BC24" i="25"/>
  <c r="BB24" i="25"/>
  <c r="BA24" i="25"/>
  <c r="AZ24" i="25"/>
  <c r="AY24" i="25"/>
  <c r="AX24" i="25"/>
  <c r="AW24" i="25"/>
  <c r="AV24" i="25"/>
  <c r="AU24" i="25"/>
  <c r="AT24" i="25"/>
  <c r="AS24" i="25"/>
  <c r="AR24" i="25"/>
  <c r="AQ24" i="25"/>
  <c r="AP24" i="25"/>
  <c r="AO24" i="25"/>
  <c r="AN24" i="25"/>
  <c r="AM24" i="25"/>
  <c r="AL24" i="25"/>
  <c r="AK24" i="25"/>
  <c r="AJ24" i="25"/>
  <c r="AI24" i="25"/>
  <c r="AH24" i="25"/>
  <c r="AG24" i="25"/>
  <c r="AF24" i="25"/>
  <c r="AE24" i="25"/>
  <c r="BP11" i="25"/>
  <c r="BO11" i="25"/>
  <c r="BN11" i="25"/>
  <c r="BD10" i="25"/>
  <c r="BE10" i="25" s="1"/>
  <c r="BF10" i="25" s="1"/>
  <c r="BG10" i="25" s="1"/>
  <c r="BH10" i="25" s="1"/>
  <c r="BI10" i="25" s="1"/>
  <c r="BJ10" i="25" s="1"/>
  <c r="BK10" i="25" s="1"/>
  <c r="BL10" i="25" s="1"/>
  <c r="BM10" i="25" s="1"/>
  <c r="BC10" i="25"/>
  <c r="BB10" i="25"/>
  <c r="BA10" i="25"/>
  <c r="AZ10" i="25"/>
  <c r="AY10" i="25"/>
  <c r="AX10" i="25"/>
  <c r="AW10" i="25"/>
  <c r="AV10" i="25"/>
  <c r="AU10" i="25"/>
  <c r="AT10" i="25"/>
  <c r="AS10" i="25"/>
  <c r="AR10" i="25"/>
  <c r="AQ10" i="25"/>
  <c r="AP10" i="25"/>
  <c r="AO10" i="25"/>
  <c r="AN10" i="25"/>
  <c r="AM10" i="25"/>
  <c r="AL10" i="25"/>
  <c r="AK10" i="25"/>
  <c r="AJ10" i="25"/>
  <c r="AI10" i="25"/>
  <c r="AH10" i="25"/>
  <c r="AG10" i="25"/>
  <c r="AF10" i="25"/>
  <c r="AE10" i="25"/>
  <c r="BM9" i="25"/>
  <c r="BL9" i="25"/>
  <c r="BK9" i="25"/>
  <c r="BJ9" i="25"/>
  <c r="BI9" i="25"/>
  <c r="BH9" i="25"/>
  <c r="BG9" i="25"/>
  <c r="BF9" i="25"/>
  <c r="BE9" i="25"/>
  <c r="BD9" i="25"/>
  <c r="BC9" i="25"/>
  <c r="BB9" i="25"/>
  <c r="BA9" i="25"/>
  <c r="AZ9" i="25"/>
  <c r="AY9" i="25"/>
  <c r="AX9" i="25"/>
  <c r="AW9" i="25"/>
  <c r="AV9" i="25"/>
  <c r="AU9" i="25"/>
  <c r="AT9" i="25"/>
  <c r="AS9" i="25"/>
  <c r="AR9" i="25"/>
  <c r="AQ9" i="25"/>
  <c r="AP9" i="25"/>
  <c r="AO9" i="25"/>
  <c r="AN9" i="25"/>
  <c r="AM9" i="25"/>
  <c r="AL9" i="25"/>
  <c r="AK9" i="25"/>
  <c r="AJ9" i="25"/>
  <c r="AI9" i="25"/>
  <c r="AH9" i="25"/>
  <c r="AG9" i="25"/>
  <c r="AF9" i="25"/>
  <c r="AE9" i="25"/>
  <c r="BC7" i="25"/>
  <c r="BB7" i="25"/>
  <c r="BA7" i="25"/>
  <c r="AZ7" i="25"/>
  <c r="AY7" i="25"/>
  <c r="AX7" i="25"/>
  <c r="AW7" i="25"/>
  <c r="AV7" i="25"/>
  <c r="AU7" i="25"/>
  <c r="AT7" i="25"/>
  <c r="AS7" i="25"/>
  <c r="AR7" i="25"/>
  <c r="AQ7" i="25"/>
  <c r="AP7" i="25"/>
  <c r="AO7" i="25"/>
  <c r="AN7" i="25"/>
  <c r="AM7" i="25"/>
  <c r="AL7" i="25"/>
  <c r="AK7" i="25"/>
  <c r="AJ7" i="25"/>
  <c r="AI7" i="25"/>
  <c r="AH7" i="25"/>
  <c r="AG7" i="25"/>
  <c r="AF7" i="25"/>
  <c r="AE7" i="25"/>
  <c r="BM6" i="25"/>
  <c r="BL6" i="25"/>
  <c r="BK6" i="25"/>
  <c r="BJ6" i="25"/>
  <c r="BI6" i="25"/>
  <c r="BH6" i="25"/>
  <c r="BG6" i="25"/>
  <c r="BF6" i="25"/>
  <c r="BE6" i="25"/>
  <c r="BD6" i="25"/>
  <c r="BC6" i="25"/>
  <c r="BC8" i="25" s="1"/>
  <c r="BB6" i="25"/>
  <c r="BB8" i="25" s="1"/>
  <c r="BA6" i="25"/>
  <c r="AZ6" i="25"/>
  <c r="AZ8" i="25" s="1"/>
  <c r="AY6" i="25"/>
  <c r="AY8" i="25" s="1"/>
  <c r="AX6" i="25"/>
  <c r="AX8" i="25" s="1"/>
  <c r="AW6" i="25"/>
  <c r="AV6" i="25"/>
  <c r="AV8" i="25" s="1"/>
  <c r="AU6" i="25"/>
  <c r="AU8" i="25" s="1"/>
  <c r="AT6" i="25"/>
  <c r="AT8" i="25" s="1"/>
  <c r="AS6" i="25"/>
  <c r="AR6" i="25"/>
  <c r="AR8" i="25" s="1"/>
  <c r="AQ6" i="25"/>
  <c r="AQ8" i="25" s="1"/>
  <c r="AP6" i="25"/>
  <c r="AP8" i="25" s="1"/>
  <c r="AO6" i="25"/>
  <c r="AN6" i="25"/>
  <c r="AN8" i="25" s="1"/>
  <c r="AM6" i="25"/>
  <c r="AM8" i="25" s="1"/>
  <c r="AL6" i="25"/>
  <c r="AL8" i="25" s="1"/>
  <c r="AK6" i="25"/>
  <c r="AJ6" i="25"/>
  <c r="AJ8" i="25" s="1"/>
  <c r="AI6" i="25"/>
  <c r="AI8" i="25" s="1"/>
  <c r="AH6" i="25"/>
  <c r="AH8" i="25" s="1"/>
  <c r="AG6" i="25"/>
  <c r="AG8" i="25" s="1"/>
  <c r="AF6" i="25"/>
  <c r="AF8" i="25" s="1"/>
  <c r="AE6" i="25"/>
  <c r="AE8" i="25" s="1"/>
  <c r="AJ49" i="24"/>
  <c r="AJ50" i="24" s="1"/>
  <c r="AG49" i="24"/>
  <c r="AG50" i="24" s="1"/>
  <c r="AF49" i="24"/>
  <c r="AF50" i="24" s="1"/>
  <c r="AE49" i="24"/>
  <c r="AH49" i="24" s="1"/>
  <c r="AK48" i="24"/>
  <c r="AJ48" i="24"/>
  <c r="AI48" i="24"/>
  <c r="AL48" i="24" s="1"/>
  <c r="AH48" i="24"/>
  <c r="AK47" i="24"/>
  <c r="AJ47" i="24"/>
  <c r="AI47" i="24"/>
  <c r="AL47" i="24" s="1"/>
  <c r="AH47" i="24"/>
  <c r="AK46" i="24"/>
  <c r="AJ46" i="24"/>
  <c r="AI46" i="24"/>
  <c r="AL46" i="24" s="1"/>
  <c r="AH46" i="24"/>
  <c r="AL45" i="24"/>
  <c r="AK45" i="24"/>
  <c r="AJ45" i="24"/>
  <c r="AI45" i="24"/>
  <c r="AH45" i="24"/>
  <c r="AK44" i="24"/>
  <c r="AK43" i="24" s="1"/>
  <c r="AJ44" i="24"/>
  <c r="AJ43" i="24" s="1"/>
  <c r="AL43" i="24" s="1"/>
  <c r="AI44" i="24"/>
  <c r="AL44" i="24" s="1"/>
  <c r="AH44" i="24"/>
  <c r="AI43" i="24"/>
  <c r="AH43" i="24"/>
  <c r="AG43" i="24"/>
  <c r="AF43" i="24"/>
  <c r="AE43" i="24"/>
  <c r="AK42" i="24"/>
  <c r="AJ42" i="24"/>
  <c r="AI42" i="24"/>
  <c r="AK41" i="24"/>
  <c r="AK49" i="24" s="1"/>
  <c r="AK50" i="24" s="1"/>
  <c r="AJ41" i="24"/>
  <c r="AI41" i="24"/>
  <c r="AI49" i="24" s="1"/>
  <c r="AK40" i="24"/>
  <c r="AJ40" i="24"/>
  <c r="AI40" i="24"/>
  <c r="AL40" i="24" s="1"/>
  <c r="AH40" i="24"/>
  <c r="AK39" i="24"/>
  <c r="AL39" i="24" s="1"/>
  <c r="AJ39" i="24"/>
  <c r="AI39" i="24"/>
  <c r="AH39" i="24"/>
  <c r="AK38" i="24"/>
  <c r="AJ38" i="24"/>
  <c r="AI38" i="24"/>
  <c r="AL38" i="24" s="1"/>
  <c r="AH38" i="24"/>
  <c r="AK37" i="24"/>
  <c r="AL37" i="24" s="1"/>
  <c r="AJ37" i="24"/>
  <c r="AI37" i="24"/>
  <c r="AH37" i="24"/>
  <c r="AK36" i="24"/>
  <c r="AJ36" i="24"/>
  <c r="AJ35" i="24" s="1"/>
  <c r="AI36" i="24"/>
  <c r="AL36" i="24" s="1"/>
  <c r="AH36" i="24"/>
  <c r="AK35" i="24"/>
  <c r="AG35" i="24"/>
  <c r="AH35" i="24" s="1"/>
  <c r="AF35" i="24"/>
  <c r="AE35" i="24"/>
  <c r="AK34" i="24"/>
  <c r="AJ34" i="24"/>
  <c r="AI34" i="24"/>
  <c r="AL34" i="24" s="1"/>
  <c r="AH34" i="24"/>
  <c r="AK33" i="24"/>
  <c r="AJ33" i="24"/>
  <c r="AI33" i="24"/>
  <c r="AL33" i="24" s="1"/>
  <c r="AH33" i="24"/>
  <c r="AK32" i="24"/>
  <c r="AJ32" i="24"/>
  <c r="AI32" i="24"/>
  <c r="AL32" i="24" s="1"/>
  <c r="AH32" i="24"/>
  <c r="AK31" i="24"/>
  <c r="AJ31" i="24"/>
  <c r="AI31" i="24"/>
  <c r="AL31" i="24" s="1"/>
  <c r="AH31" i="24"/>
  <c r="AK30" i="24"/>
  <c r="AJ30" i="24"/>
  <c r="AI30" i="24"/>
  <c r="AI29" i="24" s="1"/>
  <c r="AL29" i="24" s="1"/>
  <c r="AH30" i="24"/>
  <c r="AK29" i="24"/>
  <c r="AJ29" i="24"/>
  <c r="AG29" i="24"/>
  <c r="AF29" i="24"/>
  <c r="AE29" i="24"/>
  <c r="AH29" i="24" s="1"/>
  <c r="F28" i="24"/>
  <c r="F29" i="24" s="1"/>
  <c r="F30" i="24" s="1"/>
  <c r="F31" i="24" s="1"/>
  <c r="F32" i="24" s="1"/>
  <c r="F33" i="24" s="1"/>
  <c r="F34" i="24" s="1"/>
  <c r="F35" i="24" s="1"/>
  <c r="F36" i="24" s="1"/>
  <c r="F37" i="24" s="1"/>
  <c r="F38" i="24" s="1"/>
  <c r="F39" i="24" s="1"/>
  <c r="F40" i="24" s="1"/>
  <c r="F41" i="24" s="1"/>
  <c r="F42" i="24" s="1"/>
  <c r="F43" i="24" s="1"/>
  <c r="F44" i="24" s="1"/>
  <c r="F45" i="24" s="1"/>
  <c r="F46" i="24" s="1"/>
  <c r="F47" i="24" s="1"/>
  <c r="F48" i="24" s="1"/>
  <c r="F49" i="24" s="1"/>
  <c r="F50" i="24" s="1"/>
  <c r="AK25" i="24"/>
  <c r="AJ25" i="24"/>
  <c r="AI25" i="24"/>
  <c r="AG25" i="24"/>
  <c r="AF25" i="24"/>
  <c r="AE25" i="24"/>
  <c r="AB22" i="24"/>
  <c r="AT121" i="23"/>
  <c r="AS121" i="23"/>
  <c r="AR121" i="23"/>
  <c r="AQ121" i="23"/>
  <c r="AP121" i="23"/>
  <c r="AN121" i="23"/>
  <c r="AM121" i="23"/>
  <c r="AL121" i="23"/>
  <c r="AK121" i="23"/>
  <c r="AJ121" i="23"/>
  <c r="AH121" i="23"/>
  <c r="AG121" i="23"/>
  <c r="AO120" i="23"/>
  <c r="AI120" i="23"/>
  <c r="AT117" i="23"/>
  <c r="AS117" i="23"/>
  <c r="AR117" i="23"/>
  <c r="AQ117" i="23"/>
  <c r="AP117" i="23"/>
  <c r="AN117" i="23"/>
  <c r="AM117" i="23"/>
  <c r="AL117" i="23"/>
  <c r="AK117" i="23"/>
  <c r="AJ117" i="23"/>
  <c r="AH117" i="23"/>
  <c r="AG117" i="23"/>
  <c r="T75" i="23"/>
  <c r="T76" i="23" s="1"/>
  <c r="T77" i="23" s="1"/>
  <c r="T78" i="23" s="1"/>
  <c r="T79" i="23" s="1"/>
  <c r="T80" i="23" s="1"/>
  <c r="T81" i="23" s="1"/>
  <c r="T82" i="23" s="1"/>
  <c r="T83" i="23" s="1"/>
  <c r="T84" i="23" s="1"/>
  <c r="T85" i="23" s="1"/>
  <c r="T86" i="23" s="1"/>
  <c r="T87" i="23" s="1"/>
  <c r="T88" i="23" s="1"/>
  <c r="T89" i="23" s="1"/>
  <c r="T90" i="23" s="1"/>
  <c r="T91" i="23" s="1"/>
  <c r="T92" i="23" s="1"/>
  <c r="T93" i="23" s="1"/>
  <c r="T94" i="23" s="1"/>
  <c r="T95" i="23" s="1"/>
  <c r="T96" i="23" s="1"/>
  <c r="T97" i="23" s="1"/>
  <c r="T98" i="23" s="1"/>
  <c r="T99" i="23" s="1"/>
  <c r="T100" i="23" s="1"/>
  <c r="T101" i="23" s="1"/>
  <c r="T102" i="23" s="1"/>
  <c r="T103" i="23" s="1"/>
  <c r="T104" i="23" s="1"/>
  <c r="T105" i="23" s="1"/>
  <c r="T106" i="23" s="1"/>
  <c r="T107" i="23" s="1"/>
  <c r="F75" i="23"/>
  <c r="F76" i="23" s="1"/>
  <c r="F77" i="23" s="1"/>
  <c r="F78" i="23" s="1"/>
  <c r="F79" i="23" s="1"/>
  <c r="AT74" i="23"/>
  <c r="AS74" i="23"/>
  <c r="AR74" i="23"/>
  <c r="AQ74" i="23"/>
  <c r="AP74" i="23"/>
  <c r="AN74" i="23"/>
  <c r="AM74" i="23"/>
  <c r="AL74" i="23"/>
  <c r="AK74" i="23"/>
  <c r="AJ74" i="23"/>
  <c r="AH74" i="23"/>
  <c r="AG74" i="23"/>
  <c r="AO73" i="23"/>
  <c r="AI73" i="23"/>
  <c r="AT70" i="23"/>
  <c r="AS70" i="23"/>
  <c r="AR70" i="23"/>
  <c r="AQ70" i="23"/>
  <c r="AP70" i="23"/>
  <c r="AN70" i="23"/>
  <c r="AM70" i="23"/>
  <c r="AL70" i="23"/>
  <c r="AK70" i="23"/>
  <c r="AJ70" i="23"/>
  <c r="AH70" i="23"/>
  <c r="AG70" i="23"/>
  <c r="T28" i="23"/>
  <c r="T29" i="23" s="1"/>
  <c r="T30" i="23" s="1"/>
  <c r="T31" i="23" s="1"/>
  <c r="T32" i="23" s="1"/>
  <c r="T33" i="23" s="1"/>
  <c r="T34" i="23" s="1"/>
  <c r="T35" i="23" s="1"/>
  <c r="T36" i="23" s="1"/>
  <c r="T37" i="23" s="1"/>
  <c r="T38" i="23" s="1"/>
  <c r="T39" i="23" s="1"/>
  <c r="T40" i="23" s="1"/>
  <c r="T41" i="23" s="1"/>
  <c r="T42" i="23" s="1"/>
  <c r="T43" i="23" s="1"/>
  <c r="T44" i="23" s="1"/>
  <c r="T45" i="23" s="1"/>
  <c r="T46" i="23" s="1"/>
  <c r="T47" i="23" s="1"/>
  <c r="T48" i="23" s="1"/>
  <c r="T49" i="23" s="1"/>
  <c r="T50" i="23" s="1"/>
  <c r="T51" i="23" s="1"/>
  <c r="T52" i="23" s="1"/>
  <c r="T53" i="23" s="1"/>
  <c r="T54" i="23" s="1"/>
  <c r="T55" i="23" s="1"/>
  <c r="T56" i="23" s="1"/>
  <c r="T57" i="23" s="1"/>
  <c r="T58" i="23" s="1"/>
  <c r="T59" i="23" s="1"/>
  <c r="T60" i="23" s="1"/>
  <c r="F28" i="23"/>
  <c r="F29" i="23" s="1"/>
  <c r="F30" i="23" s="1"/>
  <c r="F31" i="23" s="1"/>
  <c r="F32" i="23" s="1"/>
  <c r="AG25" i="23"/>
  <c r="AF25" i="23"/>
  <c r="AB22" i="23"/>
  <c r="AT10" i="23"/>
  <c r="AS10" i="23"/>
  <c r="AR10" i="23"/>
  <c r="AQ10" i="23"/>
  <c r="AP10" i="23"/>
  <c r="AN10" i="23"/>
  <c r="AM10" i="23"/>
  <c r="AL10" i="23"/>
  <c r="AK10" i="23"/>
  <c r="AJ10" i="23"/>
  <c r="AH10" i="23"/>
  <c r="AG10" i="23"/>
  <c r="AF10" i="23"/>
  <c r="AT9" i="23"/>
  <c r="AS9" i="23"/>
  <c r="AR9" i="23"/>
  <c r="AQ9" i="23"/>
  <c r="AP9" i="23"/>
  <c r="AN9" i="23"/>
  <c r="AM9" i="23"/>
  <c r="AL9" i="23"/>
  <c r="AK9" i="23"/>
  <c r="AJ9" i="23"/>
  <c r="AH9" i="23"/>
  <c r="AG9" i="23"/>
  <c r="AF9" i="23"/>
  <c r="AG8" i="23"/>
  <c r="AG7" i="23"/>
  <c r="AF7" i="23"/>
  <c r="AR6" i="23"/>
  <c r="AQ6" i="23"/>
  <c r="AP6" i="23"/>
  <c r="AO6" i="23"/>
  <c r="AN6" i="23"/>
  <c r="AL6" i="23"/>
  <c r="AK6" i="23"/>
  <c r="AJ6" i="23"/>
  <c r="AI6" i="23"/>
  <c r="AH6" i="23"/>
  <c r="AG6" i="23"/>
  <c r="AF6" i="23"/>
  <c r="AF8" i="23" s="1"/>
  <c r="T51" i="22"/>
  <c r="T38" i="22"/>
  <c r="T39" i="22" s="1"/>
  <c r="T40" i="22" s="1"/>
  <c r="T41" i="22" s="1"/>
  <c r="T43" i="22" s="1"/>
  <c r="T44" i="22" s="1"/>
  <c r="T45" i="22" s="1"/>
  <c r="L38" i="22"/>
  <c r="BS37" i="22"/>
  <c r="T37" i="22"/>
  <c r="I37" i="22"/>
  <c r="F37" i="22"/>
  <c r="T29" i="22"/>
  <c r="T30" i="22" s="1"/>
  <c r="T31" i="22" s="1"/>
  <c r="T33" i="22" s="1"/>
  <c r="T34" i="22" s="1"/>
  <c r="T35" i="22" s="1"/>
  <c r="T28" i="22"/>
  <c r="L28" i="22"/>
  <c r="F28" i="22"/>
  <c r="F29" i="22" s="1"/>
  <c r="BS27" i="22"/>
  <c r="T27" i="22"/>
  <c r="I27" i="22"/>
  <c r="F27" i="22"/>
  <c r="BM24" i="22"/>
  <c r="BL24" i="22"/>
  <c r="BK24" i="22"/>
  <c r="BJ24" i="22"/>
  <c r="BI24" i="22"/>
  <c r="BH24" i="22"/>
  <c r="BG24" i="22"/>
  <c r="BF24" i="22"/>
  <c r="BE24" i="22"/>
  <c r="BD24" i="22"/>
  <c r="BC24" i="22"/>
  <c r="BB24" i="22"/>
  <c r="BA24" i="22"/>
  <c r="AZ24" i="22"/>
  <c r="AY24" i="22"/>
  <c r="AX24" i="22"/>
  <c r="AW24" i="22"/>
  <c r="AV24" i="22"/>
  <c r="AU24" i="22"/>
  <c r="AT24" i="22"/>
  <c r="AS24" i="22"/>
  <c r="AR24" i="22"/>
  <c r="AQ24" i="22"/>
  <c r="AP24" i="22"/>
  <c r="AO24" i="22"/>
  <c r="AN24" i="22"/>
  <c r="AM24" i="22"/>
  <c r="AL24" i="22"/>
  <c r="AK24" i="22"/>
  <c r="AJ24" i="22"/>
  <c r="AI24" i="22"/>
  <c r="AH24" i="22"/>
  <c r="AG24" i="22"/>
  <c r="AF24" i="22"/>
  <c r="AE24" i="22"/>
  <c r="BP11" i="22"/>
  <c r="BO11" i="22"/>
  <c r="BN11" i="22"/>
  <c r="BD10" i="22"/>
  <c r="BE10" i="22" s="1"/>
  <c r="BF10" i="22" s="1"/>
  <c r="BG10" i="22" s="1"/>
  <c r="BH10" i="22" s="1"/>
  <c r="BI10" i="22" s="1"/>
  <c r="BJ10" i="22" s="1"/>
  <c r="BK10" i="22" s="1"/>
  <c r="BL10" i="22" s="1"/>
  <c r="BM10" i="22" s="1"/>
  <c r="BC10" i="22"/>
  <c r="BB10" i="22"/>
  <c r="BA10" i="22"/>
  <c r="AZ10" i="22"/>
  <c r="AY10" i="22"/>
  <c r="AX10" i="22"/>
  <c r="AW10" i="22"/>
  <c r="AV10" i="22"/>
  <c r="AU10" i="22"/>
  <c r="AT10" i="22"/>
  <c r="AS10" i="22"/>
  <c r="AR10" i="22"/>
  <c r="AQ10" i="22"/>
  <c r="AP10" i="22"/>
  <c r="AO10" i="22"/>
  <c r="AN10" i="22"/>
  <c r="AM10" i="22"/>
  <c r="AL10" i="22"/>
  <c r="AK10" i="22"/>
  <c r="AJ10" i="22"/>
  <c r="AI10" i="22"/>
  <c r="AH10" i="22"/>
  <c r="AG10" i="22"/>
  <c r="AF10" i="22"/>
  <c r="AE10" i="22"/>
  <c r="BM9" i="22"/>
  <c r="BL9" i="22"/>
  <c r="BK9" i="22"/>
  <c r="BJ9" i="22"/>
  <c r="BI9" i="22"/>
  <c r="BH9" i="22"/>
  <c r="BG9" i="22"/>
  <c r="BF9" i="22"/>
  <c r="BE9" i="22"/>
  <c r="BD9" i="22"/>
  <c r="BC9" i="22"/>
  <c r="BB9" i="22"/>
  <c r="BA9" i="22"/>
  <c r="AZ9" i="22"/>
  <c r="AY9" i="22"/>
  <c r="AX9" i="22"/>
  <c r="AW9" i="22"/>
  <c r="AV9" i="22"/>
  <c r="AU9" i="22"/>
  <c r="AT9" i="22"/>
  <c r="AS9" i="22"/>
  <c r="AR9" i="22"/>
  <c r="AQ9" i="22"/>
  <c r="AP9" i="22"/>
  <c r="AO9" i="22"/>
  <c r="AN9" i="22"/>
  <c r="AM9" i="22"/>
  <c r="AL9" i="22"/>
  <c r="AK9" i="22"/>
  <c r="AJ9" i="22"/>
  <c r="AI9" i="22"/>
  <c r="AH9" i="22"/>
  <c r="AG9" i="22"/>
  <c r="AF9" i="22"/>
  <c r="AE9" i="22"/>
  <c r="BC7" i="22"/>
  <c r="BB7" i="22"/>
  <c r="BA7" i="22"/>
  <c r="AZ7" i="22"/>
  <c r="AY7" i="22"/>
  <c r="AX7" i="22"/>
  <c r="AW7" i="22"/>
  <c r="AV7" i="22"/>
  <c r="AU7" i="22"/>
  <c r="AT7" i="22"/>
  <c r="AS7" i="22"/>
  <c r="AR7" i="22"/>
  <c r="AQ7" i="22"/>
  <c r="AP7" i="22"/>
  <c r="AO7" i="22"/>
  <c r="AN7" i="22"/>
  <c r="AM7" i="22"/>
  <c r="AL7" i="22"/>
  <c r="AK7" i="22"/>
  <c r="AJ7" i="22"/>
  <c r="AI7" i="22"/>
  <c r="AH7" i="22"/>
  <c r="AG7" i="22"/>
  <c r="AF7" i="22"/>
  <c r="AE7" i="22"/>
  <c r="BM6" i="22"/>
  <c r="BL6" i="22"/>
  <c r="BK6" i="22"/>
  <c r="BJ6" i="22"/>
  <c r="BI6" i="22"/>
  <c r="BH6" i="22"/>
  <c r="BG6" i="22"/>
  <c r="BF6" i="22"/>
  <c r="BE6" i="22"/>
  <c r="BD6" i="22"/>
  <c r="BC6" i="22"/>
  <c r="BC8" i="22" s="1"/>
  <c r="BB6" i="22"/>
  <c r="BB8" i="22" s="1"/>
  <c r="BA6" i="22"/>
  <c r="BA8" i="22" s="1"/>
  <c r="AZ6" i="22"/>
  <c r="AZ8" i="22" s="1"/>
  <c r="AY6" i="22"/>
  <c r="AY8" i="22" s="1"/>
  <c r="AX6" i="22"/>
  <c r="AX8" i="22" s="1"/>
  <c r="AW6" i="22"/>
  <c r="AW8" i="22" s="1"/>
  <c r="AV6" i="22"/>
  <c r="AV8" i="22" s="1"/>
  <c r="AU6" i="22"/>
  <c r="AU8" i="22" s="1"/>
  <c r="AT6" i="22"/>
  <c r="AT8" i="22" s="1"/>
  <c r="AS6" i="22"/>
  <c r="AS8" i="22" s="1"/>
  <c r="AR6" i="22"/>
  <c r="AR8" i="22" s="1"/>
  <c r="AQ6" i="22"/>
  <c r="AQ8" i="22" s="1"/>
  <c r="AP6" i="22"/>
  <c r="AP8" i="22" s="1"/>
  <c r="AO6" i="22"/>
  <c r="AO8" i="22" s="1"/>
  <c r="AN6" i="22"/>
  <c r="AN8" i="22" s="1"/>
  <c r="AM6" i="22"/>
  <c r="AM8" i="22" s="1"/>
  <c r="AL6" i="22"/>
  <c r="AL8" i="22" s="1"/>
  <c r="AK6" i="22"/>
  <c r="AK8" i="22" s="1"/>
  <c r="AJ6" i="22"/>
  <c r="AJ8" i="22" s="1"/>
  <c r="AI6" i="22"/>
  <c r="AI8" i="22" s="1"/>
  <c r="AH6" i="22"/>
  <c r="AH8" i="22" s="1"/>
  <c r="AG6" i="22"/>
  <c r="AG8" i="22" s="1"/>
  <c r="AF6" i="22"/>
  <c r="AF8" i="22" s="1"/>
  <c r="AE6" i="22"/>
  <c r="AE8" i="22" s="1"/>
  <c r="T69" i="21"/>
  <c r="BM63" i="21"/>
  <c r="BL63" i="21"/>
  <c r="BK63" i="21"/>
  <c r="BJ63" i="21"/>
  <c r="BI63" i="21"/>
  <c r="BH63" i="21"/>
  <c r="BG63" i="21"/>
  <c r="BF63" i="21"/>
  <c r="BE63" i="21"/>
  <c r="BD63" i="21"/>
  <c r="AH63" i="21"/>
  <c r="BM60" i="21"/>
  <c r="BL60" i="21"/>
  <c r="BK60" i="21"/>
  <c r="BJ60" i="21"/>
  <c r="BI60" i="21"/>
  <c r="BH60" i="21"/>
  <c r="BG60" i="21"/>
  <c r="BF60" i="21"/>
  <c r="BE60" i="21"/>
  <c r="BD60" i="21"/>
  <c r="AH60" i="21"/>
  <c r="BM59" i="21"/>
  <c r="BL59" i="21"/>
  <c r="BK59" i="21"/>
  <c r="BJ59" i="21"/>
  <c r="BI59" i="21"/>
  <c r="BH59" i="21"/>
  <c r="BG59" i="21"/>
  <c r="BF59" i="21"/>
  <c r="BE59" i="21"/>
  <c r="BD59" i="21"/>
  <c r="AH59" i="21"/>
  <c r="BM57" i="21"/>
  <c r="BL57" i="21"/>
  <c r="BK57" i="21"/>
  <c r="BJ57" i="21"/>
  <c r="BI57" i="21"/>
  <c r="BH57" i="21"/>
  <c r="BG57" i="21"/>
  <c r="BF57" i="21"/>
  <c r="BE57" i="21"/>
  <c r="BD57" i="21"/>
  <c r="AH57" i="21"/>
  <c r="BM56" i="21"/>
  <c r="BL56" i="21"/>
  <c r="BK56" i="21"/>
  <c r="BJ56" i="21"/>
  <c r="BI56" i="21"/>
  <c r="BH56" i="21"/>
  <c r="BG56" i="21"/>
  <c r="BF56" i="21"/>
  <c r="BE56" i="21"/>
  <c r="BD56" i="21"/>
  <c r="AH56" i="21"/>
  <c r="BM55" i="21"/>
  <c r="BL55" i="21"/>
  <c r="BK55" i="21"/>
  <c r="BJ55" i="21"/>
  <c r="BI55" i="21"/>
  <c r="BH55" i="21"/>
  <c r="BG55" i="21"/>
  <c r="BF55" i="21"/>
  <c r="BE55" i="21"/>
  <c r="BD55" i="21"/>
  <c r="AH55" i="21"/>
  <c r="L47" i="21"/>
  <c r="T46" i="21"/>
  <c r="T47" i="21" s="1"/>
  <c r="T48" i="21" s="1"/>
  <c r="T49" i="21" s="1"/>
  <c r="T50" i="21" s="1"/>
  <c r="T51" i="21" s="1"/>
  <c r="T52" i="21" s="1"/>
  <c r="T53" i="21" s="1"/>
  <c r="T54" i="21" s="1"/>
  <c r="T55" i="21" s="1"/>
  <c r="F46" i="21"/>
  <c r="F47" i="21" s="1"/>
  <c r="BM44" i="21"/>
  <c r="BL44" i="21"/>
  <c r="BK44" i="21"/>
  <c r="BJ44" i="21"/>
  <c r="BI44" i="21"/>
  <c r="BH44" i="21"/>
  <c r="BG44" i="21"/>
  <c r="BF44" i="21"/>
  <c r="BE44" i="21"/>
  <c r="BD44" i="21"/>
  <c r="AH44" i="21"/>
  <c r="BM41" i="21"/>
  <c r="BL41" i="21"/>
  <c r="BK41" i="21"/>
  <c r="BJ41" i="21"/>
  <c r="BI41" i="21"/>
  <c r="BH41" i="21"/>
  <c r="BG41" i="21"/>
  <c r="BF41" i="21"/>
  <c r="BE41" i="21"/>
  <c r="BD41" i="21"/>
  <c r="AH41" i="21"/>
  <c r="BM40" i="21"/>
  <c r="BL40" i="21"/>
  <c r="BK40" i="21"/>
  <c r="BJ40" i="21"/>
  <c r="BI40" i="21"/>
  <c r="BH40" i="21"/>
  <c r="BG40" i="21"/>
  <c r="BF40" i="21"/>
  <c r="BE40" i="21"/>
  <c r="BD40" i="21"/>
  <c r="AH40" i="21"/>
  <c r="BM38" i="21"/>
  <c r="BL38" i="21"/>
  <c r="BK38" i="21"/>
  <c r="BJ38" i="21"/>
  <c r="BI38" i="21"/>
  <c r="BH38" i="21"/>
  <c r="BG38" i="21"/>
  <c r="BF38" i="21"/>
  <c r="BE38" i="21"/>
  <c r="BD38" i="21"/>
  <c r="AH38" i="21"/>
  <c r="BM37" i="21"/>
  <c r="BL37" i="21"/>
  <c r="BK37" i="21"/>
  <c r="BJ37" i="21"/>
  <c r="BI37" i="21"/>
  <c r="BH37" i="21"/>
  <c r="BG37" i="21"/>
  <c r="BF37" i="21"/>
  <c r="BE37" i="21"/>
  <c r="BD37" i="21"/>
  <c r="AH37" i="21"/>
  <c r="BM36" i="21"/>
  <c r="BL36" i="21"/>
  <c r="BK36" i="21"/>
  <c r="BJ36" i="21"/>
  <c r="BI36" i="21"/>
  <c r="BH36" i="21"/>
  <c r="BG36" i="21"/>
  <c r="BF36" i="21"/>
  <c r="BE36" i="21"/>
  <c r="BD36" i="21"/>
  <c r="AH36" i="21"/>
  <c r="T28" i="21"/>
  <c r="T29" i="21" s="1"/>
  <c r="T30" i="21" s="1"/>
  <c r="T31" i="21" s="1"/>
  <c r="T32" i="21" s="1"/>
  <c r="T33" i="21" s="1"/>
  <c r="T34" i="21" s="1"/>
  <c r="T35" i="21" s="1"/>
  <c r="T36" i="21" s="1"/>
  <c r="L28" i="21"/>
  <c r="T27" i="21"/>
  <c r="F27" i="21"/>
  <c r="F28" i="21" s="1"/>
  <c r="BM24" i="21"/>
  <c r="BL24" i="21"/>
  <c r="BK24" i="21"/>
  <c r="BJ24" i="21"/>
  <c r="BI24" i="21"/>
  <c r="BH24" i="21"/>
  <c r="BG24" i="21"/>
  <c r="BF24" i="21"/>
  <c r="BE24" i="21"/>
  <c r="BD24" i="21"/>
  <c r="BC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BP11" i="21"/>
  <c r="BO11" i="21"/>
  <c r="BN11" i="21"/>
  <c r="BD10" i="21"/>
  <c r="BE10" i="21" s="1"/>
  <c r="BF10" i="21" s="1"/>
  <c r="BG10" i="21" s="1"/>
  <c r="BH10" i="21" s="1"/>
  <c r="BI10" i="21" s="1"/>
  <c r="BJ10" i="21" s="1"/>
  <c r="BK10" i="21" s="1"/>
  <c r="BL10" i="21" s="1"/>
  <c r="BM10" i="21" s="1"/>
  <c r="BC10" i="21"/>
  <c r="BB10" i="21"/>
  <c r="BA10" i="21"/>
  <c r="AZ10" i="21"/>
  <c r="AY10" i="21"/>
  <c r="AX10" i="21"/>
  <c r="AW10" i="21"/>
  <c r="AV10" i="21"/>
  <c r="AU10" i="21"/>
  <c r="AT10" i="21"/>
  <c r="AS10" i="21"/>
  <c r="AR10" i="21"/>
  <c r="AQ10" i="21"/>
  <c r="AP10" i="21"/>
  <c r="AO10" i="21"/>
  <c r="AN10" i="21"/>
  <c r="AM10" i="21"/>
  <c r="AL10" i="21"/>
  <c r="AK10" i="21"/>
  <c r="AJ10" i="21"/>
  <c r="AI10" i="21"/>
  <c r="AH10" i="21"/>
  <c r="AG10" i="21"/>
  <c r="AF10" i="21"/>
  <c r="AE10" i="21"/>
  <c r="BM9" i="21"/>
  <c r="BL9" i="21"/>
  <c r="BK9" i="21"/>
  <c r="BJ9" i="21"/>
  <c r="BI9" i="21"/>
  <c r="BH9" i="21"/>
  <c r="BG9" i="21"/>
  <c r="BF9" i="21"/>
  <c r="BE9" i="21"/>
  <c r="BD9" i="21"/>
  <c r="BC9" i="21"/>
  <c r="BB9" i="21"/>
  <c r="BA9" i="21"/>
  <c r="AZ9" i="21"/>
  <c r="AY9" i="21"/>
  <c r="AX9" i="21"/>
  <c r="AW9" i="21"/>
  <c r="AV9" i="21"/>
  <c r="AU9" i="21"/>
  <c r="AT9" i="21"/>
  <c r="AS9" i="21"/>
  <c r="AR9" i="21"/>
  <c r="AQ9" i="21"/>
  <c r="AP9" i="21"/>
  <c r="AO9" i="21"/>
  <c r="AN9" i="21"/>
  <c r="AM9" i="21"/>
  <c r="AL9" i="21"/>
  <c r="AK9" i="21"/>
  <c r="AJ9" i="21"/>
  <c r="AI9" i="21"/>
  <c r="AH9" i="21"/>
  <c r="AG9" i="21"/>
  <c r="AF9" i="21"/>
  <c r="AE9" i="21"/>
  <c r="BC7" i="21"/>
  <c r="BB7" i="21"/>
  <c r="BA7" i="21"/>
  <c r="AZ7" i="21"/>
  <c r="AY7" i="21"/>
  <c r="AX7" i="21"/>
  <c r="AW7" i="21"/>
  <c r="AV7" i="21"/>
  <c r="AU7" i="21"/>
  <c r="AT7" i="21"/>
  <c r="AS7" i="21"/>
  <c r="AR7" i="21"/>
  <c r="AQ7" i="21"/>
  <c r="AP7" i="21"/>
  <c r="AO7" i="21"/>
  <c r="AN7" i="21"/>
  <c r="AM7" i="21"/>
  <c r="AL7" i="21"/>
  <c r="AK7" i="21"/>
  <c r="AJ7" i="21"/>
  <c r="AI7" i="21"/>
  <c r="AH7" i="21"/>
  <c r="AG7" i="21"/>
  <c r="AF7" i="21"/>
  <c r="AE7" i="21"/>
  <c r="BM6" i="21"/>
  <c r="BL6" i="21"/>
  <c r="BK6" i="21"/>
  <c r="BJ6" i="21"/>
  <c r="BI6" i="21"/>
  <c r="BH6" i="21"/>
  <c r="BG6" i="21"/>
  <c r="BF6" i="21"/>
  <c r="BE6" i="21"/>
  <c r="BD6" i="21"/>
  <c r="BC6" i="21"/>
  <c r="BC8" i="21" s="1"/>
  <c r="BB6" i="21"/>
  <c r="BB8" i="21" s="1"/>
  <c r="BA6" i="21"/>
  <c r="BA8" i="21" s="1"/>
  <c r="AZ6" i="21"/>
  <c r="AZ8" i="21" s="1"/>
  <c r="AY6" i="21"/>
  <c r="AY8" i="21" s="1"/>
  <c r="AX6" i="21"/>
  <c r="AX8" i="21" s="1"/>
  <c r="AW6" i="21"/>
  <c r="AW8" i="21" s="1"/>
  <c r="AV6" i="21"/>
  <c r="AV8" i="21" s="1"/>
  <c r="AU6" i="21"/>
  <c r="AU8" i="21" s="1"/>
  <c r="AT6" i="21"/>
  <c r="AT8" i="21" s="1"/>
  <c r="AS6" i="21"/>
  <c r="AS8" i="21" s="1"/>
  <c r="AR6" i="21"/>
  <c r="AR8" i="21" s="1"/>
  <c r="AQ6" i="21"/>
  <c r="AQ8" i="21" s="1"/>
  <c r="AP6" i="21"/>
  <c r="AP8" i="21" s="1"/>
  <c r="AO6" i="21"/>
  <c r="AO8" i="21" s="1"/>
  <c r="AN6" i="21"/>
  <c r="AN8" i="21" s="1"/>
  <c r="AM6" i="21"/>
  <c r="AM8" i="21" s="1"/>
  <c r="AL6" i="21"/>
  <c r="AL8" i="21" s="1"/>
  <c r="AK6" i="21"/>
  <c r="AK8" i="21" s="1"/>
  <c r="AJ6" i="21"/>
  <c r="AJ8" i="21" s="1"/>
  <c r="AI6" i="21"/>
  <c r="AI8" i="21" s="1"/>
  <c r="AH6" i="21"/>
  <c r="AH8" i="21" s="1"/>
  <c r="AG6" i="21"/>
  <c r="AG8" i="21" s="1"/>
  <c r="AF6" i="21"/>
  <c r="AF8" i="21" s="1"/>
  <c r="AE6" i="21"/>
  <c r="AE8" i="21" s="1"/>
  <c r="T49" i="20"/>
  <c r="AG43" i="20"/>
  <c r="AF43" i="20"/>
  <c r="AE43" i="20"/>
  <c r="L43" i="20"/>
  <c r="F37" i="20"/>
  <c r="T36" i="20"/>
  <c r="T37" i="20" s="1"/>
  <c r="T38" i="20" s="1"/>
  <c r="T39" i="20" s="1"/>
  <c r="T40" i="20" s="1"/>
  <c r="T41" i="20" s="1"/>
  <c r="T42" i="20" s="1"/>
  <c r="T43" i="20" s="1"/>
  <c r="T44" i="20" s="1"/>
  <c r="I36" i="20"/>
  <c r="F36" i="20"/>
  <c r="L34" i="20"/>
  <c r="T27" i="20"/>
  <c r="T28" i="20" s="1"/>
  <c r="T29" i="20" s="1"/>
  <c r="T30" i="20" s="1"/>
  <c r="T31" i="20" s="1"/>
  <c r="T32" i="20" s="1"/>
  <c r="T33" i="20" s="1"/>
  <c r="T34" i="20" s="1"/>
  <c r="T35" i="20" s="1"/>
  <c r="I27" i="20"/>
  <c r="F27" i="20"/>
  <c r="F28" i="20" s="1"/>
  <c r="BM24" i="20"/>
  <c r="BL24" i="20"/>
  <c r="BK24" i="20"/>
  <c r="BJ24" i="20"/>
  <c r="BI24" i="20"/>
  <c r="BH24" i="20"/>
  <c r="BG24" i="20"/>
  <c r="BF24"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H13" i="20"/>
  <c r="AG13" i="20"/>
  <c r="AF13" i="20"/>
  <c r="AE13" i="20"/>
  <c r="AH12" i="20"/>
  <c r="AH14" i="20" s="1"/>
  <c r="AG12" i="20"/>
  <c r="AG14" i="20" s="1"/>
  <c r="AF12" i="20"/>
  <c r="AF14" i="20" s="1"/>
  <c r="AE12" i="20"/>
  <c r="AE14" i="20" s="1"/>
  <c r="BP11" i="20"/>
  <c r="BO11" i="20"/>
  <c r="BN11" i="20"/>
  <c r="BC10" i="20"/>
  <c r="BB10" i="20"/>
  <c r="BA10" i="20"/>
  <c r="AZ10" i="20"/>
  <c r="AY10" i="20"/>
  <c r="AX10" i="20"/>
  <c r="AW10" i="20"/>
  <c r="AV10" i="20"/>
  <c r="AU10" i="20"/>
  <c r="AT10" i="20"/>
  <c r="AS10" i="20"/>
  <c r="AR10" i="20"/>
  <c r="AQ10" i="20"/>
  <c r="AP10" i="20"/>
  <c r="AO10" i="20"/>
  <c r="AN10" i="20"/>
  <c r="AM10" i="20"/>
  <c r="AL10" i="20"/>
  <c r="AK10" i="20"/>
  <c r="AJ10" i="20"/>
  <c r="AI10" i="20"/>
  <c r="BM9" i="20"/>
  <c r="BL9" i="20"/>
  <c r="BK9" i="20"/>
  <c r="BJ9" i="20"/>
  <c r="BI9" i="20"/>
  <c r="BH9" i="20"/>
  <c r="BG9" i="20"/>
  <c r="BF9" i="20"/>
  <c r="BE9" i="20"/>
  <c r="BD9" i="20"/>
  <c r="BC9" i="20"/>
  <c r="BB9" i="20"/>
  <c r="BA9" i="20"/>
  <c r="AZ9" i="20"/>
  <c r="AY9" i="20"/>
  <c r="AX9" i="20"/>
  <c r="AW9" i="20"/>
  <c r="AV9" i="20"/>
  <c r="AU9" i="20"/>
  <c r="AT9" i="20"/>
  <c r="AS9" i="20"/>
  <c r="AR9" i="20"/>
  <c r="AQ9" i="20"/>
  <c r="AP9" i="20"/>
  <c r="AO9" i="20"/>
  <c r="AN9" i="20"/>
  <c r="AM9" i="20"/>
  <c r="AL9" i="20"/>
  <c r="AK9" i="20"/>
  <c r="AJ9" i="20"/>
  <c r="AI9" i="20"/>
  <c r="BC7" i="20"/>
  <c r="BB7" i="20"/>
  <c r="BA7" i="20"/>
  <c r="AZ7" i="20"/>
  <c r="AY7" i="20"/>
  <c r="AX7" i="20"/>
  <c r="AW7" i="20"/>
  <c r="AV7" i="20"/>
  <c r="AU7" i="20"/>
  <c r="AT7" i="20"/>
  <c r="AS7" i="20"/>
  <c r="AR7" i="20"/>
  <c r="AQ7" i="20"/>
  <c r="AP7" i="20"/>
  <c r="AO7" i="20"/>
  <c r="AN7" i="20"/>
  <c r="AM7" i="20"/>
  <c r="AL7" i="20"/>
  <c r="AK7" i="20"/>
  <c r="AJ7" i="20"/>
  <c r="AI7" i="20"/>
  <c r="BM6" i="20"/>
  <c r="BL6" i="20"/>
  <c r="BK6" i="20"/>
  <c r="BJ6" i="20"/>
  <c r="BI6" i="20"/>
  <c r="BH6" i="20"/>
  <c r="BG6" i="20"/>
  <c r="BF6" i="20"/>
  <c r="BE6" i="20"/>
  <c r="BD6" i="20"/>
  <c r="BC6" i="20"/>
  <c r="BC8" i="20" s="1"/>
  <c r="BB6" i="20"/>
  <c r="BB8" i="20" s="1"/>
  <c r="BA6" i="20"/>
  <c r="BA8" i="20" s="1"/>
  <c r="AZ6" i="20"/>
  <c r="AZ8" i="20" s="1"/>
  <c r="AY6" i="20"/>
  <c r="AY8" i="20" s="1"/>
  <c r="AX6" i="20"/>
  <c r="AX8" i="20" s="1"/>
  <c r="AW6" i="20"/>
  <c r="AW8" i="20" s="1"/>
  <c r="AV6" i="20"/>
  <c r="AV8" i="20" s="1"/>
  <c r="AU6" i="20"/>
  <c r="AU8" i="20" s="1"/>
  <c r="AT6" i="20"/>
  <c r="AS6" i="20"/>
  <c r="AS8" i="20" s="1"/>
  <c r="AR6" i="20"/>
  <c r="AR8" i="20" s="1"/>
  <c r="AQ6" i="20"/>
  <c r="AQ8" i="20" s="1"/>
  <c r="AP6" i="20"/>
  <c r="AP8" i="20" s="1"/>
  <c r="AO6" i="20"/>
  <c r="AO8" i="20" s="1"/>
  <c r="AN6" i="20"/>
  <c r="AN8" i="20" s="1"/>
  <c r="AM6" i="20"/>
  <c r="AM8" i="20" s="1"/>
  <c r="AL6" i="20"/>
  <c r="AL8" i="20" s="1"/>
  <c r="AK6" i="20"/>
  <c r="AK8" i="20" s="1"/>
  <c r="AJ6" i="20"/>
  <c r="AJ8" i="20" s="1"/>
  <c r="AI6" i="20"/>
  <c r="AI8" i="20" s="1"/>
  <c r="T79" i="19"/>
  <c r="AT73" i="19"/>
  <c r="AL73" i="19"/>
  <c r="AH73" i="19"/>
  <c r="AB73" i="19"/>
  <c r="AR72" i="19"/>
  <c r="AK71" i="19"/>
  <c r="AJ71" i="19"/>
  <c r="AI71" i="19"/>
  <c r="AL71" i="19" s="1"/>
  <c r="AG71" i="19"/>
  <c r="AH71" i="19" s="1"/>
  <c r="AF71" i="19"/>
  <c r="AE71" i="19"/>
  <c r="AR70" i="19"/>
  <c r="AT69" i="19"/>
  <c r="AL69" i="19"/>
  <c r="AH69" i="19"/>
  <c r="AB69" i="19"/>
  <c r="AR68" i="19"/>
  <c r="AL67" i="19"/>
  <c r="AK67" i="19"/>
  <c r="AJ67" i="19"/>
  <c r="AI67" i="19"/>
  <c r="AH67" i="19"/>
  <c r="AG67" i="19"/>
  <c r="AF67" i="19"/>
  <c r="AE67" i="19"/>
  <c r="AL64" i="19"/>
  <c r="AH64" i="19"/>
  <c r="AL63" i="19"/>
  <c r="AH63" i="19"/>
  <c r="AL62" i="19"/>
  <c r="AH62" i="19"/>
  <c r="AL61" i="19"/>
  <c r="AH61" i="19"/>
  <c r="AL60" i="19"/>
  <c r="AH60" i="19"/>
  <c r="AL59" i="19"/>
  <c r="AH59" i="19"/>
  <c r="AL58" i="19"/>
  <c r="AH58" i="19"/>
  <c r="AK57" i="19"/>
  <c r="AJ57" i="19"/>
  <c r="AI57" i="19"/>
  <c r="AL57" i="19" s="1"/>
  <c r="AG57" i="19"/>
  <c r="AH57" i="19" s="1"/>
  <c r="AF57" i="19"/>
  <c r="AE57" i="19"/>
  <c r="AL56" i="19"/>
  <c r="AH56" i="19"/>
  <c r="AL54" i="19"/>
  <c r="AH54" i="19"/>
  <c r="AL53" i="19"/>
  <c r="AH53" i="19"/>
  <c r="L52" i="19"/>
  <c r="F52" i="19"/>
  <c r="K52" i="19" s="1"/>
  <c r="T51" i="19"/>
  <c r="T52" i="19" s="1"/>
  <c r="T53" i="19" s="1"/>
  <c r="T54" i="19" s="1"/>
  <c r="T55" i="19" s="1"/>
  <c r="T56" i="19" s="1"/>
  <c r="T57" i="19" s="1"/>
  <c r="T58" i="19" s="1"/>
  <c r="T59" i="19" s="1"/>
  <c r="T60" i="19" s="1"/>
  <c r="T61" i="19" s="1"/>
  <c r="T62" i="19" s="1"/>
  <c r="T63" i="19" s="1"/>
  <c r="T64" i="19" s="1"/>
  <c r="T65" i="19" s="1"/>
  <c r="T66" i="19" s="1"/>
  <c r="T67" i="19" s="1"/>
  <c r="T68" i="19" s="1"/>
  <c r="I51" i="19"/>
  <c r="F51" i="19"/>
  <c r="AT49" i="19"/>
  <c r="AL49" i="19"/>
  <c r="AH49" i="19"/>
  <c r="AB49" i="19"/>
  <c r="AR48" i="19"/>
  <c r="AL47" i="19"/>
  <c r="AK47" i="19"/>
  <c r="AJ47" i="19"/>
  <c r="AI47" i="19"/>
  <c r="AG47" i="19"/>
  <c r="AH47" i="19" s="1"/>
  <c r="AF47" i="19"/>
  <c r="AE47" i="19"/>
  <c r="AR46" i="19"/>
  <c r="AT45" i="19"/>
  <c r="AL45" i="19"/>
  <c r="AH45" i="19"/>
  <c r="AB45" i="19"/>
  <c r="AR44" i="19"/>
  <c r="AL43" i="19"/>
  <c r="AK43" i="19"/>
  <c r="AJ43" i="19"/>
  <c r="AI43" i="19"/>
  <c r="AH43" i="19"/>
  <c r="AG43" i="19"/>
  <c r="AF43" i="19"/>
  <c r="AE43" i="19"/>
  <c r="AL40" i="19"/>
  <c r="AH40" i="19"/>
  <c r="AL39" i="19"/>
  <c r="AH39" i="19"/>
  <c r="AL38" i="19"/>
  <c r="AH38" i="19"/>
  <c r="AL37" i="19"/>
  <c r="AH37" i="19"/>
  <c r="AH43" i="20" s="1"/>
  <c r="AL36" i="19"/>
  <c r="AH36" i="19"/>
  <c r="AL35" i="19"/>
  <c r="AH35" i="19"/>
  <c r="AL34" i="19"/>
  <c r="AH34" i="19"/>
  <c r="AK33" i="19"/>
  <c r="AJ33" i="19"/>
  <c r="AI33" i="19"/>
  <c r="AL33" i="19" s="1"/>
  <c r="AG33" i="19"/>
  <c r="AH33" i="19" s="1"/>
  <c r="AF33" i="19"/>
  <c r="AE33" i="19"/>
  <c r="AL32" i="19"/>
  <c r="AH32" i="19"/>
  <c r="AL30" i="19"/>
  <c r="AH30" i="19"/>
  <c r="AL29" i="19"/>
  <c r="AH29" i="19"/>
  <c r="L28" i="19"/>
  <c r="K28" i="19"/>
  <c r="F28" i="19"/>
  <c r="F29" i="19" s="1"/>
  <c r="F30" i="19" s="1"/>
  <c r="F31" i="19" s="1"/>
  <c r="T27" i="19"/>
  <c r="T28" i="19" s="1"/>
  <c r="T29" i="19" s="1"/>
  <c r="T30" i="19" s="1"/>
  <c r="T31" i="19" s="1"/>
  <c r="T32" i="19" s="1"/>
  <c r="T33" i="19" s="1"/>
  <c r="T34" i="19" s="1"/>
  <c r="T35" i="19" s="1"/>
  <c r="T36" i="19" s="1"/>
  <c r="T37" i="19" s="1"/>
  <c r="T38" i="19" s="1"/>
  <c r="T39" i="19" s="1"/>
  <c r="T40" i="19" s="1"/>
  <c r="T41" i="19" s="1"/>
  <c r="T42" i="19" s="1"/>
  <c r="T43" i="19" s="1"/>
  <c r="T44" i="19" s="1"/>
  <c r="I27" i="19"/>
  <c r="F27" i="19"/>
  <c r="AL24" i="19"/>
  <c r="AK24" i="19"/>
  <c r="AJ24" i="19"/>
  <c r="AI24" i="19"/>
  <c r="AH24" i="19"/>
  <c r="AG24" i="19"/>
  <c r="AF24" i="19"/>
  <c r="AE24" i="19"/>
  <c r="AO11" i="19"/>
  <c r="AN11" i="19"/>
  <c r="AM11" i="19"/>
  <c r="AL10" i="19"/>
  <c r="AK10" i="19"/>
  <c r="AJ10" i="19"/>
  <c r="AI10" i="19"/>
  <c r="AH10" i="19"/>
  <c r="AG10" i="19"/>
  <c r="AF10" i="19"/>
  <c r="AE10" i="19"/>
  <c r="AL9" i="19"/>
  <c r="AK9" i="19"/>
  <c r="AJ9" i="19"/>
  <c r="AI9" i="19"/>
  <c r="AH9" i="19"/>
  <c r="AG9" i="19"/>
  <c r="AF9" i="19"/>
  <c r="AE9" i="19"/>
  <c r="AJ8" i="19"/>
  <c r="AF8" i="19"/>
  <c r="AK7" i="19"/>
  <c r="AJ7" i="19"/>
  <c r="AI7" i="19"/>
  <c r="AH7" i="19"/>
  <c r="AG7" i="19"/>
  <c r="AF7" i="19"/>
  <c r="AE7" i="19"/>
  <c r="AL6" i="19"/>
  <c r="AK6" i="19"/>
  <c r="AK8" i="19" s="1"/>
  <c r="AJ6" i="19"/>
  <c r="AI6" i="19"/>
  <c r="AI8" i="19" s="1"/>
  <c r="AH6" i="19"/>
  <c r="AH8" i="19" s="1"/>
  <c r="AG6" i="19"/>
  <c r="AG8" i="19" s="1"/>
  <c r="AF6" i="19"/>
  <c r="AE6" i="19"/>
  <c r="AE8" i="19" s="1"/>
  <c r="AJ2" i="19"/>
  <c r="AK2" i="19" s="1"/>
  <c r="AL2" i="19" s="1"/>
  <c r="T59" i="18"/>
  <c r="BH53" i="18"/>
  <c r="AB53" i="18"/>
  <c r="H53" i="18"/>
  <c r="BF52" i="18"/>
  <c r="BB51" i="18"/>
  <c r="BA51" i="18"/>
  <c r="BA42" i="18" s="1"/>
  <c r="AZ51" i="18"/>
  <c r="AY51" i="18"/>
  <c r="AX51" i="18"/>
  <c r="AW51" i="18"/>
  <c r="AW42" i="18" s="1"/>
  <c r="AV51" i="18"/>
  <c r="AU51" i="18"/>
  <c r="AT51" i="18"/>
  <c r="AS51" i="18"/>
  <c r="AS42" i="18" s="1"/>
  <c r="AR51" i="18"/>
  <c r="AQ51" i="18"/>
  <c r="AP51" i="18"/>
  <c r="AO51" i="18"/>
  <c r="AO42" i="18" s="1"/>
  <c r="AN51" i="18"/>
  <c r="AM51" i="18"/>
  <c r="AL51" i="18"/>
  <c r="AK51" i="18"/>
  <c r="AK42" i="18" s="1"/>
  <c r="AJ51" i="18"/>
  <c r="AI51" i="18"/>
  <c r="AH51" i="18"/>
  <c r="AG51" i="18"/>
  <c r="AG42" i="18" s="1"/>
  <c r="AF51" i="18"/>
  <c r="AE51" i="18"/>
  <c r="BB42" i="18"/>
  <c r="AZ42" i="18"/>
  <c r="AY42" i="18"/>
  <c r="AX42" i="18"/>
  <c r="AV42" i="18"/>
  <c r="AU42" i="18"/>
  <c r="AT42" i="18"/>
  <c r="AR42" i="18"/>
  <c r="AQ42" i="18"/>
  <c r="AP42" i="18"/>
  <c r="AN42" i="18"/>
  <c r="AM42" i="18"/>
  <c r="AL42" i="18"/>
  <c r="AJ42" i="18"/>
  <c r="AI42" i="18"/>
  <c r="AH42" i="18"/>
  <c r="AF42" i="18"/>
  <c r="AE42" i="18"/>
  <c r="T41" i="18"/>
  <c r="T42" i="18" s="1"/>
  <c r="T43" i="18" s="1"/>
  <c r="T44" i="18" s="1"/>
  <c r="T45" i="18" s="1"/>
  <c r="T46" i="18" s="1"/>
  <c r="T47" i="18" s="1"/>
  <c r="T48" i="18" s="1"/>
  <c r="T49" i="18" s="1"/>
  <c r="T50" i="18" s="1"/>
  <c r="T51" i="18" s="1"/>
  <c r="F41" i="18"/>
  <c r="F42" i="18" s="1"/>
  <c r="F43" i="18" s="1"/>
  <c r="F44" i="18" s="1"/>
  <c r="F45" i="18" s="1"/>
  <c r="F46" i="18" s="1"/>
  <c r="F47" i="18" s="1"/>
  <c r="F48" i="18" s="1"/>
  <c r="F49" i="18" s="1"/>
  <c r="F50" i="18" s="1"/>
  <c r="F51" i="18" s="1"/>
  <c r="F52" i="18" s="1"/>
  <c r="F53" i="18" s="1"/>
  <c r="F54" i="18" s="1"/>
  <c r="BH39" i="18"/>
  <c r="AB39" i="18"/>
  <c r="H39" i="18"/>
  <c r="BF38" i="18"/>
  <c r="BB37" i="18"/>
  <c r="BA37" i="18"/>
  <c r="AZ37" i="18"/>
  <c r="AY37" i="18"/>
  <c r="AY28" i="18" s="1"/>
  <c r="AX37" i="18"/>
  <c r="AW37" i="18"/>
  <c r="AV37" i="18"/>
  <c r="AU37" i="18"/>
  <c r="AU28" i="18" s="1"/>
  <c r="AT37" i="18"/>
  <c r="AS37" i="18"/>
  <c r="AR37" i="18"/>
  <c r="AQ37" i="18"/>
  <c r="AP37" i="18"/>
  <c r="AO37" i="18"/>
  <c r="AN37" i="18"/>
  <c r="AM37" i="18"/>
  <c r="AL37" i="18"/>
  <c r="AK37" i="18"/>
  <c r="AJ37" i="18"/>
  <c r="AI37" i="18"/>
  <c r="AH37" i="18"/>
  <c r="AG37" i="18"/>
  <c r="AF37" i="18"/>
  <c r="AE37" i="18"/>
  <c r="BB28" i="18"/>
  <c r="BA28" i="18"/>
  <c r="AZ28" i="18"/>
  <c r="AX28" i="18"/>
  <c r="AW28" i="18"/>
  <c r="AV28" i="18"/>
  <c r="AT28" i="18"/>
  <c r="AS28" i="18"/>
  <c r="AR28" i="18"/>
  <c r="AQ28" i="18"/>
  <c r="AP28" i="18"/>
  <c r="AO28" i="18"/>
  <c r="AN28" i="18"/>
  <c r="AM28" i="18"/>
  <c r="AL28" i="18"/>
  <c r="AK28" i="18"/>
  <c r="AJ28" i="18"/>
  <c r="AI28" i="18"/>
  <c r="AH28" i="18"/>
  <c r="AG28" i="18"/>
  <c r="AF28" i="18"/>
  <c r="AE28" i="18"/>
  <c r="F28" i="18"/>
  <c r="F29" i="18" s="1"/>
  <c r="F30" i="18" s="1"/>
  <c r="F31" i="18" s="1"/>
  <c r="F32" i="18" s="1"/>
  <c r="F33" i="18" s="1"/>
  <c r="F34" i="18" s="1"/>
  <c r="F35" i="18" s="1"/>
  <c r="F36" i="18" s="1"/>
  <c r="F37" i="18" s="1"/>
  <c r="F38" i="18" s="1"/>
  <c r="F39" i="18" s="1"/>
  <c r="F40" i="18" s="1"/>
  <c r="T27" i="18"/>
  <c r="T28" i="18" s="1"/>
  <c r="T29" i="18" s="1"/>
  <c r="T30" i="18" s="1"/>
  <c r="T31" i="18" s="1"/>
  <c r="T32" i="18" s="1"/>
  <c r="T33" i="18" s="1"/>
  <c r="T34" i="18" s="1"/>
  <c r="T35" i="18" s="1"/>
  <c r="T36" i="18" s="1"/>
  <c r="T37" i="18" s="1"/>
  <c r="F27" i="18"/>
  <c r="BB24" i="18"/>
  <c r="BA24" i="18"/>
  <c r="AZ24" i="18"/>
  <c r="AY24" i="18"/>
  <c r="AX24" i="18"/>
  <c r="AW24" i="18"/>
  <c r="AV24" i="18"/>
  <c r="AU24" i="18"/>
  <c r="AT24" i="18"/>
  <c r="AS24" i="18"/>
  <c r="AR24" i="18"/>
  <c r="AQ24" i="18"/>
  <c r="AP24" i="18"/>
  <c r="AO24" i="18"/>
  <c r="AN24" i="18"/>
  <c r="AM24" i="18"/>
  <c r="AL24" i="18"/>
  <c r="AK24" i="18"/>
  <c r="AJ24" i="18"/>
  <c r="AI24" i="18"/>
  <c r="AH24" i="18"/>
  <c r="AG24" i="18"/>
  <c r="AF24" i="18"/>
  <c r="AE24" i="18"/>
  <c r="BC11" i="18"/>
  <c r="BB10" i="18"/>
  <c r="BA10" i="18"/>
  <c r="AZ10" i="18"/>
  <c r="AY10" i="18"/>
  <c r="AX10" i="18"/>
  <c r="AW10" i="18"/>
  <c r="AV10" i="18"/>
  <c r="AU10" i="18"/>
  <c r="AT10" i="18"/>
  <c r="AS10" i="18"/>
  <c r="AR10" i="18"/>
  <c r="AQ10" i="18"/>
  <c r="AP10" i="18"/>
  <c r="AO10" i="18"/>
  <c r="AN10" i="18"/>
  <c r="AM10" i="18"/>
  <c r="AL10" i="18"/>
  <c r="AK10" i="18"/>
  <c r="AJ10" i="18"/>
  <c r="AI10" i="18"/>
  <c r="AH10" i="18"/>
  <c r="AG10" i="18"/>
  <c r="AF10" i="18"/>
  <c r="AE10" i="18"/>
  <c r="BB9" i="18"/>
  <c r="BA9" i="18"/>
  <c r="AZ9" i="18"/>
  <c r="AY9" i="18"/>
  <c r="AX9" i="18"/>
  <c r="AW9" i="18"/>
  <c r="AV9" i="18"/>
  <c r="AU9" i="18"/>
  <c r="AT9" i="18"/>
  <c r="AS9" i="18"/>
  <c r="AR9" i="18"/>
  <c r="AQ9" i="18"/>
  <c r="AP9" i="18"/>
  <c r="AO9" i="18"/>
  <c r="AN9" i="18"/>
  <c r="AM9" i="18"/>
  <c r="AL9" i="18"/>
  <c r="AK9" i="18"/>
  <c r="AJ9" i="18"/>
  <c r="AI9" i="18"/>
  <c r="AH9" i="18"/>
  <c r="AG9" i="18"/>
  <c r="AF9" i="18"/>
  <c r="AE9" i="18"/>
  <c r="BB7" i="18"/>
  <c r="BA7" i="18"/>
  <c r="AZ7" i="18"/>
  <c r="AY7" i="18"/>
  <c r="AX7" i="18"/>
  <c r="AW7" i="18"/>
  <c r="AV7" i="18"/>
  <c r="AU7" i="18"/>
  <c r="AT7" i="18"/>
  <c r="AS7" i="18"/>
  <c r="AR7" i="18"/>
  <c r="AQ7" i="18"/>
  <c r="AP7" i="18"/>
  <c r="AO7" i="18"/>
  <c r="AN7" i="18"/>
  <c r="AM7" i="18"/>
  <c r="AL7" i="18"/>
  <c r="AK7" i="18"/>
  <c r="AJ7" i="18"/>
  <c r="AI7" i="18"/>
  <c r="AH7" i="18"/>
  <c r="AG7" i="18"/>
  <c r="AF7" i="18"/>
  <c r="AE7" i="18"/>
  <c r="BB6" i="18"/>
  <c r="BA6" i="18"/>
  <c r="AZ6" i="18"/>
  <c r="AY6" i="18"/>
  <c r="AX6" i="18"/>
  <c r="AW6" i="18"/>
  <c r="AV6" i="18"/>
  <c r="AU6" i="18"/>
  <c r="AT6" i="18"/>
  <c r="AS6" i="18"/>
  <c r="AR6" i="18"/>
  <c r="AQ6" i="18"/>
  <c r="AP6" i="18"/>
  <c r="AO6" i="18"/>
  <c r="AN6" i="18"/>
  <c r="AM6" i="18"/>
  <c r="AL6" i="18"/>
  <c r="AK6" i="18"/>
  <c r="AJ6" i="18"/>
  <c r="AI6" i="18"/>
  <c r="AH6" i="18"/>
  <c r="AG6" i="18"/>
  <c r="AF6" i="18"/>
  <c r="AE6" i="18"/>
  <c r="T81" i="17"/>
  <c r="H75" i="17"/>
  <c r="H74" i="17"/>
  <c r="AP73" i="17"/>
  <c r="AP74" i="17" s="1"/>
  <c r="AP75" i="17" s="1"/>
  <c r="AJ73" i="17"/>
  <c r="AI73" i="17"/>
  <c r="AB73" i="17"/>
  <c r="AB74" i="17" s="1"/>
  <c r="I73" i="17"/>
  <c r="I74" i="17" s="1"/>
  <c r="I75" i="17" s="1"/>
  <c r="AJ71" i="17"/>
  <c r="AI71" i="17"/>
  <c r="AB69" i="17"/>
  <c r="H69" i="17"/>
  <c r="AP68" i="17"/>
  <c r="AP69" i="17" s="1"/>
  <c r="H68" i="17"/>
  <c r="AP67" i="17"/>
  <c r="AJ67" i="17"/>
  <c r="AI67" i="17"/>
  <c r="AB67" i="17"/>
  <c r="AB68" i="17" s="1"/>
  <c r="I67" i="17"/>
  <c r="I68" i="17" s="1"/>
  <c r="I69" i="17" s="1"/>
  <c r="AJ65" i="17"/>
  <c r="AI65" i="17"/>
  <c r="AB63" i="17"/>
  <c r="H63" i="17"/>
  <c r="AP62" i="17"/>
  <c r="AP63" i="17" s="1"/>
  <c r="H62" i="17"/>
  <c r="AP61" i="17"/>
  <c r="AJ61" i="17"/>
  <c r="AI61" i="17"/>
  <c r="AB61" i="17"/>
  <c r="AB62" i="17" s="1"/>
  <c r="I61" i="17"/>
  <c r="I62" i="17" s="1"/>
  <c r="I63" i="17" s="1"/>
  <c r="AJ59" i="17"/>
  <c r="AI59" i="17"/>
  <c r="AB57" i="17"/>
  <c r="H57" i="17"/>
  <c r="AP56" i="17"/>
  <c r="AP57" i="17" s="1"/>
  <c r="H56" i="17"/>
  <c r="AP55" i="17"/>
  <c r="AJ55" i="17"/>
  <c r="AI55" i="17"/>
  <c r="AB55" i="17"/>
  <c r="AB56" i="17" s="1"/>
  <c r="I55" i="17"/>
  <c r="I56" i="17" s="1"/>
  <c r="I57" i="17" s="1"/>
  <c r="AJ53" i="17"/>
  <c r="AJ52" i="17" s="1"/>
  <c r="AI53" i="17"/>
  <c r="AI52" i="17" s="1"/>
  <c r="L53" i="17"/>
  <c r="F53" i="17"/>
  <c r="T53" i="17" s="1"/>
  <c r="AH52" i="17"/>
  <c r="AG52" i="17"/>
  <c r="AF52" i="17"/>
  <c r="AE52" i="17"/>
  <c r="F52" i="17"/>
  <c r="T52" i="17" s="1"/>
  <c r="AB50" i="17"/>
  <c r="H50" i="17"/>
  <c r="AP49" i="17"/>
  <c r="AP50" i="17" s="1"/>
  <c r="H49" i="17"/>
  <c r="AP48" i="17"/>
  <c r="AJ48" i="17"/>
  <c r="AI48" i="17"/>
  <c r="AB48" i="17"/>
  <c r="AB49" i="17" s="1"/>
  <c r="I48" i="17"/>
  <c r="I49" i="17" s="1"/>
  <c r="I50" i="17" s="1"/>
  <c r="AJ46" i="17"/>
  <c r="AI46" i="17"/>
  <c r="AB44" i="17"/>
  <c r="H44" i="17"/>
  <c r="AP43" i="17"/>
  <c r="AP44" i="17" s="1"/>
  <c r="H43" i="17"/>
  <c r="AP42" i="17"/>
  <c r="AJ42" i="17"/>
  <c r="AI42" i="17"/>
  <c r="AB42" i="17"/>
  <c r="AB43" i="17" s="1"/>
  <c r="I42" i="17"/>
  <c r="I43" i="17" s="1"/>
  <c r="I44" i="17" s="1"/>
  <c r="AJ40" i="17"/>
  <c r="AI40" i="17"/>
  <c r="AB38" i="17"/>
  <c r="H38" i="17"/>
  <c r="AP37" i="17"/>
  <c r="AP38" i="17" s="1"/>
  <c r="H37" i="17"/>
  <c r="AP36" i="17"/>
  <c r="AJ36" i="17"/>
  <c r="AI36" i="17"/>
  <c r="AB36" i="17"/>
  <c r="AB37" i="17" s="1"/>
  <c r="I36" i="17"/>
  <c r="I37" i="17" s="1"/>
  <c r="I38" i="17" s="1"/>
  <c r="AJ34" i="17"/>
  <c r="AI34" i="17"/>
  <c r="AB32" i="17"/>
  <c r="H32" i="17"/>
  <c r="AP31" i="17"/>
  <c r="AP32" i="17" s="1"/>
  <c r="H31" i="17"/>
  <c r="AP30" i="17"/>
  <c r="AJ30" i="17"/>
  <c r="AI30" i="17"/>
  <c r="AB30" i="17"/>
  <c r="AB31" i="17" s="1"/>
  <c r="I30" i="17"/>
  <c r="I31" i="17" s="1"/>
  <c r="I32" i="17" s="1"/>
  <c r="AJ28" i="17"/>
  <c r="AJ27" i="17" s="1"/>
  <c r="AI28" i="17"/>
  <c r="AI27" i="17" s="1"/>
  <c r="L28" i="17"/>
  <c r="F28" i="17"/>
  <c r="T28" i="17" s="1"/>
  <c r="AH27" i="17"/>
  <c r="AG27" i="17"/>
  <c r="AF27" i="17"/>
  <c r="AE27" i="17"/>
  <c r="T27" i="17"/>
  <c r="F27" i="17"/>
  <c r="AJ24" i="17"/>
  <c r="AI24" i="17"/>
  <c r="AH24" i="17"/>
  <c r="AG24" i="17"/>
  <c r="AF24" i="17"/>
  <c r="AE24" i="17"/>
  <c r="AK11" i="17"/>
  <c r="AJ10" i="17"/>
  <c r="AI10" i="17"/>
  <c r="AH10" i="17"/>
  <c r="AG10" i="17"/>
  <c r="AF10" i="17"/>
  <c r="AE10" i="17"/>
  <c r="AJ9" i="17"/>
  <c r="AI9" i="17"/>
  <c r="AH9" i="17"/>
  <c r="AG9" i="17"/>
  <c r="AF9" i="17"/>
  <c r="AE9" i="17"/>
  <c r="AJ7" i="17"/>
  <c r="AI7" i="17"/>
  <c r="AH7" i="17"/>
  <c r="AG7" i="17"/>
  <c r="AF7" i="17"/>
  <c r="AE7" i="17"/>
  <c r="AJ6" i="17"/>
  <c r="AJ8" i="17" s="1"/>
  <c r="AI6" i="17"/>
  <c r="AH6" i="17"/>
  <c r="AH8" i="17" s="1"/>
  <c r="AG6" i="17"/>
  <c r="AG8" i="17" s="1"/>
  <c r="AF6" i="17"/>
  <c r="AF8" i="17" s="1"/>
  <c r="AE6" i="17"/>
  <c r="AE8" i="17" s="1"/>
  <c r="T69" i="16"/>
  <c r="AB63" i="16"/>
  <c r="AR62" i="16"/>
  <c r="AQ62" i="16"/>
  <c r="AP62" i="16"/>
  <c r="AO62" i="16"/>
  <c r="AN62" i="16"/>
  <c r="AM62" i="16"/>
  <c r="AL62" i="16"/>
  <c r="AK62" i="16"/>
  <c r="AJ62" i="16"/>
  <c r="AI62" i="16"/>
  <c r="AG62" i="16"/>
  <c r="AF62" i="16"/>
  <c r="AB62" i="16"/>
  <c r="BI61" i="16"/>
  <c r="BI62" i="16" s="1"/>
  <c r="BH61" i="16"/>
  <c r="BH62" i="16" s="1"/>
  <c r="BB61" i="16"/>
  <c r="BA61" i="16"/>
  <c r="AZ61" i="16"/>
  <c r="AZ59" i="16" s="1"/>
  <c r="AY61" i="16"/>
  <c r="AX61" i="16"/>
  <c r="AW61" i="16"/>
  <c r="AV61" i="16"/>
  <c r="AV59" i="16" s="1"/>
  <c r="AU61" i="16"/>
  <c r="AT61" i="16"/>
  <c r="AS61" i="16"/>
  <c r="AH61" i="16"/>
  <c r="AE61" i="16"/>
  <c r="AB61" i="16"/>
  <c r="H61" i="16"/>
  <c r="H62" i="16" s="1"/>
  <c r="BF60" i="16"/>
  <c r="BB59" i="16"/>
  <c r="BA59" i="16"/>
  <c r="AY59" i="16"/>
  <c r="AX59" i="16"/>
  <c r="AW59" i="16"/>
  <c r="AU59" i="16"/>
  <c r="AT59" i="16"/>
  <c r="AS59" i="16"/>
  <c r="AR59" i="16"/>
  <c r="AQ59" i="16"/>
  <c r="AP59" i="16"/>
  <c r="AO59" i="16"/>
  <c r="AN59" i="16"/>
  <c r="AM59" i="16"/>
  <c r="AL59" i="16"/>
  <c r="AK59" i="16"/>
  <c r="AJ59" i="16"/>
  <c r="AI59" i="16"/>
  <c r="AH59" i="16"/>
  <c r="AG59" i="16"/>
  <c r="AF59" i="16"/>
  <c r="AE59" i="16"/>
  <c r="BF58" i="16"/>
  <c r="AB57" i="16"/>
  <c r="AR56" i="16"/>
  <c r="AQ56" i="16"/>
  <c r="AP56" i="16"/>
  <c r="AO56" i="16"/>
  <c r="AN56" i="16"/>
  <c r="AM56" i="16"/>
  <c r="AL56" i="16"/>
  <c r="AK56" i="16"/>
  <c r="AJ56" i="16"/>
  <c r="AI56" i="16"/>
  <c r="AG56" i="16"/>
  <c r="AF56" i="16"/>
  <c r="AB56" i="16"/>
  <c r="BI55" i="16"/>
  <c r="BI56" i="16" s="1"/>
  <c r="BH55" i="16"/>
  <c r="BH56" i="16" s="1"/>
  <c r="BB55" i="16"/>
  <c r="BA55" i="16"/>
  <c r="AZ55" i="16"/>
  <c r="AZ53" i="16" s="1"/>
  <c r="AY55" i="16"/>
  <c r="AX55" i="16"/>
  <c r="AW55" i="16"/>
  <c r="AV55" i="16"/>
  <c r="AV53" i="16" s="1"/>
  <c r="AU55" i="16"/>
  <c r="AT55" i="16"/>
  <c r="AS55" i="16"/>
  <c r="AH55" i="16"/>
  <c r="AE55" i="16"/>
  <c r="AB55" i="16"/>
  <c r="H55" i="16"/>
  <c r="H56" i="16" s="1"/>
  <c r="BF54" i="16"/>
  <c r="BB53" i="16"/>
  <c r="BA53" i="16"/>
  <c r="AY53" i="16"/>
  <c r="AX53" i="16"/>
  <c r="AW53" i="16"/>
  <c r="AU53" i="16"/>
  <c r="AT53" i="16"/>
  <c r="AS53" i="16"/>
  <c r="AR53" i="16"/>
  <c r="AQ53" i="16"/>
  <c r="AP53" i="16"/>
  <c r="AO53" i="16"/>
  <c r="AN53" i="16"/>
  <c r="AM53" i="16"/>
  <c r="AL53" i="16"/>
  <c r="AK53" i="16"/>
  <c r="AJ53" i="16"/>
  <c r="AI53" i="16"/>
  <c r="AH53" i="16"/>
  <c r="AG53" i="16"/>
  <c r="AF53" i="16"/>
  <c r="AE53" i="16"/>
  <c r="BF52" i="16"/>
  <c r="BI50" i="16"/>
  <c r="BH50" i="16"/>
  <c r="AR50" i="16"/>
  <c r="AQ50" i="16"/>
  <c r="AP50" i="16"/>
  <c r="AO50" i="16"/>
  <c r="AN50" i="16"/>
  <c r="AM50" i="16"/>
  <c r="AL50" i="16"/>
  <c r="AK50" i="16"/>
  <c r="AJ50" i="16"/>
  <c r="AI50" i="16"/>
  <c r="AG50" i="16"/>
  <c r="AF50" i="16"/>
  <c r="T50" i="16"/>
  <c r="BI49" i="16"/>
  <c r="BI51" i="16" s="1"/>
  <c r="BH49" i="16"/>
  <c r="BH51" i="16" s="1"/>
  <c r="BB49" i="16"/>
  <c r="BB47" i="16" s="1"/>
  <c r="BB46" i="16" s="1"/>
  <c r="BA49" i="16"/>
  <c r="BA47" i="16" s="1"/>
  <c r="BA46" i="16" s="1"/>
  <c r="AZ49" i="16"/>
  <c r="AY49" i="16"/>
  <c r="AX49" i="16"/>
  <c r="AX47" i="16" s="1"/>
  <c r="AX46" i="16" s="1"/>
  <c r="AW49" i="16"/>
  <c r="AW47" i="16" s="1"/>
  <c r="AW46" i="16" s="1"/>
  <c r="AV49" i="16"/>
  <c r="AU49" i="16"/>
  <c r="AT49" i="16"/>
  <c r="AT47" i="16" s="1"/>
  <c r="AT46" i="16" s="1"/>
  <c r="AS49" i="16"/>
  <c r="AS47" i="16" s="1"/>
  <c r="AS46" i="16" s="1"/>
  <c r="AH49" i="16"/>
  <c r="AE49" i="16"/>
  <c r="AB49" i="16"/>
  <c r="AB50" i="16" s="1"/>
  <c r="H49" i="16"/>
  <c r="H50" i="16" s="1"/>
  <c r="BF48" i="16"/>
  <c r="AZ47" i="16"/>
  <c r="AY47" i="16"/>
  <c r="AY46" i="16" s="1"/>
  <c r="AV47" i="16"/>
  <c r="AU47" i="16"/>
  <c r="AU46" i="16" s="1"/>
  <c r="AR47" i="16"/>
  <c r="AQ47" i="16"/>
  <c r="AQ46" i="16" s="1"/>
  <c r="AP47" i="16"/>
  <c r="AO47" i="16"/>
  <c r="AN47" i="16"/>
  <c r="AM47" i="16"/>
  <c r="AM46" i="16" s="1"/>
  <c r="AL47" i="16"/>
  <c r="AK47" i="16"/>
  <c r="AJ47" i="16"/>
  <c r="AI47" i="16"/>
  <c r="AI46" i="16" s="1"/>
  <c r="AH47" i="16"/>
  <c r="AG47" i="16"/>
  <c r="AF47" i="16"/>
  <c r="AF46" i="16" s="1"/>
  <c r="AE47" i="16"/>
  <c r="AE46" i="16" s="1"/>
  <c r="AR46" i="16"/>
  <c r="AP46" i="16"/>
  <c r="AO46" i="16"/>
  <c r="AN46" i="16"/>
  <c r="AL46" i="16"/>
  <c r="AK46" i="16"/>
  <c r="AJ46" i="16"/>
  <c r="AH46" i="16"/>
  <c r="AG46" i="16"/>
  <c r="T46" i="16"/>
  <c r="F46" i="16"/>
  <c r="F47" i="16" s="1"/>
  <c r="F48" i="16" s="1"/>
  <c r="BI43" i="16"/>
  <c r="AR43" i="16"/>
  <c r="AQ43" i="16"/>
  <c r="AP43" i="16"/>
  <c r="AO43" i="16"/>
  <c r="AN43" i="16"/>
  <c r="AM43" i="16"/>
  <c r="AL43" i="16"/>
  <c r="AK43" i="16"/>
  <c r="AJ43" i="16"/>
  <c r="AI43" i="16"/>
  <c r="AG43" i="16"/>
  <c r="AF43" i="16"/>
  <c r="H43" i="16"/>
  <c r="BI42" i="16"/>
  <c r="BI44" i="16" s="1"/>
  <c r="BH42" i="16"/>
  <c r="BH43" i="16" s="1"/>
  <c r="BB42" i="16"/>
  <c r="BA42" i="16"/>
  <c r="AZ42" i="16"/>
  <c r="AY42" i="16"/>
  <c r="AY40" i="16" s="1"/>
  <c r="AX42" i="16"/>
  <c r="AW42" i="16"/>
  <c r="AV42" i="16"/>
  <c r="AU42" i="16"/>
  <c r="AU40" i="16" s="1"/>
  <c r="AT42" i="16"/>
  <c r="AS42" i="16"/>
  <c r="AH42" i="16"/>
  <c r="AE42" i="16"/>
  <c r="AE40" i="16" s="1"/>
  <c r="AB42" i="16"/>
  <c r="AB43" i="16" s="1"/>
  <c r="H42" i="16"/>
  <c r="H44" i="16" s="1"/>
  <c r="BF41" i="16"/>
  <c r="BB40" i="16"/>
  <c r="BA40" i="16"/>
  <c r="AZ40" i="16"/>
  <c r="AX40" i="16"/>
  <c r="AW40" i="16"/>
  <c r="AV40" i="16"/>
  <c r="AT40" i="16"/>
  <c r="AS40" i="16"/>
  <c r="AR40" i="16"/>
  <c r="AQ40" i="16"/>
  <c r="AP40" i="16"/>
  <c r="AO40" i="16"/>
  <c r="AN40" i="16"/>
  <c r="AM40" i="16"/>
  <c r="AL40" i="16"/>
  <c r="AK40" i="16"/>
  <c r="AJ40" i="16"/>
  <c r="AI40" i="16"/>
  <c r="AH40" i="16"/>
  <c r="AG40" i="16"/>
  <c r="AF40" i="16"/>
  <c r="BF39" i="16"/>
  <c r="BI38" i="16"/>
  <c r="H38" i="16"/>
  <c r="BI37" i="16"/>
  <c r="AR37" i="16"/>
  <c r="AQ37" i="16"/>
  <c r="AP37" i="16"/>
  <c r="AO37" i="16"/>
  <c r="AN37" i="16"/>
  <c r="AM37" i="16"/>
  <c r="AL37" i="16"/>
  <c r="AK37" i="16"/>
  <c r="AJ37" i="16"/>
  <c r="AI37" i="16"/>
  <c r="AG37" i="16"/>
  <c r="AF37" i="16"/>
  <c r="H37" i="16"/>
  <c r="BI36" i="16"/>
  <c r="BH36" i="16"/>
  <c r="BH37" i="16" s="1"/>
  <c r="BB36" i="16"/>
  <c r="BA36" i="16"/>
  <c r="AZ36" i="16"/>
  <c r="AY36" i="16"/>
  <c r="AY34" i="16" s="1"/>
  <c r="AY27" i="16" s="1"/>
  <c r="AX36" i="16"/>
  <c r="AW36" i="16"/>
  <c r="AV36" i="16"/>
  <c r="AU36" i="16"/>
  <c r="AU34" i="16" s="1"/>
  <c r="AU27" i="16" s="1"/>
  <c r="AT36" i="16"/>
  <c r="AS36" i="16"/>
  <c r="AH36" i="16"/>
  <c r="AE36" i="16"/>
  <c r="AE34" i="16" s="1"/>
  <c r="AE27" i="16" s="1"/>
  <c r="AB36" i="16"/>
  <c r="AB37" i="16" s="1"/>
  <c r="H36" i="16"/>
  <c r="BF35" i="16"/>
  <c r="BB34" i="16"/>
  <c r="BA34" i="16"/>
  <c r="AZ34" i="16"/>
  <c r="AX34" i="16"/>
  <c r="AW34" i="16"/>
  <c r="AV34" i="16"/>
  <c r="AT34" i="16"/>
  <c r="AS34" i="16"/>
  <c r="AR34" i="16"/>
  <c r="AQ34" i="16"/>
  <c r="AP34" i="16"/>
  <c r="AO34" i="16"/>
  <c r="AN34" i="16"/>
  <c r="AM34" i="16"/>
  <c r="AL34" i="16"/>
  <c r="AK34" i="16"/>
  <c r="AJ34" i="16"/>
  <c r="AI34" i="16"/>
  <c r="AH34" i="16"/>
  <c r="AG34" i="16"/>
  <c r="AF34" i="16"/>
  <c r="BF33" i="16"/>
  <c r="BH31" i="16"/>
  <c r="AR31" i="16"/>
  <c r="AQ31" i="16"/>
  <c r="AP31" i="16"/>
  <c r="AO31" i="16"/>
  <c r="AN31" i="16"/>
  <c r="AM31" i="16"/>
  <c r="AL31" i="16"/>
  <c r="AK31" i="16"/>
  <c r="AJ31" i="16"/>
  <c r="AI31" i="16"/>
  <c r="AG31" i="16"/>
  <c r="AF31" i="16"/>
  <c r="AB31" i="16"/>
  <c r="T31" i="16"/>
  <c r="BI30" i="16"/>
  <c r="BI31" i="16" s="1"/>
  <c r="BH30" i="16"/>
  <c r="BH32" i="16" s="1"/>
  <c r="BB30" i="16"/>
  <c r="BA30" i="16"/>
  <c r="BA28" i="16" s="1"/>
  <c r="BA27" i="16" s="1"/>
  <c r="AZ30" i="16"/>
  <c r="AZ28" i="16" s="1"/>
  <c r="AZ27" i="16" s="1"/>
  <c r="AY30" i="16"/>
  <c r="AX30" i="16"/>
  <c r="AW30" i="16"/>
  <c r="AW28" i="16" s="1"/>
  <c r="AW27" i="16" s="1"/>
  <c r="AV30" i="16"/>
  <c r="AV28" i="16" s="1"/>
  <c r="AV27" i="16" s="1"/>
  <c r="AU30" i="16"/>
  <c r="AT30" i="16"/>
  <c r="AS30" i="16"/>
  <c r="AS28" i="16" s="1"/>
  <c r="AS27" i="16" s="1"/>
  <c r="AH30" i="16"/>
  <c r="AE30" i="16"/>
  <c r="AB30" i="16"/>
  <c r="AB32" i="16" s="1"/>
  <c r="H30" i="16"/>
  <c r="H31" i="16" s="1"/>
  <c r="BF29" i="16"/>
  <c r="BB28" i="16"/>
  <c r="BB27" i="16" s="1"/>
  <c r="AY28" i="16"/>
  <c r="AX28" i="16"/>
  <c r="AX27" i="16" s="1"/>
  <c r="AU28" i="16"/>
  <c r="AT28" i="16"/>
  <c r="AT27" i="16" s="1"/>
  <c r="AR28" i="16"/>
  <c r="AQ28" i="16"/>
  <c r="AP28" i="16"/>
  <c r="AP27" i="16" s="1"/>
  <c r="AO28" i="16"/>
  <c r="AN28" i="16"/>
  <c r="AM28" i="16"/>
  <c r="AL28" i="16"/>
  <c r="AL27" i="16" s="1"/>
  <c r="AK28" i="16"/>
  <c r="AJ28" i="16"/>
  <c r="AI28" i="16"/>
  <c r="AH28" i="16"/>
  <c r="AH27" i="16" s="1"/>
  <c r="AG28" i="16"/>
  <c r="AF28" i="16"/>
  <c r="AE28" i="16"/>
  <c r="AR27" i="16"/>
  <c r="AQ27" i="16"/>
  <c r="AO27" i="16"/>
  <c r="AN27" i="16"/>
  <c r="AM27" i="16"/>
  <c r="AK27" i="16"/>
  <c r="AJ27" i="16"/>
  <c r="AI27" i="16"/>
  <c r="AG27" i="16"/>
  <c r="AF27" i="16"/>
  <c r="T27" i="16"/>
  <c r="F27" i="16"/>
  <c r="BB24" i="16"/>
  <c r="BA24" i="16"/>
  <c r="AZ24" i="16"/>
  <c r="AY24" i="16"/>
  <c r="AX24" i="16"/>
  <c r="AW24" i="16"/>
  <c r="AV24" i="16"/>
  <c r="AU24" i="16"/>
  <c r="AT24" i="16"/>
  <c r="AS24" i="16"/>
  <c r="AR24" i="16"/>
  <c r="AQ24" i="16"/>
  <c r="AP24" i="16"/>
  <c r="AO24" i="16"/>
  <c r="AN24" i="16"/>
  <c r="AM24" i="16"/>
  <c r="AL24" i="16"/>
  <c r="AK24" i="16"/>
  <c r="AJ24" i="16"/>
  <c r="AI24" i="16"/>
  <c r="AH24" i="16"/>
  <c r="AG24" i="16"/>
  <c r="AF24" i="16"/>
  <c r="AE24" i="16"/>
  <c r="BC11" i="16"/>
  <c r="BB10" i="16"/>
  <c r="BA10" i="16"/>
  <c r="AZ10" i="16"/>
  <c r="AY10" i="16"/>
  <c r="AX10" i="16"/>
  <c r="AW10" i="16"/>
  <c r="AV10" i="16"/>
  <c r="AU10" i="16"/>
  <c r="AT10" i="16"/>
  <c r="AS10" i="16"/>
  <c r="AR10" i="16"/>
  <c r="AQ10" i="16"/>
  <c r="AP10" i="16"/>
  <c r="AO10" i="16"/>
  <c r="AN10" i="16"/>
  <c r="AM10" i="16"/>
  <c r="AL10" i="16"/>
  <c r="AK10" i="16"/>
  <c r="AJ10" i="16"/>
  <c r="AI10" i="16"/>
  <c r="AH10" i="16"/>
  <c r="AG10" i="16"/>
  <c r="AF10" i="16"/>
  <c r="AE10" i="16"/>
  <c r="BB9" i="16"/>
  <c r="BA9" i="16"/>
  <c r="AZ9" i="16"/>
  <c r="AY9" i="16"/>
  <c r="AX9" i="16"/>
  <c r="AW9" i="16"/>
  <c r="AV9" i="16"/>
  <c r="AU9" i="16"/>
  <c r="AT9" i="16"/>
  <c r="AS9" i="16"/>
  <c r="AR9" i="16"/>
  <c r="AQ9" i="16"/>
  <c r="AP9" i="16"/>
  <c r="AO9" i="16"/>
  <c r="AN9" i="16"/>
  <c r="AM9" i="16"/>
  <c r="AL9" i="16"/>
  <c r="AK9" i="16"/>
  <c r="AJ9" i="16"/>
  <c r="AI9" i="16"/>
  <c r="AH9" i="16"/>
  <c r="AG9" i="16"/>
  <c r="AF9" i="16"/>
  <c r="AE9" i="16"/>
  <c r="BB7" i="16"/>
  <c r="BA7" i="16"/>
  <c r="AZ7" i="16"/>
  <c r="AY7" i="16"/>
  <c r="AX7" i="16"/>
  <c r="AW7" i="16"/>
  <c r="AV7" i="16"/>
  <c r="AU7" i="16"/>
  <c r="AT7" i="16"/>
  <c r="AS7" i="16"/>
  <c r="AR7" i="16"/>
  <c r="AQ7" i="16"/>
  <c r="AP7" i="16"/>
  <c r="AO7" i="16"/>
  <c r="AN7" i="16"/>
  <c r="AM7" i="16"/>
  <c r="AL7" i="16"/>
  <c r="AK7" i="16"/>
  <c r="AJ7" i="16"/>
  <c r="AI7" i="16"/>
  <c r="AH7" i="16"/>
  <c r="AG7" i="16"/>
  <c r="AF7" i="16"/>
  <c r="AE7" i="16"/>
  <c r="BB6" i="16"/>
  <c r="BA6" i="16"/>
  <c r="AZ6" i="16"/>
  <c r="AY6" i="16"/>
  <c r="AX6" i="16"/>
  <c r="AW6" i="16"/>
  <c r="AV6" i="16"/>
  <c r="AU6" i="16"/>
  <c r="AT6" i="16"/>
  <c r="AS6" i="16"/>
  <c r="AR6" i="16"/>
  <c r="AQ6" i="16"/>
  <c r="AP6" i="16"/>
  <c r="AO6" i="16"/>
  <c r="AN6" i="16"/>
  <c r="AM6" i="16"/>
  <c r="AL6" i="16"/>
  <c r="AK6" i="16"/>
  <c r="AJ6" i="16"/>
  <c r="AI6" i="16"/>
  <c r="AH6" i="16"/>
  <c r="AG6" i="16"/>
  <c r="AF6" i="16"/>
  <c r="AE6" i="16"/>
  <c r="T55" i="15"/>
  <c r="BB48" i="15"/>
  <c r="BA48" i="15"/>
  <c r="AZ48" i="15"/>
  <c r="AY48" i="15"/>
  <c r="AX48" i="15"/>
  <c r="AW48" i="15"/>
  <c r="AV48" i="15"/>
  <c r="AU48" i="15"/>
  <c r="AT48" i="15"/>
  <c r="AS48" i="15"/>
  <c r="AR48" i="15"/>
  <c r="AQ48" i="15"/>
  <c r="AP48" i="15"/>
  <c r="AO48" i="15"/>
  <c r="AN48" i="15"/>
  <c r="AM48" i="15"/>
  <c r="AL48" i="15"/>
  <c r="AK48" i="15"/>
  <c r="AJ48" i="15"/>
  <c r="AI48" i="15"/>
  <c r="AH48" i="15"/>
  <c r="AG48" i="15"/>
  <c r="AF48" i="15"/>
  <c r="AE48" i="15"/>
  <c r="L46" i="15"/>
  <c r="BB45" i="15"/>
  <c r="BA45" i="15"/>
  <c r="AZ45" i="15"/>
  <c r="AY45" i="15"/>
  <c r="AX45" i="15"/>
  <c r="AW45" i="15"/>
  <c r="AV45" i="15"/>
  <c r="AU45" i="15"/>
  <c r="AT45" i="15"/>
  <c r="AS45" i="15"/>
  <c r="AR45" i="15"/>
  <c r="AQ45" i="15"/>
  <c r="AP45" i="15"/>
  <c r="AO45" i="15"/>
  <c r="AN45" i="15"/>
  <c r="AM45" i="15"/>
  <c r="AL45" i="15"/>
  <c r="AK45" i="15"/>
  <c r="AJ45" i="15"/>
  <c r="AI45" i="15"/>
  <c r="AH45" i="15"/>
  <c r="AG45" i="15"/>
  <c r="AF45" i="15"/>
  <c r="AE45" i="15"/>
  <c r="L44" i="15"/>
  <c r="BB41" i="15"/>
  <c r="BA41" i="15"/>
  <c r="AZ41" i="15"/>
  <c r="AZ40" i="15" s="1"/>
  <c r="AY41" i="15"/>
  <c r="AY40" i="15" s="1"/>
  <c r="AX41" i="15"/>
  <c r="AW41" i="15"/>
  <c r="AV41" i="15"/>
  <c r="AV40" i="15" s="1"/>
  <c r="AU41" i="15"/>
  <c r="AU40" i="15" s="1"/>
  <c r="AT41" i="15"/>
  <c r="AS41" i="15"/>
  <c r="AR41" i="15"/>
  <c r="AR40" i="15" s="1"/>
  <c r="AQ41" i="15"/>
  <c r="AQ40" i="15" s="1"/>
  <c r="AP41" i="15"/>
  <c r="AO41" i="15"/>
  <c r="AN41" i="15"/>
  <c r="AN40" i="15" s="1"/>
  <c r="AM41" i="15"/>
  <c r="AM40" i="15" s="1"/>
  <c r="AL41" i="15"/>
  <c r="AK41" i="15"/>
  <c r="AJ41" i="15"/>
  <c r="AJ40" i="15" s="1"/>
  <c r="AI41" i="15"/>
  <c r="AI40" i="15" s="1"/>
  <c r="AH41" i="15"/>
  <c r="AG41" i="15"/>
  <c r="AF41" i="15"/>
  <c r="AF40" i="15" s="1"/>
  <c r="AE41" i="15"/>
  <c r="AE40" i="15" s="1"/>
  <c r="BB40" i="15"/>
  <c r="BA40" i="15"/>
  <c r="AX40" i="15"/>
  <c r="AW40" i="15"/>
  <c r="AT40" i="15"/>
  <c r="AS40" i="15"/>
  <c r="AP40" i="15"/>
  <c r="AO40" i="15"/>
  <c r="AL40" i="15"/>
  <c r="AK40" i="15"/>
  <c r="AH40" i="15"/>
  <c r="AG40" i="15"/>
  <c r="T39" i="15"/>
  <c r="T40" i="15" s="1"/>
  <c r="T41" i="15" s="1"/>
  <c r="T42" i="15" s="1"/>
  <c r="T43" i="15" s="1"/>
  <c r="T44" i="15" s="1"/>
  <c r="T45" i="15" s="1"/>
  <c r="T46" i="15" s="1"/>
  <c r="T47" i="15" s="1"/>
  <c r="T48" i="15" s="1"/>
  <c r="T49" i="15" s="1"/>
  <c r="T50" i="15" s="1"/>
  <c r="F39" i="15"/>
  <c r="F40" i="15" s="1"/>
  <c r="F41" i="15" s="1"/>
  <c r="F42" i="15" s="1"/>
  <c r="F43" i="15" s="1"/>
  <c r="F44" i="15" s="1"/>
  <c r="BB36" i="15"/>
  <c r="BA36" i="15"/>
  <c r="AZ36" i="15"/>
  <c r="AY36" i="15"/>
  <c r="AX36" i="15"/>
  <c r="AW36" i="15"/>
  <c r="AV36" i="15"/>
  <c r="AU36" i="15"/>
  <c r="AT36" i="15"/>
  <c r="AS36" i="15"/>
  <c r="AR36" i="15"/>
  <c r="AQ36" i="15"/>
  <c r="AP36" i="15"/>
  <c r="AO36" i="15"/>
  <c r="AN36" i="15"/>
  <c r="AM36" i="15"/>
  <c r="AL36" i="15"/>
  <c r="AK36" i="15"/>
  <c r="AJ36" i="15"/>
  <c r="AI36" i="15"/>
  <c r="AH36" i="15"/>
  <c r="AG36" i="15"/>
  <c r="AF36" i="15"/>
  <c r="AE36" i="15"/>
  <c r="L34" i="15"/>
  <c r="BB33" i="15"/>
  <c r="BA33" i="15"/>
  <c r="AZ33" i="15"/>
  <c r="AY33" i="15"/>
  <c r="AX33" i="15"/>
  <c r="AW33" i="15"/>
  <c r="AV33" i="15"/>
  <c r="AU33" i="15"/>
  <c r="AT33" i="15"/>
  <c r="AS33" i="15"/>
  <c r="AR33" i="15"/>
  <c r="AQ33" i="15"/>
  <c r="AP33" i="15"/>
  <c r="AO33" i="15"/>
  <c r="AN33" i="15"/>
  <c r="AM33" i="15"/>
  <c r="AL33" i="15"/>
  <c r="AK33" i="15"/>
  <c r="AJ33" i="15"/>
  <c r="AI33" i="15"/>
  <c r="AH33" i="15"/>
  <c r="AG33" i="15"/>
  <c r="AF33" i="15"/>
  <c r="AE33" i="15"/>
  <c r="L32" i="15"/>
  <c r="BB29" i="15"/>
  <c r="BB28" i="15" s="1"/>
  <c r="BA29" i="15"/>
  <c r="BA28" i="15" s="1"/>
  <c r="AZ29" i="15"/>
  <c r="AY29" i="15"/>
  <c r="AX29" i="15"/>
  <c r="AX28" i="15" s="1"/>
  <c r="AW29" i="15"/>
  <c r="AW28" i="15" s="1"/>
  <c r="AV29" i="15"/>
  <c r="AU29" i="15"/>
  <c r="AT29" i="15"/>
  <c r="AT28" i="15" s="1"/>
  <c r="AS29" i="15"/>
  <c r="AS28" i="15" s="1"/>
  <c r="AR29" i="15"/>
  <c r="AQ29" i="15"/>
  <c r="AP29" i="15"/>
  <c r="AP28" i="15" s="1"/>
  <c r="AO29" i="15"/>
  <c r="AO28" i="15" s="1"/>
  <c r="AN29" i="15"/>
  <c r="AM29" i="15"/>
  <c r="AL29" i="15"/>
  <c r="AL28" i="15" s="1"/>
  <c r="AK29" i="15"/>
  <c r="AK28" i="15" s="1"/>
  <c r="AJ29" i="15"/>
  <c r="AI29" i="15"/>
  <c r="AH29" i="15"/>
  <c r="AH28" i="15" s="1"/>
  <c r="AG29" i="15"/>
  <c r="AG28" i="15" s="1"/>
  <c r="AF29" i="15"/>
  <c r="AE29" i="15"/>
  <c r="AZ28" i="15"/>
  <c r="AY28" i="15"/>
  <c r="AV28" i="15"/>
  <c r="AU28" i="15"/>
  <c r="AR28" i="15"/>
  <c r="AQ28" i="15"/>
  <c r="AN28" i="15"/>
  <c r="AM28" i="15"/>
  <c r="AJ28" i="15"/>
  <c r="AI28" i="15"/>
  <c r="AF28" i="15"/>
  <c r="AE28" i="15"/>
  <c r="T27" i="15"/>
  <c r="T28" i="15" s="1"/>
  <c r="T29" i="15" s="1"/>
  <c r="T30" i="15" s="1"/>
  <c r="T31" i="15" s="1"/>
  <c r="T32" i="15" s="1"/>
  <c r="T33" i="15" s="1"/>
  <c r="T34" i="15" s="1"/>
  <c r="T35" i="15" s="1"/>
  <c r="T36" i="15" s="1"/>
  <c r="T37" i="15" s="1"/>
  <c r="T38" i="15" s="1"/>
  <c r="F27" i="15"/>
  <c r="F28" i="15" s="1"/>
  <c r="F29" i="15" s="1"/>
  <c r="F30" i="15" s="1"/>
  <c r="F31" i="15" s="1"/>
  <c r="F32" i="15" s="1"/>
  <c r="BB24" i="15"/>
  <c r="BA24" i="15"/>
  <c r="AZ24" i="15"/>
  <c r="AY24" i="15"/>
  <c r="AX24" i="15"/>
  <c r="AW24" i="15"/>
  <c r="AV24" i="15"/>
  <c r="AU24" i="15"/>
  <c r="AT24" i="15"/>
  <c r="AS24" i="15"/>
  <c r="AR24" i="15"/>
  <c r="AQ24" i="15"/>
  <c r="AP24" i="15"/>
  <c r="AO24" i="15"/>
  <c r="AN24" i="15"/>
  <c r="AM24" i="15"/>
  <c r="AL24" i="15"/>
  <c r="AK24" i="15"/>
  <c r="AJ24" i="15"/>
  <c r="AI24" i="15"/>
  <c r="AH24" i="15"/>
  <c r="AG24" i="15"/>
  <c r="AF24" i="15"/>
  <c r="AE24" i="15"/>
  <c r="BC11" i="15"/>
  <c r="BB10" i="15"/>
  <c r="BA10" i="15"/>
  <c r="AZ10" i="15"/>
  <c r="AY10" i="15"/>
  <c r="AX10" i="15"/>
  <c r="AW10" i="15"/>
  <c r="AV10" i="15"/>
  <c r="AU10" i="15"/>
  <c r="AT10" i="15"/>
  <c r="AS10" i="15"/>
  <c r="AR10" i="15"/>
  <c r="AQ10" i="15"/>
  <c r="AP10" i="15"/>
  <c r="AO10" i="15"/>
  <c r="AN10" i="15"/>
  <c r="AM10" i="15"/>
  <c r="AL10" i="15"/>
  <c r="AK10" i="15"/>
  <c r="AJ10" i="15"/>
  <c r="AI10" i="15"/>
  <c r="AH10" i="15"/>
  <c r="AG10" i="15"/>
  <c r="AF10" i="15"/>
  <c r="AE10" i="15"/>
  <c r="BB9" i="15"/>
  <c r="BA9" i="15"/>
  <c r="AZ9" i="15"/>
  <c r="AY9" i="15"/>
  <c r="AX9" i="15"/>
  <c r="AW9" i="15"/>
  <c r="AV9" i="15"/>
  <c r="AU9" i="15"/>
  <c r="AT9" i="15"/>
  <c r="AS9" i="15"/>
  <c r="AR9" i="15"/>
  <c r="AQ9" i="15"/>
  <c r="AP9" i="15"/>
  <c r="AO9" i="15"/>
  <c r="AN9" i="15"/>
  <c r="AM9" i="15"/>
  <c r="AL9" i="15"/>
  <c r="AK9" i="15"/>
  <c r="AJ9" i="15"/>
  <c r="AI9" i="15"/>
  <c r="AH9" i="15"/>
  <c r="AG9" i="15"/>
  <c r="AF9" i="15"/>
  <c r="AE9" i="15"/>
  <c r="BB7" i="15"/>
  <c r="BA7" i="15"/>
  <c r="AZ7" i="15"/>
  <c r="AY7" i="15"/>
  <c r="AX7" i="15"/>
  <c r="AW7" i="15"/>
  <c r="AV7" i="15"/>
  <c r="AU7" i="15"/>
  <c r="AT7" i="15"/>
  <c r="AS7" i="15"/>
  <c r="AR7" i="15"/>
  <c r="AQ7" i="15"/>
  <c r="AP7" i="15"/>
  <c r="AO7" i="15"/>
  <c r="AN7" i="15"/>
  <c r="AM7" i="15"/>
  <c r="AL7" i="15"/>
  <c r="AK7" i="15"/>
  <c r="AJ7" i="15"/>
  <c r="AI7" i="15"/>
  <c r="AH7" i="15"/>
  <c r="AG7" i="15"/>
  <c r="AF7" i="15"/>
  <c r="AE7" i="15"/>
  <c r="BB6" i="15"/>
  <c r="BA6" i="15"/>
  <c r="AZ6" i="15"/>
  <c r="AY6" i="15"/>
  <c r="AX6" i="15"/>
  <c r="AW6" i="15"/>
  <c r="AV6" i="15"/>
  <c r="AU6" i="15"/>
  <c r="AT6" i="15"/>
  <c r="AS6" i="15"/>
  <c r="AR6" i="15"/>
  <c r="AQ6" i="15"/>
  <c r="AP6" i="15"/>
  <c r="AO6" i="15"/>
  <c r="AN6" i="15"/>
  <c r="AM6" i="15"/>
  <c r="AL6" i="15"/>
  <c r="AK6" i="15"/>
  <c r="AJ6" i="15"/>
  <c r="AI6" i="15"/>
  <c r="AH6" i="15"/>
  <c r="AG6" i="15"/>
  <c r="AF6" i="15"/>
  <c r="AE6" i="15"/>
  <c r="T229" i="14"/>
  <c r="AB224" i="14"/>
  <c r="AB223" i="14"/>
  <c r="AB222" i="14"/>
  <c r="AB221" i="14"/>
  <c r="BB215" i="14"/>
  <c r="BA215" i="14"/>
  <c r="AZ215" i="14"/>
  <c r="AY215" i="14"/>
  <c r="AX215" i="14"/>
  <c r="AW215" i="14"/>
  <c r="AV215" i="14"/>
  <c r="AU215" i="14"/>
  <c r="AT215" i="14"/>
  <c r="AS215" i="14"/>
  <c r="AR215" i="14"/>
  <c r="AQ215" i="14"/>
  <c r="AP215" i="14"/>
  <c r="AO215" i="14"/>
  <c r="AN215" i="14"/>
  <c r="AM215" i="14"/>
  <c r="AL215" i="14"/>
  <c r="AK215" i="14"/>
  <c r="AJ215" i="14"/>
  <c r="AI215" i="14"/>
  <c r="AH215" i="14"/>
  <c r="AG215" i="14"/>
  <c r="AF215" i="14"/>
  <c r="AE215" i="14"/>
  <c r="AB215" i="14"/>
  <c r="AB220" i="14" s="1"/>
  <c r="AB214" i="14"/>
  <c r="AB213" i="14"/>
  <c r="AB212" i="14"/>
  <c r="BB211" i="14"/>
  <c r="BA211" i="14"/>
  <c r="AZ211" i="14"/>
  <c r="AY211" i="14"/>
  <c r="AX211" i="14"/>
  <c r="AW211" i="14"/>
  <c r="AV211" i="14"/>
  <c r="AU211" i="14"/>
  <c r="AT211" i="14"/>
  <c r="AS211" i="14"/>
  <c r="AR211" i="14"/>
  <c r="AQ211" i="14"/>
  <c r="AP211" i="14"/>
  <c r="AO211" i="14"/>
  <c r="AN211" i="14"/>
  <c r="AM211" i="14"/>
  <c r="AL211" i="14"/>
  <c r="AK211" i="14"/>
  <c r="AJ211" i="14"/>
  <c r="AI211" i="14"/>
  <c r="AH211" i="14"/>
  <c r="AG211" i="14"/>
  <c r="AF211" i="14"/>
  <c r="AE211" i="14"/>
  <c r="L211" i="14"/>
  <c r="AB210" i="14"/>
  <c r="AB209" i="14"/>
  <c r="AB208" i="14"/>
  <c r="AB207" i="14"/>
  <c r="AB201" i="14"/>
  <c r="AB203" i="14" s="1"/>
  <c r="AB200" i="14"/>
  <c r="AB199" i="14"/>
  <c r="AB198" i="14"/>
  <c r="BB196" i="14"/>
  <c r="BB210" i="14" s="1"/>
  <c r="BA196" i="14"/>
  <c r="BA210" i="14" s="1"/>
  <c r="AZ196" i="14"/>
  <c r="AZ210" i="14" s="1"/>
  <c r="AY196" i="14"/>
  <c r="AY210" i="14" s="1"/>
  <c r="AX196" i="14"/>
  <c r="AX210" i="14" s="1"/>
  <c r="AW196" i="14"/>
  <c r="AW210" i="14" s="1"/>
  <c r="AV196" i="14"/>
  <c r="AV210" i="14" s="1"/>
  <c r="AU196" i="14"/>
  <c r="AU210" i="14" s="1"/>
  <c r="AT196" i="14"/>
  <c r="AT210" i="14" s="1"/>
  <c r="AS196" i="14"/>
  <c r="AS210" i="14" s="1"/>
  <c r="AR196" i="14"/>
  <c r="AR210" i="14" s="1"/>
  <c r="AQ196" i="14"/>
  <c r="AQ210" i="14" s="1"/>
  <c r="AP196" i="14"/>
  <c r="AP210" i="14" s="1"/>
  <c r="AO196" i="14"/>
  <c r="AO210" i="14" s="1"/>
  <c r="AN196" i="14"/>
  <c r="AN210" i="14" s="1"/>
  <c r="AM196" i="14"/>
  <c r="AM210" i="14" s="1"/>
  <c r="AL196" i="14"/>
  <c r="AL210" i="14" s="1"/>
  <c r="AK196" i="14"/>
  <c r="AK210" i="14" s="1"/>
  <c r="AJ196" i="14"/>
  <c r="AJ210" i="14" s="1"/>
  <c r="AI196" i="14"/>
  <c r="AI210" i="14" s="1"/>
  <c r="AH196" i="14"/>
  <c r="AH210" i="14" s="1"/>
  <c r="AG196" i="14"/>
  <c r="AG210" i="14" s="1"/>
  <c r="AF196" i="14"/>
  <c r="AF210" i="14" s="1"/>
  <c r="AE196" i="14"/>
  <c r="AE210" i="14" s="1"/>
  <c r="AB196" i="14"/>
  <c r="BB195" i="14"/>
  <c r="BB209" i="14" s="1"/>
  <c r="BA195" i="14"/>
  <c r="BA209" i="14" s="1"/>
  <c r="AZ195" i="14"/>
  <c r="AZ209" i="14" s="1"/>
  <c r="AY195" i="14"/>
  <c r="AY209" i="14" s="1"/>
  <c r="AX195" i="14"/>
  <c r="AX209" i="14" s="1"/>
  <c r="AW195" i="14"/>
  <c r="AW209" i="14" s="1"/>
  <c r="AV195" i="14"/>
  <c r="AV209" i="14" s="1"/>
  <c r="AU195" i="14"/>
  <c r="AU209" i="14" s="1"/>
  <c r="AT195" i="14"/>
  <c r="AT209" i="14" s="1"/>
  <c r="AS195" i="14"/>
  <c r="AS209" i="14" s="1"/>
  <c r="AR195" i="14"/>
  <c r="AR209" i="14" s="1"/>
  <c r="AQ195" i="14"/>
  <c r="AQ209" i="14" s="1"/>
  <c r="AP195" i="14"/>
  <c r="AP209" i="14" s="1"/>
  <c r="AO195" i="14"/>
  <c r="AO209" i="14" s="1"/>
  <c r="AN195" i="14"/>
  <c r="AN209" i="14" s="1"/>
  <c r="AM195" i="14"/>
  <c r="AM209" i="14" s="1"/>
  <c r="AL195" i="14"/>
  <c r="AL209" i="14" s="1"/>
  <c r="AK195" i="14"/>
  <c r="AK209" i="14" s="1"/>
  <c r="AJ195" i="14"/>
  <c r="AJ209" i="14" s="1"/>
  <c r="AI195" i="14"/>
  <c r="AI209" i="14" s="1"/>
  <c r="AH195" i="14"/>
  <c r="AH209" i="14" s="1"/>
  <c r="AG195" i="14"/>
  <c r="AG209" i="14" s="1"/>
  <c r="AF195" i="14"/>
  <c r="AF209" i="14" s="1"/>
  <c r="AE195" i="14"/>
  <c r="AE209" i="14" s="1"/>
  <c r="AB195" i="14"/>
  <c r="BB194" i="14"/>
  <c r="BB208" i="14" s="1"/>
  <c r="BA194" i="14"/>
  <c r="BA208" i="14" s="1"/>
  <c r="AZ194" i="14"/>
  <c r="AZ208" i="14" s="1"/>
  <c r="AY194" i="14"/>
  <c r="AY208" i="14" s="1"/>
  <c r="AX194" i="14"/>
  <c r="AX208" i="14" s="1"/>
  <c r="AW194" i="14"/>
  <c r="AW208" i="14" s="1"/>
  <c r="AV194" i="14"/>
  <c r="AV208" i="14" s="1"/>
  <c r="AU194" i="14"/>
  <c r="AU208" i="14" s="1"/>
  <c r="AT194" i="14"/>
  <c r="AT208" i="14" s="1"/>
  <c r="AS194" i="14"/>
  <c r="AS208" i="14" s="1"/>
  <c r="AR194" i="14"/>
  <c r="AR208" i="14" s="1"/>
  <c r="AQ194" i="14"/>
  <c r="AQ208" i="14" s="1"/>
  <c r="AP194" i="14"/>
  <c r="AP208" i="14" s="1"/>
  <c r="AO194" i="14"/>
  <c r="AO208" i="14" s="1"/>
  <c r="AN194" i="14"/>
  <c r="AN208" i="14" s="1"/>
  <c r="AM194" i="14"/>
  <c r="AM208" i="14" s="1"/>
  <c r="AL194" i="14"/>
  <c r="AL208" i="14" s="1"/>
  <c r="AK194" i="14"/>
  <c r="AK208" i="14" s="1"/>
  <c r="AJ194" i="14"/>
  <c r="AJ208" i="14" s="1"/>
  <c r="AI194" i="14"/>
  <c r="AI208" i="14" s="1"/>
  <c r="AH194" i="14"/>
  <c r="AH208" i="14" s="1"/>
  <c r="AG194" i="14"/>
  <c r="AG208" i="14" s="1"/>
  <c r="AF194" i="14"/>
  <c r="AF208" i="14" s="1"/>
  <c r="AE194" i="14"/>
  <c r="AE208" i="14" s="1"/>
  <c r="AB194" i="14"/>
  <c r="BB193" i="14"/>
  <c r="BB207" i="14" s="1"/>
  <c r="BA193" i="14"/>
  <c r="BA207" i="14" s="1"/>
  <c r="AZ193" i="14"/>
  <c r="AZ207" i="14" s="1"/>
  <c r="AY193" i="14"/>
  <c r="AY207" i="14" s="1"/>
  <c r="AX193" i="14"/>
  <c r="AX207" i="14" s="1"/>
  <c r="AW193" i="14"/>
  <c r="AW207" i="14" s="1"/>
  <c r="AV193" i="14"/>
  <c r="AV207" i="14" s="1"/>
  <c r="AU193" i="14"/>
  <c r="AU207" i="14" s="1"/>
  <c r="AT193" i="14"/>
  <c r="AT207" i="14" s="1"/>
  <c r="AS193" i="14"/>
  <c r="AS207" i="14" s="1"/>
  <c r="AR193" i="14"/>
  <c r="AR207" i="14" s="1"/>
  <c r="AQ193" i="14"/>
  <c r="AQ207" i="14" s="1"/>
  <c r="AP193" i="14"/>
  <c r="AP207" i="14" s="1"/>
  <c r="AO193" i="14"/>
  <c r="AO207" i="14" s="1"/>
  <c r="AN193" i="14"/>
  <c r="AN207" i="14" s="1"/>
  <c r="AM193" i="14"/>
  <c r="AM207" i="14" s="1"/>
  <c r="AL193" i="14"/>
  <c r="AL207" i="14" s="1"/>
  <c r="AK193" i="14"/>
  <c r="AK207" i="14" s="1"/>
  <c r="AJ193" i="14"/>
  <c r="AJ207" i="14" s="1"/>
  <c r="AI193" i="14"/>
  <c r="AI207" i="14" s="1"/>
  <c r="AH193" i="14"/>
  <c r="AH207" i="14" s="1"/>
  <c r="AG193" i="14"/>
  <c r="AG207" i="14" s="1"/>
  <c r="AF193" i="14"/>
  <c r="AF207" i="14" s="1"/>
  <c r="AE193" i="14"/>
  <c r="AE207" i="14" s="1"/>
  <c r="AB193" i="14"/>
  <c r="BB192" i="14"/>
  <c r="BB206" i="14" s="1"/>
  <c r="BA192" i="14"/>
  <c r="BA206" i="14" s="1"/>
  <c r="AZ192" i="14"/>
  <c r="AZ206" i="14" s="1"/>
  <c r="AY192" i="14"/>
  <c r="AY206" i="14" s="1"/>
  <c r="AX192" i="14"/>
  <c r="AX206" i="14" s="1"/>
  <c r="AW192" i="14"/>
  <c r="AW206" i="14" s="1"/>
  <c r="AV192" i="14"/>
  <c r="AV206" i="14" s="1"/>
  <c r="AU192" i="14"/>
  <c r="AU206" i="14" s="1"/>
  <c r="AT192" i="14"/>
  <c r="AT206" i="14" s="1"/>
  <c r="AS192" i="14"/>
  <c r="AS206" i="14" s="1"/>
  <c r="AR192" i="14"/>
  <c r="AR206" i="14" s="1"/>
  <c r="AQ192" i="14"/>
  <c r="AQ206" i="14" s="1"/>
  <c r="AP192" i="14"/>
  <c r="AP206" i="14" s="1"/>
  <c r="AO192" i="14"/>
  <c r="AO206" i="14" s="1"/>
  <c r="AN192" i="14"/>
  <c r="AN206" i="14" s="1"/>
  <c r="AM192" i="14"/>
  <c r="AM206" i="14" s="1"/>
  <c r="AL192" i="14"/>
  <c r="AL206" i="14" s="1"/>
  <c r="AK192" i="14"/>
  <c r="AK206" i="14" s="1"/>
  <c r="AJ192" i="14"/>
  <c r="AJ206" i="14" s="1"/>
  <c r="AI192" i="14"/>
  <c r="AI206" i="14" s="1"/>
  <c r="AH192" i="14"/>
  <c r="AH206" i="14" s="1"/>
  <c r="AG192" i="14"/>
  <c r="AG206" i="14" s="1"/>
  <c r="AF192" i="14"/>
  <c r="AF206" i="14" s="1"/>
  <c r="AE192" i="14"/>
  <c r="AE206" i="14" s="1"/>
  <c r="BB191" i="14"/>
  <c r="BB205" i="14" s="1"/>
  <c r="BA191" i="14"/>
  <c r="BA205" i="14" s="1"/>
  <c r="AZ191" i="14"/>
  <c r="AZ205" i="14" s="1"/>
  <c r="AY191" i="14"/>
  <c r="AY205" i="14" s="1"/>
  <c r="AX191" i="14"/>
  <c r="AX205" i="14" s="1"/>
  <c r="AW191" i="14"/>
  <c r="AW205" i="14" s="1"/>
  <c r="AV191" i="14"/>
  <c r="AV205" i="14" s="1"/>
  <c r="AU191" i="14"/>
  <c r="AU205" i="14" s="1"/>
  <c r="AT191" i="14"/>
  <c r="AT205" i="14" s="1"/>
  <c r="AS191" i="14"/>
  <c r="AS205" i="14" s="1"/>
  <c r="AR191" i="14"/>
  <c r="AR205" i="14" s="1"/>
  <c r="AQ191" i="14"/>
  <c r="AQ205" i="14" s="1"/>
  <c r="AP191" i="14"/>
  <c r="AP205" i="14" s="1"/>
  <c r="AO191" i="14"/>
  <c r="AO205" i="14" s="1"/>
  <c r="AN191" i="14"/>
  <c r="AN205" i="14" s="1"/>
  <c r="AM191" i="14"/>
  <c r="AM205" i="14" s="1"/>
  <c r="AL191" i="14"/>
  <c r="AL205" i="14" s="1"/>
  <c r="AK191" i="14"/>
  <c r="AK205" i="14" s="1"/>
  <c r="AJ191" i="14"/>
  <c r="AJ205" i="14" s="1"/>
  <c r="AI191" i="14"/>
  <c r="AI205" i="14" s="1"/>
  <c r="AH191" i="14"/>
  <c r="AH205" i="14" s="1"/>
  <c r="AG191" i="14"/>
  <c r="AG205" i="14" s="1"/>
  <c r="AF191" i="14"/>
  <c r="AF205" i="14" s="1"/>
  <c r="AE191" i="14"/>
  <c r="AE205" i="14" s="1"/>
  <c r="BB190" i="14"/>
  <c r="BB204" i="14" s="1"/>
  <c r="BA190" i="14"/>
  <c r="BA204" i="14" s="1"/>
  <c r="AZ190" i="14"/>
  <c r="AZ204" i="14" s="1"/>
  <c r="AY190" i="14"/>
  <c r="AY204" i="14" s="1"/>
  <c r="AX190" i="14"/>
  <c r="AX204" i="14" s="1"/>
  <c r="AW190" i="14"/>
  <c r="AW204" i="14" s="1"/>
  <c r="AV190" i="14"/>
  <c r="AV204" i="14" s="1"/>
  <c r="AU190" i="14"/>
  <c r="AU204" i="14" s="1"/>
  <c r="AT190" i="14"/>
  <c r="AT204" i="14" s="1"/>
  <c r="AS190" i="14"/>
  <c r="AS204" i="14" s="1"/>
  <c r="AR190" i="14"/>
  <c r="AR204" i="14" s="1"/>
  <c r="AQ190" i="14"/>
  <c r="AQ204" i="14" s="1"/>
  <c r="AP190" i="14"/>
  <c r="AP204" i="14" s="1"/>
  <c r="AO190" i="14"/>
  <c r="AO204" i="14" s="1"/>
  <c r="AN190" i="14"/>
  <c r="AN204" i="14" s="1"/>
  <c r="AM190" i="14"/>
  <c r="AM204" i="14" s="1"/>
  <c r="AL190" i="14"/>
  <c r="AL204" i="14" s="1"/>
  <c r="AK190" i="14"/>
  <c r="AK204" i="14" s="1"/>
  <c r="AJ190" i="14"/>
  <c r="AJ204" i="14" s="1"/>
  <c r="AI190" i="14"/>
  <c r="AI204" i="14" s="1"/>
  <c r="AH190" i="14"/>
  <c r="AH204" i="14" s="1"/>
  <c r="AG190" i="14"/>
  <c r="AG204" i="14" s="1"/>
  <c r="AF190" i="14"/>
  <c r="AF204" i="14" s="1"/>
  <c r="AE190" i="14"/>
  <c r="AE204" i="14" s="1"/>
  <c r="BB189" i="14"/>
  <c r="BB203" i="14" s="1"/>
  <c r="BA189" i="14"/>
  <c r="BA203" i="14" s="1"/>
  <c r="AZ189" i="14"/>
  <c r="AZ203" i="14" s="1"/>
  <c r="AY189" i="14"/>
  <c r="AY203" i="14" s="1"/>
  <c r="AX189" i="14"/>
  <c r="AX203" i="14" s="1"/>
  <c r="AW189" i="14"/>
  <c r="AW203" i="14" s="1"/>
  <c r="AV189" i="14"/>
  <c r="AV203" i="14" s="1"/>
  <c r="AU189" i="14"/>
  <c r="AU203" i="14" s="1"/>
  <c r="AT189" i="14"/>
  <c r="AT203" i="14" s="1"/>
  <c r="AS189" i="14"/>
  <c r="AS203" i="14" s="1"/>
  <c r="AR189" i="14"/>
  <c r="AR203" i="14" s="1"/>
  <c r="AQ189" i="14"/>
  <c r="AQ203" i="14" s="1"/>
  <c r="AP189" i="14"/>
  <c r="AP203" i="14" s="1"/>
  <c r="AO189" i="14"/>
  <c r="AO203" i="14" s="1"/>
  <c r="AN189" i="14"/>
  <c r="AN203" i="14" s="1"/>
  <c r="AM189" i="14"/>
  <c r="AM203" i="14" s="1"/>
  <c r="AL189" i="14"/>
  <c r="AL203" i="14" s="1"/>
  <c r="AK189" i="14"/>
  <c r="AK203" i="14" s="1"/>
  <c r="AJ189" i="14"/>
  <c r="AJ203" i="14" s="1"/>
  <c r="AI189" i="14"/>
  <c r="AI203" i="14" s="1"/>
  <c r="AH189" i="14"/>
  <c r="AH203" i="14" s="1"/>
  <c r="AG189" i="14"/>
  <c r="AG203" i="14" s="1"/>
  <c r="AF189" i="14"/>
  <c r="AF203" i="14" s="1"/>
  <c r="AE189" i="14"/>
  <c r="AE203" i="14" s="1"/>
  <c r="BB188" i="14"/>
  <c r="BB202" i="14" s="1"/>
  <c r="BA188" i="14"/>
  <c r="BA202" i="14" s="1"/>
  <c r="AZ188" i="14"/>
  <c r="AZ202" i="14" s="1"/>
  <c r="AY188" i="14"/>
  <c r="AY202" i="14" s="1"/>
  <c r="AX188" i="14"/>
  <c r="AX202" i="14" s="1"/>
  <c r="AW188" i="14"/>
  <c r="AW202" i="14" s="1"/>
  <c r="AV188" i="14"/>
  <c r="AV202" i="14" s="1"/>
  <c r="AU188" i="14"/>
  <c r="AU202" i="14" s="1"/>
  <c r="AT188" i="14"/>
  <c r="AT202" i="14" s="1"/>
  <c r="AS188" i="14"/>
  <c r="AS202" i="14" s="1"/>
  <c r="AR188" i="14"/>
  <c r="AR202" i="14" s="1"/>
  <c r="AQ188" i="14"/>
  <c r="AQ202" i="14" s="1"/>
  <c r="AP188" i="14"/>
  <c r="AP202" i="14" s="1"/>
  <c r="AO188" i="14"/>
  <c r="AO202" i="14" s="1"/>
  <c r="AN188" i="14"/>
  <c r="AN202" i="14" s="1"/>
  <c r="AM188" i="14"/>
  <c r="AM202" i="14" s="1"/>
  <c r="AL188" i="14"/>
  <c r="AL202" i="14" s="1"/>
  <c r="AK188" i="14"/>
  <c r="AK202" i="14" s="1"/>
  <c r="AJ188" i="14"/>
  <c r="AJ202" i="14" s="1"/>
  <c r="AI188" i="14"/>
  <c r="AI202" i="14" s="1"/>
  <c r="AH188" i="14"/>
  <c r="AH202" i="14" s="1"/>
  <c r="AG188" i="14"/>
  <c r="AG202" i="14" s="1"/>
  <c r="AF188" i="14"/>
  <c r="AF202" i="14" s="1"/>
  <c r="AE188" i="14"/>
  <c r="AE202" i="14" s="1"/>
  <c r="BB187" i="14"/>
  <c r="BB201" i="14" s="1"/>
  <c r="BA187" i="14"/>
  <c r="BA201" i="14" s="1"/>
  <c r="AZ187" i="14"/>
  <c r="AZ201" i="14" s="1"/>
  <c r="AY187" i="14"/>
  <c r="AY201" i="14" s="1"/>
  <c r="AX187" i="14"/>
  <c r="AX201" i="14" s="1"/>
  <c r="AW187" i="14"/>
  <c r="AW201" i="14" s="1"/>
  <c r="AV187" i="14"/>
  <c r="AV201" i="14" s="1"/>
  <c r="AU187" i="14"/>
  <c r="AU201" i="14" s="1"/>
  <c r="AT187" i="14"/>
  <c r="AT201" i="14" s="1"/>
  <c r="AS187" i="14"/>
  <c r="AS201" i="14" s="1"/>
  <c r="AR187" i="14"/>
  <c r="AR201" i="14" s="1"/>
  <c r="AQ187" i="14"/>
  <c r="AQ201" i="14" s="1"/>
  <c r="AP187" i="14"/>
  <c r="AP201" i="14" s="1"/>
  <c r="AO187" i="14"/>
  <c r="AO201" i="14" s="1"/>
  <c r="AN187" i="14"/>
  <c r="AN201" i="14" s="1"/>
  <c r="AM187" i="14"/>
  <c r="AM201" i="14" s="1"/>
  <c r="AL187" i="14"/>
  <c r="AL201" i="14" s="1"/>
  <c r="AK187" i="14"/>
  <c r="AK201" i="14" s="1"/>
  <c r="AJ187" i="14"/>
  <c r="AJ201" i="14" s="1"/>
  <c r="AI187" i="14"/>
  <c r="AI201" i="14" s="1"/>
  <c r="AH187" i="14"/>
  <c r="AH201" i="14" s="1"/>
  <c r="AG187" i="14"/>
  <c r="AG201" i="14" s="1"/>
  <c r="AF187" i="14"/>
  <c r="AF201" i="14" s="1"/>
  <c r="AE187" i="14"/>
  <c r="AE201" i="14" s="1"/>
  <c r="AB187" i="14"/>
  <c r="AB192" i="14" s="1"/>
  <c r="BB186" i="14"/>
  <c r="BB200" i="14" s="1"/>
  <c r="BA186" i="14"/>
  <c r="BA200" i="14" s="1"/>
  <c r="AZ186" i="14"/>
  <c r="AZ200" i="14" s="1"/>
  <c r="AY186" i="14"/>
  <c r="AY200" i="14" s="1"/>
  <c r="AX186" i="14"/>
  <c r="AX200" i="14" s="1"/>
  <c r="AW186" i="14"/>
  <c r="AW200" i="14" s="1"/>
  <c r="AV186" i="14"/>
  <c r="AV200" i="14" s="1"/>
  <c r="AU186" i="14"/>
  <c r="AU200" i="14" s="1"/>
  <c r="AT186" i="14"/>
  <c r="AT200" i="14" s="1"/>
  <c r="AS186" i="14"/>
  <c r="AS200" i="14" s="1"/>
  <c r="AR186" i="14"/>
  <c r="AR200" i="14" s="1"/>
  <c r="AQ186" i="14"/>
  <c r="AQ200" i="14" s="1"/>
  <c r="AP186" i="14"/>
  <c r="AP200" i="14" s="1"/>
  <c r="AO186" i="14"/>
  <c r="AO200" i="14" s="1"/>
  <c r="AN186" i="14"/>
  <c r="AN200" i="14" s="1"/>
  <c r="AM186" i="14"/>
  <c r="AM200" i="14" s="1"/>
  <c r="AL186" i="14"/>
  <c r="AL200" i="14" s="1"/>
  <c r="AK186" i="14"/>
  <c r="AK200" i="14" s="1"/>
  <c r="AJ186" i="14"/>
  <c r="AJ200" i="14" s="1"/>
  <c r="AI186" i="14"/>
  <c r="AI200" i="14" s="1"/>
  <c r="AH186" i="14"/>
  <c r="AH200" i="14" s="1"/>
  <c r="AG186" i="14"/>
  <c r="AG200" i="14" s="1"/>
  <c r="AF186" i="14"/>
  <c r="AF200" i="14" s="1"/>
  <c r="AE186" i="14"/>
  <c r="AE200" i="14" s="1"/>
  <c r="AB186" i="14"/>
  <c r="BB185" i="14"/>
  <c r="BB199" i="14" s="1"/>
  <c r="BA185" i="14"/>
  <c r="BA199" i="14" s="1"/>
  <c r="AZ185" i="14"/>
  <c r="AZ199" i="14" s="1"/>
  <c r="AY185" i="14"/>
  <c r="AY199" i="14" s="1"/>
  <c r="AX185" i="14"/>
  <c r="AX199" i="14" s="1"/>
  <c r="AW185" i="14"/>
  <c r="AW199" i="14" s="1"/>
  <c r="AV185" i="14"/>
  <c r="AV199" i="14" s="1"/>
  <c r="AU185" i="14"/>
  <c r="AU199" i="14" s="1"/>
  <c r="AT185" i="14"/>
  <c r="AT199" i="14" s="1"/>
  <c r="AS185" i="14"/>
  <c r="AS199" i="14" s="1"/>
  <c r="AR185" i="14"/>
  <c r="AR199" i="14" s="1"/>
  <c r="AQ185" i="14"/>
  <c r="AQ199" i="14" s="1"/>
  <c r="AP185" i="14"/>
  <c r="AP199" i="14" s="1"/>
  <c r="AO185" i="14"/>
  <c r="AO199" i="14" s="1"/>
  <c r="AN185" i="14"/>
  <c r="AN199" i="14" s="1"/>
  <c r="AM185" i="14"/>
  <c r="AM199" i="14" s="1"/>
  <c r="AL185" i="14"/>
  <c r="AL199" i="14" s="1"/>
  <c r="AK185" i="14"/>
  <c r="AK199" i="14" s="1"/>
  <c r="AJ185" i="14"/>
  <c r="AJ199" i="14" s="1"/>
  <c r="AI185" i="14"/>
  <c r="AI199" i="14" s="1"/>
  <c r="AH185" i="14"/>
  <c r="AH199" i="14" s="1"/>
  <c r="AG185" i="14"/>
  <c r="AG199" i="14" s="1"/>
  <c r="AF185" i="14"/>
  <c r="AF199" i="14" s="1"/>
  <c r="AE185" i="14"/>
  <c r="AE199" i="14" s="1"/>
  <c r="AB185" i="14"/>
  <c r="BB184" i="14"/>
  <c r="BB198" i="14" s="1"/>
  <c r="BA184" i="14"/>
  <c r="BA198" i="14" s="1"/>
  <c r="AZ184" i="14"/>
  <c r="AZ198" i="14" s="1"/>
  <c r="AY184" i="14"/>
  <c r="AY198" i="14" s="1"/>
  <c r="AX184" i="14"/>
  <c r="AX198" i="14" s="1"/>
  <c r="AW184" i="14"/>
  <c r="AW198" i="14" s="1"/>
  <c r="AV184" i="14"/>
  <c r="AV198" i="14" s="1"/>
  <c r="AU184" i="14"/>
  <c r="AU198" i="14" s="1"/>
  <c r="AT184" i="14"/>
  <c r="AT198" i="14" s="1"/>
  <c r="AS184" i="14"/>
  <c r="AS198" i="14" s="1"/>
  <c r="AR184" i="14"/>
  <c r="AR198" i="14" s="1"/>
  <c r="AQ184" i="14"/>
  <c r="AQ198" i="14" s="1"/>
  <c r="AP184" i="14"/>
  <c r="AP198" i="14" s="1"/>
  <c r="AO184" i="14"/>
  <c r="AO198" i="14" s="1"/>
  <c r="AN184" i="14"/>
  <c r="AN198" i="14" s="1"/>
  <c r="AM184" i="14"/>
  <c r="AM198" i="14" s="1"/>
  <c r="AL184" i="14"/>
  <c r="AL198" i="14" s="1"/>
  <c r="AK184" i="14"/>
  <c r="AK198" i="14" s="1"/>
  <c r="AJ184" i="14"/>
  <c r="AJ198" i="14" s="1"/>
  <c r="AI184" i="14"/>
  <c r="AI198" i="14" s="1"/>
  <c r="AH184" i="14"/>
  <c r="AH198" i="14" s="1"/>
  <c r="AG184" i="14"/>
  <c r="AG198" i="14" s="1"/>
  <c r="AF184" i="14"/>
  <c r="AF198" i="14" s="1"/>
  <c r="AE184" i="14"/>
  <c r="AE198" i="14" s="1"/>
  <c r="AB184" i="14"/>
  <c r="BB183" i="14"/>
  <c r="BA183" i="14"/>
  <c r="AZ183" i="14"/>
  <c r="AY183" i="14"/>
  <c r="AX183" i="14"/>
  <c r="AW183" i="14"/>
  <c r="AV183" i="14"/>
  <c r="AU183" i="14"/>
  <c r="AT183" i="14"/>
  <c r="AS183" i="14"/>
  <c r="AR183" i="14"/>
  <c r="AQ183" i="14"/>
  <c r="AP183" i="14"/>
  <c r="AO183" i="14"/>
  <c r="AN183" i="14"/>
  <c r="AM183" i="14"/>
  <c r="AL183" i="14"/>
  <c r="AK183" i="14"/>
  <c r="AJ183" i="14"/>
  <c r="AI183" i="14"/>
  <c r="AH183" i="14"/>
  <c r="AG183" i="14"/>
  <c r="AF183" i="14"/>
  <c r="AE183" i="14"/>
  <c r="AB182" i="14"/>
  <c r="AB181" i="14"/>
  <c r="AB180" i="14"/>
  <c r="AB179" i="14"/>
  <c r="BB173" i="14"/>
  <c r="BA173" i="14"/>
  <c r="AZ173" i="14"/>
  <c r="AY173" i="14"/>
  <c r="AX173" i="14"/>
  <c r="AW173" i="14"/>
  <c r="AV173" i="14"/>
  <c r="AU173" i="14"/>
  <c r="AT173" i="14"/>
  <c r="AS173" i="14"/>
  <c r="AR173" i="14"/>
  <c r="AQ173" i="14"/>
  <c r="AP173" i="14"/>
  <c r="AO173" i="14"/>
  <c r="AN173" i="14"/>
  <c r="AM173" i="14"/>
  <c r="AL173" i="14"/>
  <c r="AK173" i="14"/>
  <c r="AJ173" i="14"/>
  <c r="AI173" i="14"/>
  <c r="AH173" i="14"/>
  <c r="AG173" i="14"/>
  <c r="AF173" i="14"/>
  <c r="AE173" i="14"/>
  <c r="AB173" i="14"/>
  <c r="AB177" i="14" s="1"/>
  <c r="AB172" i="14"/>
  <c r="AB171" i="14"/>
  <c r="AB170" i="14"/>
  <c r="BB169" i="14"/>
  <c r="BA169" i="14"/>
  <c r="AZ169" i="14"/>
  <c r="AY169" i="14"/>
  <c r="AX169" i="14"/>
  <c r="AW169" i="14"/>
  <c r="AV169" i="14"/>
  <c r="AU169" i="14"/>
  <c r="AT169" i="14"/>
  <c r="AS169" i="14"/>
  <c r="AR169" i="14"/>
  <c r="AQ169" i="14"/>
  <c r="AP169" i="14"/>
  <c r="AO169" i="14"/>
  <c r="AN169" i="14"/>
  <c r="AM169" i="14"/>
  <c r="AL169" i="14"/>
  <c r="AK169" i="14"/>
  <c r="AJ169" i="14"/>
  <c r="AI169" i="14"/>
  <c r="AH169" i="14"/>
  <c r="AG169" i="14"/>
  <c r="AF169" i="14"/>
  <c r="AE169" i="14"/>
  <c r="AB168" i="14"/>
  <c r="AB167" i="14"/>
  <c r="AB166" i="14"/>
  <c r="AB165" i="14"/>
  <c r="BB159" i="14"/>
  <c r="BA159" i="14"/>
  <c r="AZ159" i="14"/>
  <c r="AY159" i="14"/>
  <c r="AX159" i="14"/>
  <c r="AW159" i="14"/>
  <c r="AV159" i="14"/>
  <c r="AU159" i="14"/>
  <c r="AT159" i="14"/>
  <c r="AS159" i="14"/>
  <c r="AR159" i="14"/>
  <c r="AQ159" i="14"/>
  <c r="AP159" i="14"/>
  <c r="AO159" i="14"/>
  <c r="AN159" i="14"/>
  <c r="AM159" i="14"/>
  <c r="AL159" i="14"/>
  <c r="AK159" i="14"/>
  <c r="AJ159" i="14"/>
  <c r="AI159" i="14"/>
  <c r="AH159" i="14"/>
  <c r="AG159" i="14"/>
  <c r="AF159" i="14"/>
  <c r="AE159" i="14"/>
  <c r="AB159" i="14"/>
  <c r="AB162" i="14" s="1"/>
  <c r="AB158" i="14"/>
  <c r="AB157" i="14"/>
  <c r="AB156" i="14"/>
  <c r="BB155" i="14"/>
  <c r="BA155" i="14"/>
  <c r="AZ155" i="14"/>
  <c r="AY155" i="14"/>
  <c r="AX155" i="14"/>
  <c r="AW155" i="14"/>
  <c r="AV155" i="14"/>
  <c r="AU155" i="14"/>
  <c r="AT155" i="14"/>
  <c r="AS155" i="14"/>
  <c r="AR155" i="14"/>
  <c r="AQ155" i="14"/>
  <c r="AP155" i="14"/>
  <c r="AO155" i="14"/>
  <c r="AN155" i="14"/>
  <c r="AM155" i="14"/>
  <c r="AL155" i="14"/>
  <c r="AK155" i="14"/>
  <c r="AJ155" i="14"/>
  <c r="AI155" i="14"/>
  <c r="AH155" i="14"/>
  <c r="AG155" i="14"/>
  <c r="AF155" i="14"/>
  <c r="AE155" i="14"/>
  <c r="AB154" i="14"/>
  <c r="AB153" i="14"/>
  <c r="AB152" i="14"/>
  <c r="AB151" i="14"/>
  <c r="BB145" i="14"/>
  <c r="BA145" i="14"/>
  <c r="AZ145" i="14"/>
  <c r="AY145" i="14"/>
  <c r="AX145" i="14"/>
  <c r="AW145" i="14"/>
  <c r="AV145" i="14"/>
  <c r="AU145" i="14"/>
  <c r="AT145" i="14"/>
  <c r="AS145" i="14"/>
  <c r="AR145" i="14"/>
  <c r="AQ145" i="14"/>
  <c r="AP145" i="14"/>
  <c r="AO145" i="14"/>
  <c r="AN145" i="14"/>
  <c r="AM145" i="14"/>
  <c r="AL145" i="14"/>
  <c r="AK145" i="14"/>
  <c r="AJ145" i="14"/>
  <c r="AI145" i="14"/>
  <c r="AH145" i="14"/>
  <c r="AG145" i="14"/>
  <c r="AF145" i="14"/>
  <c r="AE145" i="14"/>
  <c r="AB145" i="14"/>
  <c r="AB147" i="14" s="1"/>
  <c r="AB144" i="14"/>
  <c r="AB143" i="14"/>
  <c r="AB142" i="14"/>
  <c r="BB141" i="14"/>
  <c r="BA141" i="14"/>
  <c r="AZ141" i="14"/>
  <c r="AY141" i="14"/>
  <c r="AX141" i="14"/>
  <c r="AW141" i="14"/>
  <c r="AV141" i="14"/>
  <c r="AU141" i="14"/>
  <c r="AT141" i="14"/>
  <c r="AS141" i="14"/>
  <c r="AR141" i="14"/>
  <c r="AQ141" i="14"/>
  <c r="AP141" i="14"/>
  <c r="AO141" i="14"/>
  <c r="AN141" i="14"/>
  <c r="AM141" i="14"/>
  <c r="AL141" i="14"/>
  <c r="AK141" i="14"/>
  <c r="AJ141" i="14"/>
  <c r="AI141" i="14"/>
  <c r="AH141" i="14"/>
  <c r="AG141" i="14"/>
  <c r="AF141" i="14"/>
  <c r="AE141" i="14"/>
  <c r="BB131" i="14"/>
  <c r="BA131" i="14"/>
  <c r="AZ131" i="14"/>
  <c r="AY131" i="14"/>
  <c r="AX131" i="14"/>
  <c r="AW131" i="14"/>
  <c r="AV131" i="14"/>
  <c r="AU131" i="14"/>
  <c r="AT131" i="14"/>
  <c r="AS131" i="14"/>
  <c r="AR131" i="14"/>
  <c r="AQ131" i="14"/>
  <c r="AP131" i="14"/>
  <c r="AO131" i="14"/>
  <c r="AN131" i="14"/>
  <c r="AM131" i="14"/>
  <c r="AL131" i="14"/>
  <c r="AK131" i="14"/>
  <c r="AJ131" i="14"/>
  <c r="AI131" i="14"/>
  <c r="AH131" i="14"/>
  <c r="AG131" i="14"/>
  <c r="AF131" i="14"/>
  <c r="AE131" i="14"/>
  <c r="BB127" i="14"/>
  <c r="BA127" i="14"/>
  <c r="AZ127" i="14"/>
  <c r="AY127" i="14"/>
  <c r="AX127" i="14"/>
  <c r="AW127" i="14"/>
  <c r="AV127" i="14"/>
  <c r="AU127" i="14"/>
  <c r="AT127" i="14"/>
  <c r="AS127" i="14"/>
  <c r="AR127" i="14"/>
  <c r="AQ127" i="14"/>
  <c r="AP127" i="14"/>
  <c r="AO127" i="14"/>
  <c r="AN127" i="14"/>
  <c r="AM127" i="14"/>
  <c r="AL127" i="14"/>
  <c r="AK127" i="14"/>
  <c r="AJ127" i="14"/>
  <c r="AI127" i="14"/>
  <c r="AH127" i="14"/>
  <c r="AG127" i="14"/>
  <c r="AF127" i="14"/>
  <c r="AE127" i="14"/>
  <c r="T126" i="14"/>
  <c r="T127" i="14" s="1"/>
  <c r="T128" i="14" s="1"/>
  <c r="T129" i="14" s="1"/>
  <c r="T130" i="14" s="1"/>
  <c r="T131" i="14" s="1"/>
  <c r="T132" i="14" s="1"/>
  <c r="T133" i="14" s="1"/>
  <c r="T134" i="14" s="1"/>
  <c r="T135" i="14" s="1"/>
  <c r="T136" i="14" s="1"/>
  <c r="T137" i="14" s="1"/>
  <c r="T138" i="14" s="1"/>
  <c r="T139" i="14" s="1"/>
  <c r="T140" i="14" s="1"/>
  <c r="T141" i="14" s="1"/>
  <c r="T142" i="14" s="1"/>
  <c r="T143" i="14" s="1"/>
  <c r="T144" i="14" s="1"/>
  <c r="T145" i="14" s="1"/>
  <c r="T146" i="14" s="1"/>
  <c r="T147" i="14" s="1"/>
  <c r="T148" i="14" s="1"/>
  <c r="T149" i="14" s="1"/>
  <c r="T150" i="14" s="1"/>
  <c r="T151" i="14" s="1"/>
  <c r="T152" i="14" s="1"/>
  <c r="T153" i="14" s="1"/>
  <c r="T154" i="14" s="1"/>
  <c r="T155" i="14" s="1"/>
  <c r="T156" i="14" s="1"/>
  <c r="T157" i="14" s="1"/>
  <c r="T158" i="14" s="1"/>
  <c r="T159" i="14" s="1"/>
  <c r="T160" i="14" s="1"/>
  <c r="T161" i="14" s="1"/>
  <c r="T162" i="14" s="1"/>
  <c r="T163" i="14" s="1"/>
  <c r="T164" i="14" s="1"/>
  <c r="T165" i="14" s="1"/>
  <c r="T166" i="14" s="1"/>
  <c r="T167" i="14" s="1"/>
  <c r="T168" i="14" s="1"/>
  <c r="T169" i="14" s="1"/>
  <c r="T170" i="14" s="1"/>
  <c r="T171" i="14" s="1"/>
  <c r="T172" i="14" s="1"/>
  <c r="T173" i="14" s="1"/>
  <c r="T174" i="14" s="1"/>
  <c r="T175" i="14" s="1"/>
  <c r="T176" i="14" s="1"/>
  <c r="T177" i="14" s="1"/>
  <c r="T178" i="14" s="1"/>
  <c r="T179" i="14" s="1"/>
  <c r="T180" i="14" s="1"/>
  <c r="T181" i="14" s="1"/>
  <c r="T182" i="14" s="1"/>
  <c r="T183" i="14" s="1"/>
  <c r="T184" i="14" s="1"/>
  <c r="T185" i="14" s="1"/>
  <c r="T186" i="14" s="1"/>
  <c r="T187" i="14" s="1"/>
  <c r="T188" i="14" s="1"/>
  <c r="T189" i="14" s="1"/>
  <c r="T190" i="14" s="1"/>
  <c r="T191" i="14" s="1"/>
  <c r="T192" i="14" s="1"/>
  <c r="T193" i="14" s="1"/>
  <c r="T194" i="14" s="1"/>
  <c r="T195" i="14" s="1"/>
  <c r="T196" i="14" s="1"/>
  <c r="T197" i="14" s="1"/>
  <c r="T198" i="14" s="1"/>
  <c r="T199" i="14" s="1"/>
  <c r="T200" i="14" s="1"/>
  <c r="T201" i="14" s="1"/>
  <c r="T202" i="14" s="1"/>
  <c r="T203" i="14" s="1"/>
  <c r="T204" i="14" s="1"/>
  <c r="T205" i="14" s="1"/>
  <c r="T206" i="14" s="1"/>
  <c r="T207" i="14" s="1"/>
  <c r="T208" i="14" s="1"/>
  <c r="T209" i="14" s="1"/>
  <c r="T210" i="14" s="1"/>
  <c r="T211" i="14" s="1"/>
  <c r="T212" i="14" s="1"/>
  <c r="T213" i="14" s="1"/>
  <c r="T214" i="14" s="1"/>
  <c r="T215" i="14" s="1"/>
  <c r="T216" i="14" s="1"/>
  <c r="T217" i="14" s="1"/>
  <c r="T218" i="14" s="1"/>
  <c r="T219" i="14" s="1"/>
  <c r="T220" i="14" s="1"/>
  <c r="T221" i="14" s="1"/>
  <c r="T222" i="14" s="1"/>
  <c r="T223" i="14" s="1"/>
  <c r="T224" i="14" s="1"/>
  <c r="F126" i="14"/>
  <c r="F127" i="14" s="1"/>
  <c r="F128" i="14" s="1"/>
  <c r="F129" i="14" s="1"/>
  <c r="F130" i="14" s="1"/>
  <c r="F131" i="14" s="1"/>
  <c r="F132" i="14" s="1"/>
  <c r="F133" i="14" s="1"/>
  <c r="F134" i="14" s="1"/>
  <c r="F135" i="14" s="1"/>
  <c r="F136" i="14" s="1"/>
  <c r="F137" i="14" s="1"/>
  <c r="F138" i="14" s="1"/>
  <c r="F139" i="14" s="1"/>
  <c r="F140" i="14" s="1"/>
  <c r="F141" i="14" s="1"/>
  <c r="F142" i="14" s="1"/>
  <c r="F143" i="14" s="1"/>
  <c r="F144" i="14" s="1"/>
  <c r="F145" i="14" s="1"/>
  <c r="F146" i="14" s="1"/>
  <c r="F147" i="14" s="1"/>
  <c r="F148" i="14" s="1"/>
  <c r="F149" i="14" s="1"/>
  <c r="F150" i="14" s="1"/>
  <c r="F151" i="14" s="1"/>
  <c r="F152" i="14" s="1"/>
  <c r="F153" i="14" s="1"/>
  <c r="F154" i="14" s="1"/>
  <c r="F155" i="14" s="1"/>
  <c r="F156" i="14" s="1"/>
  <c r="F157" i="14" s="1"/>
  <c r="F158" i="14" s="1"/>
  <c r="F159" i="14" s="1"/>
  <c r="F160" i="14" s="1"/>
  <c r="F161" i="14" s="1"/>
  <c r="F162" i="14" s="1"/>
  <c r="F163" i="14" s="1"/>
  <c r="F164" i="14" s="1"/>
  <c r="F165" i="14" s="1"/>
  <c r="F166" i="14" s="1"/>
  <c r="F167" i="14" s="1"/>
  <c r="F168" i="14" s="1"/>
  <c r="F169" i="14" s="1"/>
  <c r="F170" i="14" s="1"/>
  <c r="F171" i="14" s="1"/>
  <c r="F172" i="14" s="1"/>
  <c r="F173" i="14" s="1"/>
  <c r="F174" i="14" s="1"/>
  <c r="F175" i="14" s="1"/>
  <c r="F176" i="14" s="1"/>
  <c r="F177" i="14" s="1"/>
  <c r="F178" i="14" s="1"/>
  <c r="F179" i="14" s="1"/>
  <c r="F180" i="14" s="1"/>
  <c r="F181" i="14" s="1"/>
  <c r="F182" i="14" s="1"/>
  <c r="F183" i="14" s="1"/>
  <c r="F184" i="14" s="1"/>
  <c r="F185" i="14" s="1"/>
  <c r="F186" i="14" s="1"/>
  <c r="F187" i="14" s="1"/>
  <c r="F188" i="14" s="1"/>
  <c r="F189" i="14" s="1"/>
  <c r="F190" i="14" s="1"/>
  <c r="F191" i="14" s="1"/>
  <c r="F192" i="14" s="1"/>
  <c r="F193" i="14" s="1"/>
  <c r="F194" i="14" s="1"/>
  <c r="F195" i="14" s="1"/>
  <c r="F196" i="14" s="1"/>
  <c r="F197" i="14" s="1"/>
  <c r="F198" i="14" s="1"/>
  <c r="F199" i="14" s="1"/>
  <c r="F200" i="14" s="1"/>
  <c r="F201" i="14" s="1"/>
  <c r="F202" i="14" s="1"/>
  <c r="F203" i="14" s="1"/>
  <c r="F204" i="14" s="1"/>
  <c r="F205" i="14" s="1"/>
  <c r="F206" i="14" s="1"/>
  <c r="F207" i="14" s="1"/>
  <c r="F208" i="14" s="1"/>
  <c r="F209" i="14" s="1"/>
  <c r="F210" i="14" s="1"/>
  <c r="F211" i="14" s="1"/>
  <c r="AB125" i="14"/>
  <c r="AB124" i="14"/>
  <c r="AB123" i="14"/>
  <c r="AB122" i="14"/>
  <c r="AB121" i="14"/>
  <c r="AB119" i="14"/>
  <c r="AB117" i="14"/>
  <c r="BB116" i="14"/>
  <c r="BA116" i="14"/>
  <c r="AZ116" i="14"/>
  <c r="AY116" i="14"/>
  <c r="AX116" i="14"/>
  <c r="AW116" i="14"/>
  <c r="AV116" i="14"/>
  <c r="AU116" i="14"/>
  <c r="AT116" i="14"/>
  <c r="AS116" i="14"/>
  <c r="AR116" i="14"/>
  <c r="AQ116" i="14"/>
  <c r="AP116" i="14"/>
  <c r="AO116" i="14"/>
  <c r="AN116" i="14"/>
  <c r="AM116" i="14"/>
  <c r="AL116" i="14"/>
  <c r="AK116" i="14"/>
  <c r="AJ116" i="14"/>
  <c r="AI116" i="14"/>
  <c r="AH116" i="14"/>
  <c r="AG116" i="14"/>
  <c r="AF116" i="14"/>
  <c r="AE116" i="14"/>
  <c r="AB116" i="14"/>
  <c r="AB120" i="14" s="1"/>
  <c r="AB115" i="14"/>
  <c r="AB114" i="14"/>
  <c r="AB113" i="14"/>
  <c r="BB112" i="14"/>
  <c r="BA112" i="14"/>
  <c r="AZ112" i="14"/>
  <c r="AY112" i="14"/>
  <c r="AX112" i="14"/>
  <c r="AW112" i="14"/>
  <c r="AV112" i="14"/>
  <c r="AU112" i="14"/>
  <c r="AT112" i="14"/>
  <c r="AS112" i="14"/>
  <c r="AR112" i="14"/>
  <c r="AQ112" i="14"/>
  <c r="AP112" i="14"/>
  <c r="AO112" i="14"/>
  <c r="AN112" i="14"/>
  <c r="AM112" i="14"/>
  <c r="AL112" i="14"/>
  <c r="AK112" i="14"/>
  <c r="AJ112" i="14"/>
  <c r="AI112" i="14"/>
  <c r="AH112" i="14"/>
  <c r="AG112" i="14"/>
  <c r="AF112" i="14"/>
  <c r="AE112" i="14"/>
  <c r="L112" i="14"/>
  <c r="AB111" i="14"/>
  <c r="AB110" i="14"/>
  <c r="AB109" i="14"/>
  <c r="AB108" i="14"/>
  <c r="AB102" i="14"/>
  <c r="AB106" i="14" s="1"/>
  <c r="AB101" i="14"/>
  <c r="AB100" i="14"/>
  <c r="AB99" i="14"/>
  <c r="BB97" i="14"/>
  <c r="BB111" i="14" s="1"/>
  <c r="BA97" i="14"/>
  <c r="BA111" i="14" s="1"/>
  <c r="AZ97" i="14"/>
  <c r="AZ111" i="14" s="1"/>
  <c r="AY97" i="14"/>
  <c r="AY111" i="14" s="1"/>
  <c r="AX97" i="14"/>
  <c r="AX111" i="14" s="1"/>
  <c r="AW97" i="14"/>
  <c r="AW111" i="14" s="1"/>
  <c r="AV97" i="14"/>
  <c r="AV111" i="14" s="1"/>
  <c r="AU97" i="14"/>
  <c r="AU111" i="14" s="1"/>
  <c r="AT97" i="14"/>
  <c r="AT111" i="14" s="1"/>
  <c r="AS97" i="14"/>
  <c r="AS111" i="14" s="1"/>
  <c r="AR97" i="14"/>
  <c r="AR111" i="14" s="1"/>
  <c r="AQ97" i="14"/>
  <c r="AQ111" i="14" s="1"/>
  <c r="AP97" i="14"/>
  <c r="AP111" i="14" s="1"/>
  <c r="AO97" i="14"/>
  <c r="AO111" i="14" s="1"/>
  <c r="AN97" i="14"/>
  <c r="AN111" i="14" s="1"/>
  <c r="AM97" i="14"/>
  <c r="AM111" i="14" s="1"/>
  <c r="AL97" i="14"/>
  <c r="AL111" i="14" s="1"/>
  <c r="AK97" i="14"/>
  <c r="AK111" i="14" s="1"/>
  <c r="AJ97" i="14"/>
  <c r="AJ111" i="14" s="1"/>
  <c r="AI97" i="14"/>
  <c r="AI111" i="14" s="1"/>
  <c r="AH97" i="14"/>
  <c r="AH111" i="14" s="1"/>
  <c r="AG97" i="14"/>
  <c r="AG111" i="14" s="1"/>
  <c r="AF97" i="14"/>
  <c r="AF111" i="14" s="1"/>
  <c r="AE97" i="14"/>
  <c r="AE111" i="14" s="1"/>
  <c r="AB97" i="14"/>
  <c r="BB96" i="14"/>
  <c r="BB110" i="14" s="1"/>
  <c r="BA96" i="14"/>
  <c r="BA110" i="14" s="1"/>
  <c r="AZ96" i="14"/>
  <c r="AZ110" i="14" s="1"/>
  <c r="AY96" i="14"/>
  <c r="AY110" i="14" s="1"/>
  <c r="AX96" i="14"/>
  <c r="AX110" i="14" s="1"/>
  <c r="AW96" i="14"/>
  <c r="AW110" i="14" s="1"/>
  <c r="AV96" i="14"/>
  <c r="AV110" i="14" s="1"/>
  <c r="AU96" i="14"/>
  <c r="AU110" i="14" s="1"/>
  <c r="AT96" i="14"/>
  <c r="AT110" i="14" s="1"/>
  <c r="AS96" i="14"/>
  <c r="AS110" i="14" s="1"/>
  <c r="AR96" i="14"/>
  <c r="AR110" i="14" s="1"/>
  <c r="AQ96" i="14"/>
  <c r="AQ110" i="14" s="1"/>
  <c r="AP96" i="14"/>
  <c r="AP110" i="14" s="1"/>
  <c r="AO96" i="14"/>
  <c r="AO110" i="14" s="1"/>
  <c r="AN96" i="14"/>
  <c r="AN110" i="14" s="1"/>
  <c r="AM96" i="14"/>
  <c r="AM110" i="14" s="1"/>
  <c r="AL96" i="14"/>
  <c r="AL110" i="14" s="1"/>
  <c r="AK96" i="14"/>
  <c r="AK110" i="14" s="1"/>
  <c r="AJ96" i="14"/>
  <c r="AJ110" i="14" s="1"/>
  <c r="AI96" i="14"/>
  <c r="AI110" i="14" s="1"/>
  <c r="AH96" i="14"/>
  <c r="AH110" i="14" s="1"/>
  <c r="AG96" i="14"/>
  <c r="AG110" i="14" s="1"/>
  <c r="AF96" i="14"/>
  <c r="AF110" i="14" s="1"/>
  <c r="AE96" i="14"/>
  <c r="AE110" i="14" s="1"/>
  <c r="AB96" i="14"/>
  <c r="BB95" i="14"/>
  <c r="BB109" i="14" s="1"/>
  <c r="BA95" i="14"/>
  <c r="BA109" i="14" s="1"/>
  <c r="AZ95" i="14"/>
  <c r="AZ109" i="14" s="1"/>
  <c r="AY95" i="14"/>
  <c r="AY109" i="14" s="1"/>
  <c r="AX95" i="14"/>
  <c r="AX109" i="14" s="1"/>
  <c r="AW95" i="14"/>
  <c r="AW109" i="14" s="1"/>
  <c r="AV95" i="14"/>
  <c r="AV109" i="14" s="1"/>
  <c r="AU95" i="14"/>
  <c r="AU109" i="14" s="1"/>
  <c r="AT95" i="14"/>
  <c r="AT109" i="14" s="1"/>
  <c r="AS95" i="14"/>
  <c r="AS109" i="14" s="1"/>
  <c r="AR95" i="14"/>
  <c r="AR109" i="14" s="1"/>
  <c r="AQ95" i="14"/>
  <c r="AQ109" i="14" s="1"/>
  <c r="AP95" i="14"/>
  <c r="AP109" i="14" s="1"/>
  <c r="AO95" i="14"/>
  <c r="AO109" i="14" s="1"/>
  <c r="AN95" i="14"/>
  <c r="AN109" i="14" s="1"/>
  <c r="AM95" i="14"/>
  <c r="AM109" i="14" s="1"/>
  <c r="AL95" i="14"/>
  <c r="AL109" i="14" s="1"/>
  <c r="AK95" i="14"/>
  <c r="AK109" i="14" s="1"/>
  <c r="AJ95" i="14"/>
  <c r="AJ109" i="14" s="1"/>
  <c r="AI95" i="14"/>
  <c r="AI109" i="14" s="1"/>
  <c r="AH95" i="14"/>
  <c r="AH109" i="14" s="1"/>
  <c r="AG95" i="14"/>
  <c r="AG109" i="14" s="1"/>
  <c r="AF95" i="14"/>
  <c r="AF109" i="14" s="1"/>
  <c r="AE95" i="14"/>
  <c r="AE109" i="14" s="1"/>
  <c r="AB95" i="14"/>
  <c r="BB94" i="14"/>
  <c r="BB108" i="14" s="1"/>
  <c r="BA94" i="14"/>
  <c r="BA108" i="14" s="1"/>
  <c r="AZ94" i="14"/>
  <c r="AZ108" i="14" s="1"/>
  <c r="AY94" i="14"/>
  <c r="AY108" i="14" s="1"/>
  <c r="AX94" i="14"/>
  <c r="AX108" i="14" s="1"/>
  <c r="AW94" i="14"/>
  <c r="AW108" i="14" s="1"/>
  <c r="AV94" i="14"/>
  <c r="AV108" i="14" s="1"/>
  <c r="AU94" i="14"/>
  <c r="AU108" i="14" s="1"/>
  <c r="AT94" i="14"/>
  <c r="AT108" i="14" s="1"/>
  <c r="AS94" i="14"/>
  <c r="AS108" i="14" s="1"/>
  <c r="AR94" i="14"/>
  <c r="AR108" i="14" s="1"/>
  <c r="AQ94" i="14"/>
  <c r="AQ108" i="14" s="1"/>
  <c r="AP94" i="14"/>
  <c r="AP108" i="14" s="1"/>
  <c r="AO94" i="14"/>
  <c r="AO108" i="14" s="1"/>
  <c r="AN94" i="14"/>
  <c r="AN108" i="14" s="1"/>
  <c r="AM94" i="14"/>
  <c r="AM108" i="14" s="1"/>
  <c r="AL94" i="14"/>
  <c r="AL108" i="14" s="1"/>
  <c r="AK94" i="14"/>
  <c r="AK108" i="14" s="1"/>
  <c r="AJ94" i="14"/>
  <c r="AJ108" i="14" s="1"/>
  <c r="AI94" i="14"/>
  <c r="AI108" i="14" s="1"/>
  <c r="AH94" i="14"/>
  <c r="AH108" i="14" s="1"/>
  <c r="AG94" i="14"/>
  <c r="AG108" i="14" s="1"/>
  <c r="AF94" i="14"/>
  <c r="AF108" i="14" s="1"/>
  <c r="AE94" i="14"/>
  <c r="AE108" i="14" s="1"/>
  <c r="AB94" i="14"/>
  <c r="BB93" i="14"/>
  <c r="BB107" i="14" s="1"/>
  <c r="BA93" i="14"/>
  <c r="BA107" i="14" s="1"/>
  <c r="AZ93" i="14"/>
  <c r="AZ107" i="14" s="1"/>
  <c r="AY93" i="14"/>
  <c r="AY107" i="14" s="1"/>
  <c r="AX93" i="14"/>
  <c r="AX107" i="14" s="1"/>
  <c r="AW93" i="14"/>
  <c r="AW107" i="14" s="1"/>
  <c r="AV93" i="14"/>
  <c r="AV107" i="14" s="1"/>
  <c r="AU93" i="14"/>
  <c r="AU107" i="14" s="1"/>
  <c r="AT93" i="14"/>
  <c r="AT107" i="14" s="1"/>
  <c r="AS93" i="14"/>
  <c r="AS107" i="14" s="1"/>
  <c r="AR93" i="14"/>
  <c r="AR107" i="14" s="1"/>
  <c r="AQ93" i="14"/>
  <c r="AQ107" i="14" s="1"/>
  <c r="AP93" i="14"/>
  <c r="AP107" i="14" s="1"/>
  <c r="AO93" i="14"/>
  <c r="AO107" i="14" s="1"/>
  <c r="AN93" i="14"/>
  <c r="AN107" i="14" s="1"/>
  <c r="AM93" i="14"/>
  <c r="AM107" i="14" s="1"/>
  <c r="AL93" i="14"/>
  <c r="AL107" i="14" s="1"/>
  <c r="AK93" i="14"/>
  <c r="AK107" i="14" s="1"/>
  <c r="AJ93" i="14"/>
  <c r="AJ107" i="14" s="1"/>
  <c r="AI93" i="14"/>
  <c r="AI107" i="14" s="1"/>
  <c r="AH93" i="14"/>
  <c r="AH107" i="14" s="1"/>
  <c r="AG93" i="14"/>
  <c r="AG107" i="14" s="1"/>
  <c r="AF93" i="14"/>
  <c r="AF107" i="14" s="1"/>
  <c r="AE93" i="14"/>
  <c r="AE107" i="14" s="1"/>
  <c r="BB92" i="14"/>
  <c r="BB106" i="14" s="1"/>
  <c r="BA92" i="14"/>
  <c r="BA106" i="14" s="1"/>
  <c r="AZ92" i="14"/>
  <c r="AZ106" i="14" s="1"/>
  <c r="AY92" i="14"/>
  <c r="AY106" i="14" s="1"/>
  <c r="AX92" i="14"/>
  <c r="AX106" i="14" s="1"/>
  <c r="AW92" i="14"/>
  <c r="AW106" i="14" s="1"/>
  <c r="AV92" i="14"/>
  <c r="AV106" i="14" s="1"/>
  <c r="AU92" i="14"/>
  <c r="AU106" i="14" s="1"/>
  <c r="AT92" i="14"/>
  <c r="AT106" i="14" s="1"/>
  <c r="AS92" i="14"/>
  <c r="AS106" i="14" s="1"/>
  <c r="AR92" i="14"/>
  <c r="AR106" i="14" s="1"/>
  <c r="AQ92" i="14"/>
  <c r="AQ106" i="14" s="1"/>
  <c r="AP92" i="14"/>
  <c r="AP106" i="14" s="1"/>
  <c r="AO92" i="14"/>
  <c r="AO106" i="14" s="1"/>
  <c r="AN92" i="14"/>
  <c r="AN106" i="14" s="1"/>
  <c r="AM92" i="14"/>
  <c r="AM106" i="14" s="1"/>
  <c r="AL92" i="14"/>
  <c r="AL106" i="14" s="1"/>
  <c r="AK92" i="14"/>
  <c r="AK106" i="14" s="1"/>
  <c r="AJ92" i="14"/>
  <c r="AJ106" i="14" s="1"/>
  <c r="AI92" i="14"/>
  <c r="AI106" i="14" s="1"/>
  <c r="AH92" i="14"/>
  <c r="AH106" i="14" s="1"/>
  <c r="AG92" i="14"/>
  <c r="AG106" i="14" s="1"/>
  <c r="AF92" i="14"/>
  <c r="AF106" i="14" s="1"/>
  <c r="AE92" i="14"/>
  <c r="AE106" i="14" s="1"/>
  <c r="BB91" i="14"/>
  <c r="BB105" i="14" s="1"/>
  <c r="BA91" i="14"/>
  <c r="BA105" i="14" s="1"/>
  <c r="AZ91" i="14"/>
  <c r="AZ105" i="14" s="1"/>
  <c r="AY91" i="14"/>
  <c r="AY105" i="14" s="1"/>
  <c r="AX91" i="14"/>
  <c r="AX105" i="14" s="1"/>
  <c r="AW91" i="14"/>
  <c r="AW105" i="14" s="1"/>
  <c r="AV91" i="14"/>
  <c r="AV105" i="14" s="1"/>
  <c r="AU91" i="14"/>
  <c r="AU105" i="14" s="1"/>
  <c r="AT91" i="14"/>
  <c r="AT105" i="14" s="1"/>
  <c r="AS91" i="14"/>
  <c r="AS105" i="14" s="1"/>
  <c r="AR91" i="14"/>
  <c r="AR105" i="14" s="1"/>
  <c r="AQ91" i="14"/>
  <c r="AQ105" i="14" s="1"/>
  <c r="AP91" i="14"/>
  <c r="AP105" i="14" s="1"/>
  <c r="AO91" i="14"/>
  <c r="AO105" i="14" s="1"/>
  <c r="AN91" i="14"/>
  <c r="AN105" i="14" s="1"/>
  <c r="AM91" i="14"/>
  <c r="AM105" i="14" s="1"/>
  <c r="AL91" i="14"/>
  <c r="AL105" i="14" s="1"/>
  <c r="AK91" i="14"/>
  <c r="AK105" i="14" s="1"/>
  <c r="AJ91" i="14"/>
  <c r="AJ105" i="14" s="1"/>
  <c r="AI91" i="14"/>
  <c r="AI105" i="14" s="1"/>
  <c r="AH91" i="14"/>
  <c r="AH105" i="14" s="1"/>
  <c r="AG91" i="14"/>
  <c r="AG105" i="14" s="1"/>
  <c r="AF91" i="14"/>
  <c r="AF105" i="14" s="1"/>
  <c r="AE91" i="14"/>
  <c r="AE105" i="14" s="1"/>
  <c r="BB90" i="14"/>
  <c r="BB104" i="14" s="1"/>
  <c r="BA90" i="14"/>
  <c r="BA104" i="14" s="1"/>
  <c r="AZ90" i="14"/>
  <c r="AZ104" i="14" s="1"/>
  <c r="AY90" i="14"/>
  <c r="AY104" i="14" s="1"/>
  <c r="AX90" i="14"/>
  <c r="AX104" i="14" s="1"/>
  <c r="AW90" i="14"/>
  <c r="AW104" i="14" s="1"/>
  <c r="AV90" i="14"/>
  <c r="AV104" i="14" s="1"/>
  <c r="AU90" i="14"/>
  <c r="AU104" i="14" s="1"/>
  <c r="AT90" i="14"/>
  <c r="AT104" i="14" s="1"/>
  <c r="AS90" i="14"/>
  <c r="AS104" i="14" s="1"/>
  <c r="AR90" i="14"/>
  <c r="AR104" i="14" s="1"/>
  <c r="AQ90" i="14"/>
  <c r="AQ104" i="14" s="1"/>
  <c r="AP90" i="14"/>
  <c r="AP104" i="14" s="1"/>
  <c r="AO90" i="14"/>
  <c r="AO104" i="14" s="1"/>
  <c r="AN90" i="14"/>
  <c r="AN104" i="14" s="1"/>
  <c r="AM90" i="14"/>
  <c r="AM104" i="14" s="1"/>
  <c r="AL90" i="14"/>
  <c r="AL104" i="14" s="1"/>
  <c r="AK90" i="14"/>
  <c r="AK104" i="14" s="1"/>
  <c r="AJ90" i="14"/>
  <c r="AJ104" i="14" s="1"/>
  <c r="AI90" i="14"/>
  <c r="AI104" i="14" s="1"/>
  <c r="AH90" i="14"/>
  <c r="AH104" i="14" s="1"/>
  <c r="AG90" i="14"/>
  <c r="AG104" i="14" s="1"/>
  <c r="AF90" i="14"/>
  <c r="AF104" i="14" s="1"/>
  <c r="AE90" i="14"/>
  <c r="AE104" i="14" s="1"/>
  <c r="BB89" i="14"/>
  <c r="BB103" i="14" s="1"/>
  <c r="BA89" i="14"/>
  <c r="BA103" i="14" s="1"/>
  <c r="AZ89" i="14"/>
  <c r="AZ103" i="14" s="1"/>
  <c r="AY89" i="14"/>
  <c r="AY103" i="14" s="1"/>
  <c r="AX89" i="14"/>
  <c r="AX103" i="14" s="1"/>
  <c r="AW89" i="14"/>
  <c r="AW103" i="14" s="1"/>
  <c r="AV89" i="14"/>
  <c r="AV103" i="14" s="1"/>
  <c r="AU89" i="14"/>
  <c r="AU103" i="14" s="1"/>
  <c r="AT89" i="14"/>
  <c r="AT103" i="14" s="1"/>
  <c r="AS89" i="14"/>
  <c r="AS103" i="14" s="1"/>
  <c r="AR89" i="14"/>
  <c r="AR103" i="14" s="1"/>
  <c r="AQ89" i="14"/>
  <c r="AQ103" i="14" s="1"/>
  <c r="AP89" i="14"/>
  <c r="AP103" i="14" s="1"/>
  <c r="AO89" i="14"/>
  <c r="AO103" i="14" s="1"/>
  <c r="AN89" i="14"/>
  <c r="AN103" i="14" s="1"/>
  <c r="AM89" i="14"/>
  <c r="AM103" i="14" s="1"/>
  <c r="AL89" i="14"/>
  <c r="AL103" i="14" s="1"/>
  <c r="AK89" i="14"/>
  <c r="AK103" i="14" s="1"/>
  <c r="AJ89" i="14"/>
  <c r="AJ103" i="14" s="1"/>
  <c r="AI89" i="14"/>
  <c r="AI103" i="14" s="1"/>
  <c r="AH89" i="14"/>
  <c r="AH103" i="14" s="1"/>
  <c r="AG89" i="14"/>
  <c r="AG103" i="14" s="1"/>
  <c r="AF89" i="14"/>
  <c r="AF103" i="14" s="1"/>
  <c r="AE89" i="14"/>
  <c r="AE103" i="14" s="1"/>
  <c r="AB89" i="14"/>
  <c r="BA88" i="14"/>
  <c r="BA102" i="14" s="1"/>
  <c r="AY88" i="14"/>
  <c r="AY102" i="14" s="1"/>
  <c r="AW88" i="14"/>
  <c r="AW102" i="14" s="1"/>
  <c r="AU88" i="14"/>
  <c r="AU102" i="14" s="1"/>
  <c r="AS88" i="14"/>
  <c r="AS102" i="14" s="1"/>
  <c r="AQ88" i="14"/>
  <c r="AQ102" i="14" s="1"/>
  <c r="AO88" i="14"/>
  <c r="AO102" i="14" s="1"/>
  <c r="AM88" i="14"/>
  <c r="AM102" i="14" s="1"/>
  <c r="AK88" i="14"/>
  <c r="AK102" i="14" s="1"/>
  <c r="AI88" i="14"/>
  <c r="AI102" i="14" s="1"/>
  <c r="AG88" i="14"/>
  <c r="AG102" i="14" s="1"/>
  <c r="AE88" i="14"/>
  <c r="AE102" i="14" s="1"/>
  <c r="AB88" i="14"/>
  <c r="AB91" i="14" s="1"/>
  <c r="BB87" i="14"/>
  <c r="BB101" i="14" s="1"/>
  <c r="BA87" i="14"/>
  <c r="BA101" i="14" s="1"/>
  <c r="AZ87" i="14"/>
  <c r="AZ101" i="14" s="1"/>
  <c r="AY87" i="14"/>
  <c r="AY101" i="14" s="1"/>
  <c r="AX87" i="14"/>
  <c r="AX101" i="14" s="1"/>
  <c r="AW87" i="14"/>
  <c r="AW101" i="14" s="1"/>
  <c r="AV87" i="14"/>
  <c r="AV101" i="14" s="1"/>
  <c r="AU87" i="14"/>
  <c r="AU101" i="14" s="1"/>
  <c r="AT87" i="14"/>
  <c r="AT101" i="14" s="1"/>
  <c r="AS87" i="14"/>
  <c r="AS101" i="14" s="1"/>
  <c r="AR87" i="14"/>
  <c r="AR101" i="14" s="1"/>
  <c r="AQ87" i="14"/>
  <c r="AQ101" i="14" s="1"/>
  <c r="AP87" i="14"/>
  <c r="AP101" i="14" s="1"/>
  <c r="AO87" i="14"/>
  <c r="AO101" i="14" s="1"/>
  <c r="AN87" i="14"/>
  <c r="AN101" i="14" s="1"/>
  <c r="AM87" i="14"/>
  <c r="AM101" i="14" s="1"/>
  <c r="AL87" i="14"/>
  <c r="AL101" i="14" s="1"/>
  <c r="AK87" i="14"/>
  <c r="AK101" i="14" s="1"/>
  <c r="AJ87" i="14"/>
  <c r="AJ101" i="14" s="1"/>
  <c r="AI87" i="14"/>
  <c r="AI101" i="14" s="1"/>
  <c r="AH87" i="14"/>
  <c r="AH101" i="14" s="1"/>
  <c r="AG87" i="14"/>
  <c r="AG101" i="14" s="1"/>
  <c r="AF87" i="14"/>
  <c r="AF101" i="14" s="1"/>
  <c r="AE87" i="14"/>
  <c r="AE101" i="14" s="1"/>
  <c r="AB87" i="14"/>
  <c r="BB86" i="14"/>
  <c r="BB100" i="14" s="1"/>
  <c r="BA86" i="14"/>
  <c r="BA100" i="14" s="1"/>
  <c r="AZ86" i="14"/>
  <c r="AZ100" i="14" s="1"/>
  <c r="AY86" i="14"/>
  <c r="AY100" i="14" s="1"/>
  <c r="AX86" i="14"/>
  <c r="AX100" i="14" s="1"/>
  <c r="AW86" i="14"/>
  <c r="AW100" i="14" s="1"/>
  <c r="AV86" i="14"/>
  <c r="AV100" i="14" s="1"/>
  <c r="AU86" i="14"/>
  <c r="AU100" i="14" s="1"/>
  <c r="AT86" i="14"/>
  <c r="AT100" i="14" s="1"/>
  <c r="AS86" i="14"/>
  <c r="AS100" i="14" s="1"/>
  <c r="AR86" i="14"/>
  <c r="AR100" i="14" s="1"/>
  <c r="AQ86" i="14"/>
  <c r="AQ100" i="14" s="1"/>
  <c r="AP86" i="14"/>
  <c r="AP100" i="14" s="1"/>
  <c r="AO86" i="14"/>
  <c r="AO100" i="14" s="1"/>
  <c r="AN86" i="14"/>
  <c r="AN100" i="14" s="1"/>
  <c r="AM86" i="14"/>
  <c r="AM100" i="14" s="1"/>
  <c r="AL86" i="14"/>
  <c r="AL100" i="14" s="1"/>
  <c r="AK86" i="14"/>
  <c r="AK100" i="14" s="1"/>
  <c r="AJ86" i="14"/>
  <c r="AJ100" i="14" s="1"/>
  <c r="AI86" i="14"/>
  <c r="AI100" i="14" s="1"/>
  <c r="AH86" i="14"/>
  <c r="AH100" i="14" s="1"/>
  <c r="AG86" i="14"/>
  <c r="AG100" i="14" s="1"/>
  <c r="AF86" i="14"/>
  <c r="AF100" i="14" s="1"/>
  <c r="AE86" i="14"/>
  <c r="AE100" i="14" s="1"/>
  <c r="AB86" i="14"/>
  <c r="BB85" i="14"/>
  <c r="BB99" i="14" s="1"/>
  <c r="BA85" i="14"/>
  <c r="BA99" i="14" s="1"/>
  <c r="AZ85" i="14"/>
  <c r="AZ99" i="14" s="1"/>
  <c r="AY85" i="14"/>
  <c r="AY99" i="14" s="1"/>
  <c r="AX85" i="14"/>
  <c r="AX99" i="14" s="1"/>
  <c r="AW85" i="14"/>
  <c r="AW99" i="14" s="1"/>
  <c r="AV85" i="14"/>
  <c r="AV99" i="14" s="1"/>
  <c r="AU85" i="14"/>
  <c r="AU99" i="14" s="1"/>
  <c r="AT85" i="14"/>
  <c r="AT99" i="14" s="1"/>
  <c r="AS85" i="14"/>
  <c r="AS99" i="14" s="1"/>
  <c r="AR85" i="14"/>
  <c r="AR99" i="14" s="1"/>
  <c r="AQ85" i="14"/>
  <c r="AQ99" i="14" s="1"/>
  <c r="AP85" i="14"/>
  <c r="AP99" i="14" s="1"/>
  <c r="AO85" i="14"/>
  <c r="AO99" i="14" s="1"/>
  <c r="AN85" i="14"/>
  <c r="AN99" i="14" s="1"/>
  <c r="AM85" i="14"/>
  <c r="AM99" i="14" s="1"/>
  <c r="AL85" i="14"/>
  <c r="AL99" i="14" s="1"/>
  <c r="AK85" i="14"/>
  <c r="AK99" i="14" s="1"/>
  <c r="AJ85" i="14"/>
  <c r="AJ99" i="14" s="1"/>
  <c r="AI85" i="14"/>
  <c r="AI99" i="14" s="1"/>
  <c r="AH85" i="14"/>
  <c r="AH99" i="14" s="1"/>
  <c r="AG85" i="14"/>
  <c r="AG99" i="14" s="1"/>
  <c r="AF85" i="14"/>
  <c r="AF99" i="14" s="1"/>
  <c r="AE85" i="14"/>
  <c r="AE99" i="14" s="1"/>
  <c r="AB85" i="14"/>
  <c r="BA84" i="14"/>
  <c r="AY84" i="14"/>
  <c r="AW84" i="14"/>
  <c r="AU84" i="14"/>
  <c r="AS84" i="14"/>
  <c r="AQ84" i="14"/>
  <c r="AO84" i="14"/>
  <c r="AM84" i="14"/>
  <c r="AK84" i="14"/>
  <c r="AI84" i="14"/>
  <c r="AG84" i="14"/>
  <c r="AE84" i="14"/>
  <c r="AB83" i="14"/>
  <c r="AB82" i="14"/>
  <c r="AB81" i="14"/>
  <c r="AB80" i="14"/>
  <c r="BB74" i="14"/>
  <c r="BA74" i="14"/>
  <c r="AZ74" i="14"/>
  <c r="AY74" i="14"/>
  <c r="AX74" i="14"/>
  <c r="AW74" i="14"/>
  <c r="AV74" i="14"/>
  <c r="AU74" i="14"/>
  <c r="AT74" i="14"/>
  <c r="AS74" i="14"/>
  <c r="AR74" i="14"/>
  <c r="AQ74" i="14"/>
  <c r="AP74" i="14"/>
  <c r="AO74" i="14"/>
  <c r="AN74" i="14"/>
  <c r="AM74" i="14"/>
  <c r="AL74" i="14"/>
  <c r="AK74" i="14"/>
  <c r="AJ74" i="14"/>
  <c r="AI74" i="14"/>
  <c r="AH74" i="14"/>
  <c r="AG74" i="14"/>
  <c r="AF74" i="14"/>
  <c r="AE74" i="14"/>
  <c r="AB74" i="14"/>
  <c r="AB76" i="14" s="1"/>
  <c r="AB73" i="14"/>
  <c r="AB72" i="14"/>
  <c r="AB71" i="14"/>
  <c r="BB70" i="14"/>
  <c r="BA70" i="14"/>
  <c r="AZ70" i="14"/>
  <c r="AY70" i="14"/>
  <c r="AX70" i="14"/>
  <c r="AW70" i="14"/>
  <c r="AV70" i="14"/>
  <c r="AU70" i="14"/>
  <c r="AT70" i="14"/>
  <c r="AS70" i="14"/>
  <c r="AR70" i="14"/>
  <c r="AQ70" i="14"/>
  <c r="AP70" i="14"/>
  <c r="AO70" i="14"/>
  <c r="AN70" i="14"/>
  <c r="AM70" i="14"/>
  <c r="AL70" i="14"/>
  <c r="AK70" i="14"/>
  <c r="AJ70" i="14"/>
  <c r="AI70" i="14"/>
  <c r="AH70" i="14"/>
  <c r="AG70" i="14"/>
  <c r="AF70" i="14"/>
  <c r="AE70" i="14"/>
  <c r="AB69" i="14"/>
  <c r="AB68" i="14"/>
  <c r="AB67" i="14"/>
  <c r="AB66" i="14"/>
  <c r="AB65" i="14"/>
  <c r="AB63" i="14"/>
  <c r="AB61" i="14"/>
  <c r="BB60" i="14"/>
  <c r="BA60" i="14"/>
  <c r="AZ60" i="14"/>
  <c r="AY60" i="14"/>
  <c r="AX60" i="14"/>
  <c r="AW60" i="14"/>
  <c r="AV60" i="14"/>
  <c r="AU60" i="14"/>
  <c r="AT60" i="14"/>
  <c r="AS60" i="14"/>
  <c r="AR60" i="14"/>
  <c r="AQ60" i="14"/>
  <c r="AP60" i="14"/>
  <c r="AO60" i="14"/>
  <c r="AN60" i="14"/>
  <c r="AM60" i="14"/>
  <c r="AL60" i="14"/>
  <c r="AK60" i="14"/>
  <c r="AJ60" i="14"/>
  <c r="AI60" i="14"/>
  <c r="AH60" i="14"/>
  <c r="AG60" i="14"/>
  <c r="AF60" i="14"/>
  <c r="AE60" i="14"/>
  <c r="AB60" i="14"/>
  <c r="AB62" i="14" s="1"/>
  <c r="AB59" i="14"/>
  <c r="AB58" i="14"/>
  <c r="AB57" i="14"/>
  <c r="BB56" i="14"/>
  <c r="BA56" i="14"/>
  <c r="AZ56" i="14"/>
  <c r="AY56" i="14"/>
  <c r="AX56" i="14"/>
  <c r="AW56" i="14"/>
  <c r="AV56" i="14"/>
  <c r="AU56" i="14"/>
  <c r="AT56" i="14"/>
  <c r="AS56" i="14"/>
  <c r="AR56" i="14"/>
  <c r="AQ56" i="14"/>
  <c r="AP56" i="14"/>
  <c r="AO56" i="14"/>
  <c r="AN56" i="14"/>
  <c r="AM56" i="14"/>
  <c r="AL56" i="14"/>
  <c r="AK56" i="14"/>
  <c r="AJ56" i="14"/>
  <c r="AI56" i="14"/>
  <c r="AH56" i="14"/>
  <c r="AG56" i="14"/>
  <c r="AF56" i="14"/>
  <c r="AE56" i="14"/>
  <c r="AB55" i="14"/>
  <c r="AB54" i="14"/>
  <c r="AB53" i="14"/>
  <c r="AB52" i="14"/>
  <c r="BB46" i="14"/>
  <c r="BA46" i="14"/>
  <c r="AZ46" i="14"/>
  <c r="AY46" i="14"/>
  <c r="AX46" i="14"/>
  <c r="AW46" i="14"/>
  <c r="AV46" i="14"/>
  <c r="AU46" i="14"/>
  <c r="AT46" i="14"/>
  <c r="AS46" i="14"/>
  <c r="AR46" i="14"/>
  <c r="AQ46" i="14"/>
  <c r="AP46" i="14"/>
  <c r="AO46" i="14"/>
  <c r="AN46" i="14"/>
  <c r="AM46" i="14"/>
  <c r="AL46" i="14"/>
  <c r="AK46" i="14"/>
  <c r="AJ46" i="14"/>
  <c r="AI46" i="14"/>
  <c r="AH46" i="14"/>
  <c r="AG46" i="14"/>
  <c r="AF46" i="14"/>
  <c r="AE46" i="14"/>
  <c r="AB46" i="14"/>
  <c r="AB50" i="14" s="1"/>
  <c r="AB45" i="14"/>
  <c r="AB44" i="14"/>
  <c r="AB43" i="14"/>
  <c r="BB42" i="14"/>
  <c r="BA42" i="14"/>
  <c r="AZ42" i="14"/>
  <c r="AY42" i="14"/>
  <c r="AX42" i="14"/>
  <c r="AW42" i="14"/>
  <c r="AV42" i="14"/>
  <c r="AU42" i="14"/>
  <c r="AT42" i="14"/>
  <c r="AS42" i="14"/>
  <c r="AR42" i="14"/>
  <c r="AQ42" i="14"/>
  <c r="AP42" i="14"/>
  <c r="AO42" i="14"/>
  <c r="AN42" i="14"/>
  <c r="AM42" i="14"/>
  <c r="AL42" i="14"/>
  <c r="AK42" i="14"/>
  <c r="AJ42" i="14"/>
  <c r="AI42" i="14"/>
  <c r="AH42" i="14"/>
  <c r="AG42" i="14"/>
  <c r="AF42" i="14"/>
  <c r="AE42" i="14"/>
  <c r="BB32" i="14"/>
  <c r="BA32" i="14"/>
  <c r="AZ32" i="14"/>
  <c r="AY32" i="14"/>
  <c r="AX32" i="14"/>
  <c r="AW32" i="14"/>
  <c r="AV32" i="14"/>
  <c r="AU32" i="14"/>
  <c r="AT32" i="14"/>
  <c r="AS32" i="14"/>
  <c r="AR32" i="14"/>
  <c r="AQ32" i="14"/>
  <c r="AP32" i="14"/>
  <c r="AO32" i="14"/>
  <c r="AN32" i="14"/>
  <c r="AM32" i="14"/>
  <c r="AL32" i="14"/>
  <c r="AK32" i="14"/>
  <c r="AJ32" i="14"/>
  <c r="AI32" i="14"/>
  <c r="AH32" i="14"/>
  <c r="AG32" i="14"/>
  <c r="AF32" i="14"/>
  <c r="AE32" i="14"/>
  <c r="BB28" i="14"/>
  <c r="BA28" i="14"/>
  <c r="AZ28" i="14"/>
  <c r="AY28" i="14"/>
  <c r="AX28" i="14"/>
  <c r="AW28" i="14"/>
  <c r="AV28" i="14"/>
  <c r="AU28" i="14"/>
  <c r="AT28" i="14"/>
  <c r="AS28" i="14"/>
  <c r="AR28" i="14"/>
  <c r="AQ28" i="14"/>
  <c r="AP28" i="14"/>
  <c r="AO28" i="14"/>
  <c r="AN28" i="14"/>
  <c r="AM28" i="14"/>
  <c r="AL28" i="14"/>
  <c r="AK28" i="14"/>
  <c r="AJ28" i="14"/>
  <c r="AI28" i="14"/>
  <c r="AH28" i="14"/>
  <c r="AG28" i="14"/>
  <c r="AF28" i="14"/>
  <c r="AE28" i="14"/>
  <c r="T28" i="14"/>
  <c r="T29" i="14" s="1"/>
  <c r="T30" i="14" s="1"/>
  <c r="T31" i="14" s="1"/>
  <c r="T32" i="14" s="1"/>
  <c r="T33" i="14" s="1"/>
  <c r="T34" i="14" s="1"/>
  <c r="T35" i="14" s="1"/>
  <c r="T36" i="14" s="1"/>
  <c r="T37" i="14" s="1"/>
  <c r="T38" i="14" s="1"/>
  <c r="T39" i="14" s="1"/>
  <c r="T40" i="14" s="1"/>
  <c r="T41" i="14" s="1"/>
  <c r="T42" i="14" s="1"/>
  <c r="T43" i="14" s="1"/>
  <c r="T44" i="14" s="1"/>
  <c r="T45" i="14" s="1"/>
  <c r="T46" i="14" s="1"/>
  <c r="T47" i="14" s="1"/>
  <c r="T48" i="14" s="1"/>
  <c r="T49" i="14" s="1"/>
  <c r="T50" i="14" s="1"/>
  <c r="T51" i="14" s="1"/>
  <c r="T52" i="14" s="1"/>
  <c r="T53" i="14" s="1"/>
  <c r="T54" i="14" s="1"/>
  <c r="T55" i="14" s="1"/>
  <c r="T56" i="14" s="1"/>
  <c r="T57" i="14" s="1"/>
  <c r="T58" i="14" s="1"/>
  <c r="T59" i="14" s="1"/>
  <c r="T60" i="14" s="1"/>
  <c r="T61" i="14" s="1"/>
  <c r="T62" i="14" s="1"/>
  <c r="T63" i="14" s="1"/>
  <c r="T64" i="14" s="1"/>
  <c r="T65" i="14" s="1"/>
  <c r="T66" i="14" s="1"/>
  <c r="T67" i="14" s="1"/>
  <c r="T68" i="14" s="1"/>
  <c r="T69" i="14" s="1"/>
  <c r="T70" i="14" s="1"/>
  <c r="T71" i="14" s="1"/>
  <c r="T72" i="14" s="1"/>
  <c r="T73" i="14" s="1"/>
  <c r="T74" i="14" s="1"/>
  <c r="T75" i="14" s="1"/>
  <c r="T76" i="14" s="1"/>
  <c r="T77" i="14" s="1"/>
  <c r="T78" i="14" s="1"/>
  <c r="T79" i="14" s="1"/>
  <c r="T80" i="14" s="1"/>
  <c r="T81" i="14" s="1"/>
  <c r="T82" i="14" s="1"/>
  <c r="T83" i="14" s="1"/>
  <c r="T84" i="14" s="1"/>
  <c r="T85" i="14" s="1"/>
  <c r="T86" i="14" s="1"/>
  <c r="T87" i="14" s="1"/>
  <c r="T88" i="14" s="1"/>
  <c r="T89" i="14" s="1"/>
  <c r="T90" i="14" s="1"/>
  <c r="T91" i="14" s="1"/>
  <c r="T92" i="14" s="1"/>
  <c r="T93" i="14" s="1"/>
  <c r="T94" i="14" s="1"/>
  <c r="T95" i="14" s="1"/>
  <c r="T96" i="14" s="1"/>
  <c r="T97" i="14" s="1"/>
  <c r="T98" i="14" s="1"/>
  <c r="T99" i="14" s="1"/>
  <c r="T100" i="14" s="1"/>
  <c r="T101" i="14" s="1"/>
  <c r="T102" i="14" s="1"/>
  <c r="T103" i="14" s="1"/>
  <c r="T104" i="14" s="1"/>
  <c r="T105" i="14" s="1"/>
  <c r="T106" i="14" s="1"/>
  <c r="T107" i="14" s="1"/>
  <c r="T108" i="14" s="1"/>
  <c r="T109" i="14" s="1"/>
  <c r="T110" i="14" s="1"/>
  <c r="T111" i="14" s="1"/>
  <c r="T112" i="14" s="1"/>
  <c r="T113" i="14" s="1"/>
  <c r="T114" i="14" s="1"/>
  <c r="T115" i="14" s="1"/>
  <c r="T116" i="14" s="1"/>
  <c r="T117" i="14" s="1"/>
  <c r="T118" i="14" s="1"/>
  <c r="T119" i="14" s="1"/>
  <c r="T120" i="14" s="1"/>
  <c r="T121" i="14" s="1"/>
  <c r="T122" i="14" s="1"/>
  <c r="T123" i="14" s="1"/>
  <c r="T124" i="14" s="1"/>
  <c r="T125" i="14" s="1"/>
  <c r="T27" i="14"/>
  <c r="F27" i="14"/>
  <c r="F28" i="14" s="1"/>
  <c r="F29" i="14" s="1"/>
  <c r="F30" i="14" s="1"/>
  <c r="F31" i="14" s="1"/>
  <c r="F32" i="14" s="1"/>
  <c r="F33" i="14" s="1"/>
  <c r="F34" i="14" s="1"/>
  <c r="F35" i="14" s="1"/>
  <c r="F36" i="14" s="1"/>
  <c r="F37" i="14" s="1"/>
  <c r="F38" i="14" s="1"/>
  <c r="F39" i="14" s="1"/>
  <c r="F40" i="14" s="1"/>
  <c r="F41" i="14" s="1"/>
  <c r="F42" i="14" s="1"/>
  <c r="F43" i="14" s="1"/>
  <c r="F44" i="14" s="1"/>
  <c r="F45" i="14" s="1"/>
  <c r="F46" i="14" s="1"/>
  <c r="F47" i="14" s="1"/>
  <c r="F48" i="14" s="1"/>
  <c r="F49" i="14" s="1"/>
  <c r="F50" i="14" s="1"/>
  <c r="F51" i="14" s="1"/>
  <c r="F52" i="14" s="1"/>
  <c r="F53" i="14" s="1"/>
  <c r="F54" i="14" s="1"/>
  <c r="F55" i="14" s="1"/>
  <c r="F56" i="14" s="1"/>
  <c r="F57" i="14" s="1"/>
  <c r="F58" i="14" s="1"/>
  <c r="F59" i="14" s="1"/>
  <c r="F60" i="14" s="1"/>
  <c r="F61" i="14" s="1"/>
  <c r="F62" i="14" s="1"/>
  <c r="F63" i="14" s="1"/>
  <c r="F64" i="14" s="1"/>
  <c r="F65" i="14" s="1"/>
  <c r="F66" i="14" s="1"/>
  <c r="F67" i="14" s="1"/>
  <c r="F68" i="14" s="1"/>
  <c r="F69" i="14" s="1"/>
  <c r="F70" i="14" s="1"/>
  <c r="F71" i="14" s="1"/>
  <c r="F72" i="14" s="1"/>
  <c r="F73" i="14" s="1"/>
  <c r="F74" i="14" s="1"/>
  <c r="F75" i="14" s="1"/>
  <c r="F76" i="14" s="1"/>
  <c r="F77" i="14" s="1"/>
  <c r="F78" i="14" s="1"/>
  <c r="F79" i="14" s="1"/>
  <c r="F80" i="14" s="1"/>
  <c r="F81" i="14" s="1"/>
  <c r="F82" i="14" s="1"/>
  <c r="F83" i="14" s="1"/>
  <c r="F84" i="14" s="1"/>
  <c r="F85" i="14" s="1"/>
  <c r="F86" i="14" s="1"/>
  <c r="F87" i="14" s="1"/>
  <c r="F88" i="14" s="1"/>
  <c r="F89" i="14" s="1"/>
  <c r="F90" i="14" s="1"/>
  <c r="F91" i="14" s="1"/>
  <c r="F92" i="14" s="1"/>
  <c r="F93" i="14" s="1"/>
  <c r="F94" i="14" s="1"/>
  <c r="F95" i="14" s="1"/>
  <c r="F96" i="14" s="1"/>
  <c r="F97" i="14" s="1"/>
  <c r="F98" i="14" s="1"/>
  <c r="F99" i="14" s="1"/>
  <c r="F100" i="14" s="1"/>
  <c r="F101" i="14" s="1"/>
  <c r="F102" i="14" s="1"/>
  <c r="F103" i="14" s="1"/>
  <c r="F104" i="14" s="1"/>
  <c r="F105" i="14" s="1"/>
  <c r="F106" i="14" s="1"/>
  <c r="F107" i="14" s="1"/>
  <c r="F108" i="14" s="1"/>
  <c r="F109" i="14" s="1"/>
  <c r="F110" i="14" s="1"/>
  <c r="F111" i="14" s="1"/>
  <c r="F112" i="14" s="1"/>
  <c r="BB24" i="14"/>
  <c r="BA24" i="14"/>
  <c r="AZ24" i="14"/>
  <c r="AY24" i="14"/>
  <c r="AX24" i="14"/>
  <c r="AW24" i="14"/>
  <c r="AV24" i="14"/>
  <c r="AU24" i="14"/>
  <c r="AT24" i="14"/>
  <c r="AS24" i="14"/>
  <c r="AR24" i="14"/>
  <c r="AQ24" i="14"/>
  <c r="AP24" i="14"/>
  <c r="AO24" i="14"/>
  <c r="AN24" i="14"/>
  <c r="AM24" i="14"/>
  <c r="AL24" i="14"/>
  <c r="AK24" i="14"/>
  <c r="AJ24" i="14"/>
  <c r="AI24" i="14"/>
  <c r="AH24" i="14"/>
  <c r="AG24" i="14"/>
  <c r="AF24" i="14"/>
  <c r="AE24" i="14"/>
  <c r="BC11" i="14"/>
  <c r="BB10" i="14"/>
  <c r="BA10" i="14"/>
  <c r="AZ10" i="14"/>
  <c r="AY10" i="14"/>
  <c r="AX10" i="14"/>
  <c r="AW10" i="14"/>
  <c r="AV10" i="14"/>
  <c r="AU10" i="14"/>
  <c r="AT10" i="14"/>
  <c r="AS10" i="14"/>
  <c r="AR10" i="14"/>
  <c r="AQ10" i="14"/>
  <c r="AP10" i="14"/>
  <c r="AO10" i="14"/>
  <c r="AN10" i="14"/>
  <c r="AM10" i="14"/>
  <c r="AL10" i="14"/>
  <c r="AK10" i="14"/>
  <c r="AJ10" i="14"/>
  <c r="AI10" i="14"/>
  <c r="AH10" i="14"/>
  <c r="AG10" i="14"/>
  <c r="AF10" i="14"/>
  <c r="AE10" i="14"/>
  <c r="BB9" i="14"/>
  <c r="BA9" i="14"/>
  <c r="AZ9" i="14"/>
  <c r="AY9" i="14"/>
  <c r="AX9" i="14"/>
  <c r="AW9" i="14"/>
  <c r="AV9" i="14"/>
  <c r="AU9" i="14"/>
  <c r="AT9" i="14"/>
  <c r="AS9" i="14"/>
  <c r="AR9" i="14"/>
  <c r="AQ9" i="14"/>
  <c r="AP9" i="14"/>
  <c r="AO9" i="14"/>
  <c r="AN9" i="14"/>
  <c r="AM9" i="14"/>
  <c r="AL9" i="14"/>
  <c r="AK9" i="14"/>
  <c r="AJ9" i="14"/>
  <c r="AI9" i="14"/>
  <c r="AH9" i="14"/>
  <c r="AG9" i="14"/>
  <c r="AF9" i="14"/>
  <c r="AE9" i="14"/>
  <c r="BB7" i="14"/>
  <c r="BA7" i="14"/>
  <c r="AZ7" i="14"/>
  <c r="AY7" i="14"/>
  <c r="AX7" i="14"/>
  <c r="AW7" i="14"/>
  <c r="AV7" i="14"/>
  <c r="AU7" i="14"/>
  <c r="AT7" i="14"/>
  <c r="AS7" i="14"/>
  <c r="AR7" i="14"/>
  <c r="AQ7" i="14"/>
  <c r="AP7" i="14"/>
  <c r="AO7" i="14"/>
  <c r="AN7" i="14"/>
  <c r="AM7" i="14"/>
  <c r="AL7" i="14"/>
  <c r="AK7" i="14"/>
  <c r="AJ7" i="14"/>
  <c r="AI7" i="14"/>
  <c r="AH7" i="14"/>
  <c r="AG7" i="14"/>
  <c r="AF7" i="14"/>
  <c r="AE7" i="14"/>
  <c r="BB6" i="14"/>
  <c r="BA6" i="14"/>
  <c r="AZ6" i="14"/>
  <c r="AY6" i="14"/>
  <c r="AX6" i="14"/>
  <c r="AW6" i="14"/>
  <c r="AV6" i="14"/>
  <c r="AU6" i="14"/>
  <c r="AT6" i="14"/>
  <c r="AS6" i="14"/>
  <c r="AR6" i="14"/>
  <c r="AQ6" i="14"/>
  <c r="AP6" i="14"/>
  <c r="AO6" i="14"/>
  <c r="AN6" i="14"/>
  <c r="AM6" i="14"/>
  <c r="AL6" i="14"/>
  <c r="AK6" i="14"/>
  <c r="AJ6" i="14"/>
  <c r="AI6" i="14"/>
  <c r="AH6" i="14"/>
  <c r="AG6" i="14"/>
  <c r="AF6" i="14"/>
  <c r="AE6" i="14"/>
  <c r="T60" i="13"/>
  <c r="BH54" i="13"/>
  <c r="BH53" i="13"/>
  <c r="AR53" i="13"/>
  <c r="AQ53" i="13"/>
  <c r="AP53" i="13"/>
  <c r="AO53" i="13"/>
  <c r="AN53" i="13"/>
  <c r="AM53" i="13"/>
  <c r="AL53" i="13"/>
  <c r="AK53" i="13"/>
  <c r="AJ53" i="13"/>
  <c r="AI53" i="13"/>
  <c r="AG53" i="13"/>
  <c r="AF53" i="13"/>
  <c r="BH52" i="13"/>
  <c r="BB52" i="13"/>
  <c r="BB50" i="13" s="1"/>
  <c r="BB40" i="13" s="1"/>
  <c r="BA52" i="13"/>
  <c r="AZ52" i="13"/>
  <c r="AZ50" i="13" s="1"/>
  <c r="AZ40" i="13" s="1"/>
  <c r="AY52" i="13"/>
  <c r="AX52" i="13"/>
  <c r="AX50" i="13" s="1"/>
  <c r="AX40" i="13" s="1"/>
  <c r="AW52" i="13"/>
  <c r="AV52" i="13"/>
  <c r="AU52" i="13"/>
  <c r="AT52" i="13"/>
  <c r="AS52" i="13"/>
  <c r="AH52" i="13"/>
  <c r="AE52" i="13"/>
  <c r="AB52" i="13"/>
  <c r="AB53" i="13" s="1"/>
  <c r="H52" i="13"/>
  <c r="H54" i="13" s="1"/>
  <c r="BF51" i="13"/>
  <c r="BA50" i="13"/>
  <c r="AY50" i="13"/>
  <c r="AW50" i="13"/>
  <c r="AV50" i="13"/>
  <c r="AU50" i="13"/>
  <c r="AT50" i="13"/>
  <c r="AS50" i="13"/>
  <c r="AR50" i="13"/>
  <c r="AQ50" i="13"/>
  <c r="AP50" i="13"/>
  <c r="AO50" i="13"/>
  <c r="AN50" i="13"/>
  <c r="AM50" i="13"/>
  <c r="AL50" i="13"/>
  <c r="AK50" i="13"/>
  <c r="AJ50" i="13"/>
  <c r="AI50" i="13"/>
  <c r="AH50" i="13"/>
  <c r="AG50" i="13"/>
  <c r="AF50" i="13"/>
  <c r="AE50" i="13"/>
  <c r="BF49" i="13"/>
  <c r="BH48" i="13"/>
  <c r="BH47" i="13"/>
  <c r="AR47" i="13"/>
  <c r="AQ47" i="13"/>
  <c r="AP47" i="13"/>
  <c r="AO47" i="13"/>
  <c r="AN47" i="13"/>
  <c r="AM47" i="13"/>
  <c r="AL47" i="13"/>
  <c r="AK47" i="13"/>
  <c r="AJ47" i="13"/>
  <c r="AI47" i="13"/>
  <c r="AG47" i="13"/>
  <c r="AF47" i="13"/>
  <c r="BH46" i="13"/>
  <c r="BB46" i="13"/>
  <c r="BA46" i="13"/>
  <c r="AZ46" i="13"/>
  <c r="AY46" i="13"/>
  <c r="AX46" i="13"/>
  <c r="AW46" i="13"/>
  <c r="AV46" i="13"/>
  <c r="AU46" i="13"/>
  <c r="AT46" i="13"/>
  <c r="AS46" i="13"/>
  <c r="AH46" i="13"/>
  <c r="AE46" i="13"/>
  <c r="AB46" i="13"/>
  <c r="AB47" i="13" s="1"/>
  <c r="H46" i="13"/>
  <c r="H48" i="13" s="1"/>
  <c r="AB45" i="13"/>
  <c r="H45" i="13"/>
  <c r="AR44" i="13"/>
  <c r="AQ44" i="13"/>
  <c r="AP44" i="13"/>
  <c r="AO44" i="13"/>
  <c r="AN44" i="13"/>
  <c r="AM44" i="13"/>
  <c r="AL44" i="13"/>
  <c r="AK44" i="13"/>
  <c r="AJ44" i="13"/>
  <c r="AI44" i="13"/>
  <c r="AG44" i="13"/>
  <c r="AF44" i="13"/>
  <c r="AB44" i="13"/>
  <c r="H44" i="13"/>
  <c r="BH43" i="13"/>
  <c r="BH44" i="13" s="1"/>
  <c r="BB43" i="13"/>
  <c r="BA43" i="13"/>
  <c r="BA41" i="13" s="1"/>
  <c r="BA40" i="13" s="1"/>
  <c r="AZ43" i="13"/>
  <c r="AY43" i="13"/>
  <c r="AY41" i="13" s="1"/>
  <c r="AY40" i="13" s="1"/>
  <c r="AX43" i="13"/>
  <c r="AW43" i="13"/>
  <c r="AW41" i="13" s="1"/>
  <c r="AW40" i="13" s="1"/>
  <c r="AV43" i="13"/>
  <c r="AU43" i="13"/>
  <c r="AU41" i="13" s="1"/>
  <c r="AU40" i="13" s="1"/>
  <c r="AT43" i="13"/>
  <c r="AS43" i="13"/>
  <c r="AS41" i="13" s="1"/>
  <c r="AS40" i="13" s="1"/>
  <c r="AH43" i="13"/>
  <c r="AE43" i="13"/>
  <c r="AB43" i="13"/>
  <c r="H43" i="13"/>
  <c r="BF42" i="13"/>
  <c r="BB41" i="13"/>
  <c r="AZ41" i="13"/>
  <c r="AX41" i="13"/>
  <c r="AV41" i="13"/>
  <c r="AT41" i="13"/>
  <c r="AR41" i="13"/>
  <c r="AQ41" i="13"/>
  <c r="AP41" i="13"/>
  <c r="AO41" i="13"/>
  <c r="AN41" i="13"/>
  <c r="AM41" i="13"/>
  <c r="AL41" i="13"/>
  <c r="AK41" i="13"/>
  <c r="AJ41" i="13"/>
  <c r="AI41" i="13"/>
  <c r="AH41" i="13"/>
  <c r="AG41" i="13"/>
  <c r="AF41" i="13"/>
  <c r="AF40" i="13" s="1"/>
  <c r="AE41" i="13"/>
  <c r="AV40" i="13"/>
  <c r="AT40" i="13"/>
  <c r="AR40" i="13"/>
  <c r="AQ40" i="13"/>
  <c r="AP40" i="13"/>
  <c r="AO40" i="13"/>
  <c r="AN40" i="13"/>
  <c r="AM40" i="13"/>
  <c r="AL40" i="13"/>
  <c r="AK40" i="13"/>
  <c r="AJ40" i="13"/>
  <c r="AI40" i="13"/>
  <c r="AH40" i="13"/>
  <c r="AG40" i="13"/>
  <c r="AE40" i="13"/>
  <c r="T40" i="13"/>
  <c r="T41" i="13" s="1"/>
  <c r="F40" i="13"/>
  <c r="F41" i="13" s="1"/>
  <c r="F42" i="13" s="1"/>
  <c r="BH38" i="13"/>
  <c r="BH37" i="13"/>
  <c r="AR37" i="13"/>
  <c r="AQ37" i="13"/>
  <c r="AP37" i="13"/>
  <c r="AO37" i="13"/>
  <c r="AN37" i="13"/>
  <c r="AM37" i="13"/>
  <c r="AL37" i="13"/>
  <c r="AK37" i="13"/>
  <c r="AJ37" i="13"/>
  <c r="AI37" i="13"/>
  <c r="AG37" i="13"/>
  <c r="AF37" i="13"/>
  <c r="BH36" i="13"/>
  <c r="BB36" i="13"/>
  <c r="BB34" i="13" s="1"/>
  <c r="BA36" i="13"/>
  <c r="AZ36" i="13"/>
  <c r="AZ34" i="13" s="1"/>
  <c r="AY36" i="13"/>
  <c r="AX36" i="13"/>
  <c r="AX34" i="13" s="1"/>
  <c r="AW36" i="13"/>
  <c r="AV36" i="13"/>
  <c r="AV34" i="13" s="1"/>
  <c r="AU36" i="13"/>
  <c r="AT36" i="13"/>
  <c r="AT34" i="13" s="1"/>
  <c r="AS36" i="13"/>
  <c r="AH36" i="13"/>
  <c r="AH34" i="13" s="1"/>
  <c r="AE36" i="13"/>
  <c r="AB36" i="13"/>
  <c r="AB37" i="13" s="1"/>
  <c r="H36" i="13"/>
  <c r="H38" i="13" s="1"/>
  <c r="BF35" i="13"/>
  <c r="BA34" i="13"/>
  <c r="AY34" i="13"/>
  <c r="AW34" i="13"/>
  <c r="AU34" i="13"/>
  <c r="AS34" i="13"/>
  <c r="AR34" i="13"/>
  <c r="AQ34" i="13"/>
  <c r="AP34" i="13"/>
  <c r="AO34" i="13"/>
  <c r="AN34" i="13"/>
  <c r="AM34" i="13"/>
  <c r="AL34" i="13"/>
  <c r="AK34" i="13"/>
  <c r="AJ34" i="13"/>
  <c r="AI34" i="13"/>
  <c r="AG34" i="13"/>
  <c r="AF34" i="13"/>
  <c r="AE34" i="13"/>
  <c r="BF33" i="13"/>
  <c r="BH32" i="13"/>
  <c r="BH31" i="13"/>
  <c r="AR31" i="13"/>
  <c r="AQ31" i="13"/>
  <c r="AP31" i="13"/>
  <c r="AO31" i="13"/>
  <c r="AN31" i="13"/>
  <c r="AM31" i="13"/>
  <c r="AL31" i="13"/>
  <c r="AK31" i="13"/>
  <c r="AJ31" i="13"/>
  <c r="AI31" i="13"/>
  <c r="AG31" i="13"/>
  <c r="AF31" i="13"/>
  <c r="BH30" i="13"/>
  <c r="BB30" i="13"/>
  <c r="BB28" i="13" s="1"/>
  <c r="BB27" i="13" s="1"/>
  <c r="BA30" i="13"/>
  <c r="AZ30" i="13"/>
  <c r="AZ28" i="13" s="1"/>
  <c r="AZ27" i="13" s="1"/>
  <c r="AY30" i="13"/>
  <c r="AX30" i="13"/>
  <c r="AX28" i="13" s="1"/>
  <c r="AX27" i="13" s="1"/>
  <c r="AW30" i="13"/>
  <c r="AV30" i="13"/>
  <c r="AV28" i="13" s="1"/>
  <c r="AV27" i="13" s="1"/>
  <c r="AU30" i="13"/>
  <c r="AT30" i="13"/>
  <c r="AT28" i="13" s="1"/>
  <c r="AT27" i="13" s="1"/>
  <c r="AS30" i="13"/>
  <c r="AH30" i="13"/>
  <c r="AH28" i="13" s="1"/>
  <c r="AH27" i="13" s="1"/>
  <c r="AE30" i="13"/>
  <c r="AB30" i="13"/>
  <c r="AB31" i="13" s="1"/>
  <c r="H30" i="13"/>
  <c r="H32" i="13" s="1"/>
  <c r="BF29" i="13"/>
  <c r="BA28" i="13"/>
  <c r="AY28" i="13"/>
  <c r="AW28" i="13"/>
  <c r="AU28" i="13"/>
  <c r="AS28" i="13"/>
  <c r="AR28" i="13"/>
  <c r="AQ28" i="13"/>
  <c r="AP28" i="13"/>
  <c r="AO28" i="13"/>
  <c r="AN28" i="13"/>
  <c r="AM28" i="13"/>
  <c r="AL28" i="13"/>
  <c r="AK28" i="13"/>
  <c r="AJ28" i="13"/>
  <c r="AJ27" i="13" s="1"/>
  <c r="AI28" i="13"/>
  <c r="AG28" i="13"/>
  <c r="AF28" i="13"/>
  <c r="AF27" i="13" s="1"/>
  <c r="AE28" i="13"/>
  <c r="F28" i="13"/>
  <c r="F29" i="13" s="1"/>
  <c r="BA27" i="13"/>
  <c r="AY27" i="13"/>
  <c r="AW27" i="13"/>
  <c r="AU27" i="13"/>
  <c r="AS27" i="13"/>
  <c r="AR27" i="13"/>
  <c r="AQ27" i="13"/>
  <c r="AP27" i="13"/>
  <c r="AO27" i="13"/>
  <c r="AN27" i="13"/>
  <c r="AM27" i="13"/>
  <c r="AL27" i="13"/>
  <c r="AK27" i="13"/>
  <c r="AI27" i="13"/>
  <c r="AG27" i="13"/>
  <c r="AE27" i="13"/>
  <c r="T27" i="13"/>
  <c r="T28" i="13" s="1"/>
  <c r="F27" i="13"/>
  <c r="BB24" i="13"/>
  <c r="BA24" i="13"/>
  <c r="AZ24" i="13"/>
  <c r="AY24" i="13"/>
  <c r="AX24" i="13"/>
  <c r="AW24" i="13"/>
  <c r="AV24" i="13"/>
  <c r="AU24" i="13"/>
  <c r="AT24" i="13"/>
  <c r="AS24" i="13"/>
  <c r="AR24" i="13"/>
  <c r="AQ24" i="13"/>
  <c r="AP24" i="13"/>
  <c r="AO24" i="13"/>
  <c r="AN24" i="13"/>
  <c r="AM24" i="13"/>
  <c r="AL24" i="13"/>
  <c r="AK24" i="13"/>
  <c r="AJ24" i="13"/>
  <c r="AI24" i="13"/>
  <c r="AH24" i="13"/>
  <c r="AG24" i="13"/>
  <c r="AF24" i="13"/>
  <c r="AE24" i="13"/>
  <c r="BC11" i="13"/>
  <c r="BB10" i="13"/>
  <c r="BA10" i="13"/>
  <c r="AZ10" i="13"/>
  <c r="AY10" i="13"/>
  <c r="AX10" i="13"/>
  <c r="AW10" i="13"/>
  <c r="AV10" i="13"/>
  <c r="AU10" i="13"/>
  <c r="AT10" i="13"/>
  <c r="AS10" i="13"/>
  <c r="AR10" i="13"/>
  <c r="AQ10" i="13"/>
  <c r="AP10" i="13"/>
  <c r="AO10" i="13"/>
  <c r="AN10" i="13"/>
  <c r="AM10" i="13"/>
  <c r="AL10" i="13"/>
  <c r="AK10" i="13"/>
  <c r="AJ10" i="13"/>
  <c r="AI10" i="13"/>
  <c r="AH10" i="13"/>
  <c r="AG10" i="13"/>
  <c r="AF10" i="13"/>
  <c r="AE10" i="13"/>
  <c r="BB9" i="13"/>
  <c r="BA9" i="13"/>
  <c r="AZ9" i="13"/>
  <c r="AY9" i="13"/>
  <c r="AX9" i="13"/>
  <c r="AW9" i="13"/>
  <c r="AV9" i="13"/>
  <c r="AU9" i="13"/>
  <c r="AT9" i="13"/>
  <c r="AS9" i="13"/>
  <c r="AR9" i="13"/>
  <c r="AQ9" i="13"/>
  <c r="AP9" i="13"/>
  <c r="AO9" i="13"/>
  <c r="AN9" i="13"/>
  <c r="AM9" i="13"/>
  <c r="AL9" i="13"/>
  <c r="AK9" i="13"/>
  <c r="AJ9" i="13"/>
  <c r="AI9" i="13"/>
  <c r="AH9" i="13"/>
  <c r="AG9" i="13"/>
  <c r="AF9" i="13"/>
  <c r="AE9" i="13"/>
  <c r="BB7" i="13"/>
  <c r="BA7" i="13"/>
  <c r="AZ7" i="13"/>
  <c r="AY7" i="13"/>
  <c r="AX7" i="13"/>
  <c r="AW7" i="13"/>
  <c r="AV7" i="13"/>
  <c r="AU7" i="13"/>
  <c r="AT7" i="13"/>
  <c r="AS7" i="13"/>
  <c r="AR7" i="13"/>
  <c r="AQ7" i="13"/>
  <c r="AP7" i="13"/>
  <c r="AO7" i="13"/>
  <c r="AN7" i="13"/>
  <c r="AM7" i="13"/>
  <c r="AL7" i="13"/>
  <c r="AK7" i="13"/>
  <c r="AJ7" i="13"/>
  <c r="AI7" i="13"/>
  <c r="AH7" i="13"/>
  <c r="AG7" i="13"/>
  <c r="AF7" i="13"/>
  <c r="AE7" i="13"/>
  <c r="BB6" i="13"/>
  <c r="BA6" i="13"/>
  <c r="AZ6" i="13"/>
  <c r="AY6" i="13"/>
  <c r="AX6" i="13"/>
  <c r="AW6" i="13"/>
  <c r="AV6" i="13"/>
  <c r="AU6" i="13"/>
  <c r="AT6" i="13"/>
  <c r="AS6" i="13"/>
  <c r="AR6" i="13"/>
  <c r="AQ6" i="13"/>
  <c r="AP6" i="13"/>
  <c r="AO6" i="13"/>
  <c r="AN6" i="13"/>
  <c r="AM6" i="13"/>
  <c r="AL6" i="13"/>
  <c r="AK6" i="13"/>
  <c r="AJ6" i="13"/>
  <c r="AI6" i="13"/>
  <c r="AH6" i="13"/>
  <c r="AG6" i="13"/>
  <c r="AF6" i="13"/>
  <c r="AE6" i="13"/>
  <c r="T113" i="12"/>
  <c r="AR103" i="12"/>
  <c r="AQ103" i="12"/>
  <c r="AP103" i="12"/>
  <c r="AO103" i="12"/>
  <c r="AN103" i="12"/>
  <c r="AM103" i="12"/>
  <c r="AL103" i="12"/>
  <c r="AK103" i="12"/>
  <c r="AJ103" i="12"/>
  <c r="AI103" i="12"/>
  <c r="AG103" i="12"/>
  <c r="AF103" i="12"/>
  <c r="BH101" i="12"/>
  <c r="BH102" i="12" s="1"/>
  <c r="BB101" i="12"/>
  <c r="BA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B101" i="12"/>
  <c r="AB104" i="12" s="1"/>
  <c r="AB105" i="12" s="1"/>
  <c r="H101" i="12"/>
  <c r="H107" i="12" s="1"/>
  <c r="AR96" i="12"/>
  <c r="AQ96" i="12"/>
  <c r="AP96" i="12"/>
  <c r="AO96" i="12"/>
  <c r="AN96" i="12"/>
  <c r="AM96" i="12"/>
  <c r="AL96" i="12"/>
  <c r="AK96" i="12"/>
  <c r="AJ96" i="12"/>
  <c r="AI96" i="12"/>
  <c r="AG96" i="12"/>
  <c r="AF96" i="12"/>
  <c r="BH94" i="12"/>
  <c r="BH95" i="12" s="1"/>
  <c r="BB94" i="12"/>
  <c r="BA94" i="12"/>
  <c r="AZ94" i="12"/>
  <c r="AY94" i="12"/>
  <c r="AX94" i="12"/>
  <c r="AW94" i="12"/>
  <c r="AV94" i="12"/>
  <c r="AU94" i="12"/>
  <c r="AT94" i="12"/>
  <c r="AS94" i="12"/>
  <c r="AH94" i="12"/>
  <c r="AE94" i="12"/>
  <c r="AB94" i="12"/>
  <c r="AB97" i="12" s="1"/>
  <c r="H94" i="12"/>
  <c r="H96" i="12" s="1"/>
  <c r="BB90" i="12"/>
  <c r="BB91" i="12" s="1"/>
  <c r="BA90" i="12"/>
  <c r="BA91" i="12" s="1"/>
  <c r="AZ90" i="12"/>
  <c r="AZ91" i="12" s="1"/>
  <c r="AY90" i="12"/>
  <c r="AY91" i="12" s="1"/>
  <c r="AX90" i="12"/>
  <c r="AX91" i="12" s="1"/>
  <c r="AW90" i="12"/>
  <c r="AW91" i="12" s="1"/>
  <c r="AV90" i="12"/>
  <c r="AV91" i="12" s="1"/>
  <c r="AU90" i="12"/>
  <c r="AU91" i="12" s="1"/>
  <c r="AT90" i="12"/>
  <c r="AT91" i="12" s="1"/>
  <c r="AS90" i="12"/>
  <c r="AS91" i="12" s="1"/>
  <c r="AR90" i="12"/>
  <c r="AR91" i="12" s="1"/>
  <c r="AQ90" i="12"/>
  <c r="AQ91" i="12" s="1"/>
  <c r="AP90" i="12"/>
  <c r="AP91" i="12" s="1"/>
  <c r="AO90" i="12"/>
  <c r="AO91" i="12" s="1"/>
  <c r="AN90" i="12"/>
  <c r="AN91" i="12" s="1"/>
  <c r="AM90" i="12"/>
  <c r="AM91" i="12" s="1"/>
  <c r="AL90" i="12"/>
  <c r="AL91" i="12" s="1"/>
  <c r="AK90" i="12"/>
  <c r="AK91" i="12" s="1"/>
  <c r="AJ90" i="12"/>
  <c r="AJ91" i="12" s="1"/>
  <c r="AI90" i="12"/>
  <c r="AI91" i="12" s="1"/>
  <c r="AH90" i="12"/>
  <c r="AH91" i="12" s="1"/>
  <c r="AG90" i="12"/>
  <c r="AG91" i="12" s="1"/>
  <c r="AF90" i="12"/>
  <c r="AF91" i="12" s="1"/>
  <c r="AE90" i="12"/>
  <c r="AE91" i="12" s="1"/>
  <c r="BB89" i="12"/>
  <c r="BA89" i="12"/>
  <c r="AZ89" i="12"/>
  <c r="AY89" i="12"/>
  <c r="AX89" i="12"/>
  <c r="AW89" i="12"/>
  <c r="AV89" i="12"/>
  <c r="AU89" i="12"/>
  <c r="AT89" i="12"/>
  <c r="AS89" i="12"/>
  <c r="AR89" i="12"/>
  <c r="AQ89" i="12"/>
  <c r="AP89" i="12"/>
  <c r="AO89" i="12"/>
  <c r="AN89" i="12"/>
  <c r="AM89" i="12"/>
  <c r="AL89" i="12"/>
  <c r="AK89" i="12"/>
  <c r="AJ89" i="12"/>
  <c r="AI89" i="12"/>
  <c r="AH89" i="12"/>
  <c r="AG89" i="12"/>
  <c r="AF89" i="12"/>
  <c r="AE89" i="12"/>
  <c r="BB88" i="12"/>
  <c r="BA88" i="12"/>
  <c r="AZ88" i="12"/>
  <c r="AY88" i="12"/>
  <c r="AX88" i="12"/>
  <c r="AW88" i="12"/>
  <c r="AV88" i="12"/>
  <c r="AU88" i="12"/>
  <c r="AT88" i="12"/>
  <c r="AS88" i="12"/>
  <c r="AR88" i="12"/>
  <c r="AQ88" i="12"/>
  <c r="AP88" i="12"/>
  <c r="AO88" i="12"/>
  <c r="AN88" i="12"/>
  <c r="AM88" i="12"/>
  <c r="AL88" i="12"/>
  <c r="AK88" i="12"/>
  <c r="AJ88" i="12"/>
  <c r="AI88" i="12"/>
  <c r="AH88" i="12"/>
  <c r="AG88" i="12"/>
  <c r="AF88" i="12"/>
  <c r="AE88" i="12"/>
  <c r="BH82" i="12"/>
  <c r="BH83" i="12" s="1"/>
  <c r="BH84" i="12" s="1"/>
  <c r="BH85" i="12" s="1"/>
  <c r="BH81" i="12"/>
  <c r="AR81" i="12"/>
  <c r="AQ81" i="12"/>
  <c r="AP81" i="12"/>
  <c r="AO81" i="12"/>
  <c r="AN81" i="12"/>
  <c r="AM81" i="12"/>
  <c r="AL81" i="12"/>
  <c r="AK81" i="12"/>
  <c r="AJ81" i="12"/>
  <c r="AI81" i="12"/>
  <c r="AG81" i="12"/>
  <c r="AF81" i="12"/>
  <c r="BH80" i="12"/>
  <c r="BB80" i="12"/>
  <c r="BA80" i="12"/>
  <c r="AZ80" i="12"/>
  <c r="AY80" i="12"/>
  <c r="AX80" i="12"/>
  <c r="AW80" i="12"/>
  <c r="AV80" i="12"/>
  <c r="AU80" i="12"/>
  <c r="AT80" i="12"/>
  <c r="AS80" i="12"/>
  <c r="AR80" i="12"/>
  <c r="AQ80" i="12"/>
  <c r="AP80" i="12"/>
  <c r="AO80" i="12"/>
  <c r="AN80" i="12"/>
  <c r="AM80" i="12"/>
  <c r="AL80" i="12"/>
  <c r="AK80" i="12"/>
  <c r="AJ80" i="12"/>
  <c r="AI80" i="12"/>
  <c r="AH80" i="12"/>
  <c r="AG80" i="12"/>
  <c r="AF80" i="12"/>
  <c r="AE80" i="12"/>
  <c r="AB80" i="12"/>
  <c r="AB84" i="12" s="1"/>
  <c r="H80" i="12"/>
  <c r="H81" i="12" s="1"/>
  <c r="BH77" i="12"/>
  <c r="BH76" i="12"/>
  <c r="AR76" i="12"/>
  <c r="AQ76" i="12"/>
  <c r="AP76" i="12"/>
  <c r="AO76" i="12"/>
  <c r="AN76" i="12"/>
  <c r="AM76" i="12"/>
  <c r="AL76" i="12"/>
  <c r="AK76" i="12"/>
  <c r="AJ76" i="12"/>
  <c r="AI76" i="12"/>
  <c r="AG76" i="12"/>
  <c r="AF76" i="12"/>
  <c r="BH75" i="12"/>
  <c r="BB75" i="12"/>
  <c r="BA75" i="12"/>
  <c r="AZ75" i="12"/>
  <c r="AY75" i="12"/>
  <c r="AX75" i="12"/>
  <c r="AW75" i="12"/>
  <c r="AV75" i="12"/>
  <c r="AU75" i="12"/>
  <c r="AT75" i="12"/>
  <c r="AS75" i="12"/>
  <c r="AH75" i="12"/>
  <c r="AE75" i="12"/>
  <c r="AB75" i="12"/>
  <c r="AB77" i="12" s="1"/>
  <c r="H75" i="12"/>
  <c r="H76" i="12" s="1"/>
  <c r="BB70" i="12"/>
  <c r="BB72" i="12" s="1"/>
  <c r="BA70" i="12"/>
  <c r="BA72" i="12" s="1"/>
  <c r="AZ70" i="12"/>
  <c r="AZ72" i="12" s="1"/>
  <c r="AY70" i="12"/>
  <c r="AY72" i="12" s="1"/>
  <c r="AX70" i="12"/>
  <c r="AX72" i="12" s="1"/>
  <c r="AW70" i="12"/>
  <c r="AW72" i="12" s="1"/>
  <c r="AV70" i="12"/>
  <c r="AV72" i="12" s="1"/>
  <c r="AU70" i="12"/>
  <c r="AU72" i="12" s="1"/>
  <c r="AT70" i="12"/>
  <c r="AT72" i="12" s="1"/>
  <c r="AS70" i="12"/>
  <c r="AS72" i="12" s="1"/>
  <c r="AR70" i="12"/>
  <c r="AR72" i="12" s="1"/>
  <c r="AQ70" i="12"/>
  <c r="AQ72" i="12" s="1"/>
  <c r="AP70" i="12"/>
  <c r="AP72" i="12" s="1"/>
  <c r="AO70" i="12"/>
  <c r="AO72" i="12" s="1"/>
  <c r="AN70" i="12"/>
  <c r="AN72" i="12" s="1"/>
  <c r="AM70" i="12"/>
  <c r="AM72" i="12" s="1"/>
  <c r="AL70" i="12"/>
  <c r="AL72" i="12" s="1"/>
  <c r="AK70" i="12"/>
  <c r="AK72" i="12" s="1"/>
  <c r="AJ70" i="12"/>
  <c r="AJ72" i="12" s="1"/>
  <c r="AI70" i="12"/>
  <c r="AI72" i="12" s="1"/>
  <c r="AH70" i="12"/>
  <c r="AH72" i="12" s="1"/>
  <c r="AG70" i="12"/>
  <c r="AG72" i="12" s="1"/>
  <c r="AF70" i="12"/>
  <c r="AF72" i="12" s="1"/>
  <c r="AE70" i="12"/>
  <c r="AE72" i="12" s="1"/>
  <c r="BB69" i="12"/>
  <c r="BA69" i="12"/>
  <c r="AZ69" i="12"/>
  <c r="AY69" i="12"/>
  <c r="AX69" i="12"/>
  <c r="AW69" i="12"/>
  <c r="AV69" i="12"/>
  <c r="AU69" i="12"/>
  <c r="AT69" i="12"/>
  <c r="AS69" i="12"/>
  <c r="AR69" i="12"/>
  <c r="AQ69" i="12"/>
  <c r="AP69" i="12"/>
  <c r="AO69" i="12"/>
  <c r="AN69" i="12"/>
  <c r="AM69" i="12"/>
  <c r="AL69" i="12"/>
  <c r="AK69" i="12"/>
  <c r="AJ69" i="12"/>
  <c r="AI69" i="12"/>
  <c r="AH69" i="12"/>
  <c r="AG69" i="12"/>
  <c r="AG68" i="12" s="1"/>
  <c r="AF69" i="12"/>
  <c r="AE69" i="12"/>
  <c r="BB68" i="12"/>
  <c r="BA68" i="12"/>
  <c r="AZ68" i="12"/>
  <c r="AY68" i="12"/>
  <c r="AX68" i="12"/>
  <c r="AW68" i="12"/>
  <c r="AV68" i="12"/>
  <c r="AU68" i="12"/>
  <c r="AT68" i="12"/>
  <c r="AS68" i="12"/>
  <c r="AR68" i="12"/>
  <c r="AQ68" i="12"/>
  <c r="AP68" i="12"/>
  <c r="AO68" i="12"/>
  <c r="AN68" i="12"/>
  <c r="AM68" i="12"/>
  <c r="AL68" i="12"/>
  <c r="AK68" i="12"/>
  <c r="AJ68" i="12"/>
  <c r="AI68" i="12"/>
  <c r="AH68" i="12"/>
  <c r="AF68" i="12"/>
  <c r="AE68" i="12"/>
  <c r="T68" i="12"/>
  <c r="T69" i="12" s="1"/>
  <c r="T70" i="12" s="1"/>
  <c r="T71" i="12" s="1"/>
  <c r="T72" i="12" s="1"/>
  <c r="T73" i="12" s="1"/>
  <c r="T74" i="12" s="1"/>
  <c r="F68" i="12"/>
  <c r="F69" i="12" s="1"/>
  <c r="F70" i="12" s="1"/>
  <c r="F71" i="12" s="1"/>
  <c r="AR62" i="12"/>
  <c r="AQ62" i="12"/>
  <c r="AP62" i="12"/>
  <c r="AO62" i="12"/>
  <c r="AN62" i="12"/>
  <c r="AM62" i="12"/>
  <c r="AL62" i="12"/>
  <c r="AK62" i="12"/>
  <c r="AJ62" i="12"/>
  <c r="AI62" i="12"/>
  <c r="AG62" i="12"/>
  <c r="AF62" i="12"/>
  <c r="BH60" i="12"/>
  <c r="BH61" i="12" s="1"/>
  <c r="BB60" i="12"/>
  <c r="BC42" i="22" s="1"/>
  <c r="BA60" i="12"/>
  <c r="BB42" i="22" s="1"/>
  <c r="BM42" i="22" s="1"/>
  <c r="AZ60" i="12"/>
  <c r="BA42" i="22" s="1"/>
  <c r="BL42" i="22" s="1"/>
  <c r="AY60" i="12"/>
  <c r="AZ42" i="22" s="1"/>
  <c r="BK42" i="22" s="1"/>
  <c r="AX60" i="12"/>
  <c r="AY42" i="22" s="1"/>
  <c r="BJ42" i="22" s="1"/>
  <c r="AW60" i="12"/>
  <c r="AX42" i="22" s="1"/>
  <c r="BI42" i="22" s="1"/>
  <c r="AV60" i="12"/>
  <c r="AW42" i="22" s="1"/>
  <c r="BH42" i="22" s="1"/>
  <c r="AU60" i="12"/>
  <c r="AV42" i="22" s="1"/>
  <c r="BG42" i="22" s="1"/>
  <c r="AT60" i="12"/>
  <c r="AU42" i="22" s="1"/>
  <c r="BF42" i="22" s="1"/>
  <c r="AS60" i="12"/>
  <c r="AT42" i="22" s="1"/>
  <c r="BE42" i="22" s="1"/>
  <c r="AR60" i="12"/>
  <c r="AS42" i="22" s="1"/>
  <c r="AQ60" i="12"/>
  <c r="AR42" i="22" s="1"/>
  <c r="AP60" i="12"/>
  <c r="AQ42" i="22" s="1"/>
  <c r="AO60" i="12"/>
  <c r="AP42" i="22" s="1"/>
  <c r="AN60" i="12"/>
  <c r="AO42" i="22" s="1"/>
  <c r="AM60" i="12"/>
  <c r="AN42" i="22" s="1"/>
  <c r="AL60" i="12"/>
  <c r="AM42" i="22" s="1"/>
  <c r="AK60" i="12"/>
  <c r="AL42" i="22" s="1"/>
  <c r="AJ60" i="12"/>
  <c r="AK42" i="22" s="1"/>
  <c r="AI60" i="12"/>
  <c r="AJ42" i="22" s="1"/>
  <c r="AH60" i="12"/>
  <c r="AI42" i="22" s="1"/>
  <c r="BD42" i="22" s="1"/>
  <c r="AG60" i="12"/>
  <c r="AF60" i="12"/>
  <c r="AE60" i="12"/>
  <c r="AB60" i="12"/>
  <c r="AB65" i="12" s="1"/>
  <c r="AB66" i="12" s="1"/>
  <c r="H60" i="12"/>
  <c r="H66" i="12" s="1"/>
  <c r="AR55" i="12"/>
  <c r="AQ55" i="12"/>
  <c r="AP55" i="12"/>
  <c r="AO55" i="12"/>
  <c r="AN55" i="12"/>
  <c r="AM55" i="12"/>
  <c r="AL55" i="12"/>
  <c r="AK55" i="12"/>
  <c r="AJ55" i="12"/>
  <c r="AI55" i="12"/>
  <c r="AG55" i="12"/>
  <c r="AF55" i="12"/>
  <c r="BH53" i="12"/>
  <c r="BH54" i="12" s="1"/>
  <c r="BB53" i="12"/>
  <c r="BA53" i="12"/>
  <c r="AZ53" i="12"/>
  <c r="AY53" i="12"/>
  <c r="AX53" i="12"/>
  <c r="AW53" i="12"/>
  <c r="AV53" i="12"/>
  <c r="AU53" i="12"/>
  <c r="AT53" i="12"/>
  <c r="AS53" i="12"/>
  <c r="AH53" i="12"/>
  <c r="AE53" i="12"/>
  <c r="AB53" i="12"/>
  <c r="AB55" i="12" s="1"/>
  <c r="H53" i="12"/>
  <c r="H56" i="12" s="1"/>
  <c r="BB49" i="12"/>
  <c r="BB50" i="12" s="1"/>
  <c r="BA49" i="12"/>
  <c r="BA50" i="12" s="1"/>
  <c r="AZ49" i="12"/>
  <c r="AZ50" i="12" s="1"/>
  <c r="AY49" i="12"/>
  <c r="AY50" i="12" s="1"/>
  <c r="AX49" i="12"/>
  <c r="AX50" i="12" s="1"/>
  <c r="AW49" i="12"/>
  <c r="AW50" i="12" s="1"/>
  <c r="AV49" i="12"/>
  <c r="AV50" i="12" s="1"/>
  <c r="AU49" i="12"/>
  <c r="AU50" i="12" s="1"/>
  <c r="AT49" i="12"/>
  <c r="AT50" i="12" s="1"/>
  <c r="AS49" i="12"/>
  <c r="AS50" i="12" s="1"/>
  <c r="AR49" i="12"/>
  <c r="AR50" i="12" s="1"/>
  <c r="AQ49" i="12"/>
  <c r="AQ50" i="12" s="1"/>
  <c r="AP49" i="12"/>
  <c r="AP50" i="12" s="1"/>
  <c r="AO49" i="12"/>
  <c r="AO50" i="12" s="1"/>
  <c r="AN49" i="12"/>
  <c r="AN50" i="12" s="1"/>
  <c r="AM49" i="12"/>
  <c r="AM50" i="12" s="1"/>
  <c r="AL49" i="12"/>
  <c r="AL50" i="12" s="1"/>
  <c r="AK49" i="12"/>
  <c r="AK50" i="12" s="1"/>
  <c r="AJ49" i="12"/>
  <c r="AJ50" i="12" s="1"/>
  <c r="AI49" i="12"/>
  <c r="AI50" i="12" s="1"/>
  <c r="AH49" i="12"/>
  <c r="AH50" i="12" s="1"/>
  <c r="AG49" i="12"/>
  <c r="AG50" i="12" s="1"/>
  <c r="AF49" i="12"/>
  <c r="AF50" i="12" s="1"/>
  <c r="AE49" i="12"/>
  <c r="AE50" i="12" s="1"/>
  <c r="BB48" i="12"/>
  <c r="BC32" i="22" s="1"/>
  <c r="BA48" i="12"/>
  <c r="BB32" i="22" s="1"/>
  <c r="BM32" i="22" s="1"/>
  <c r="AZ48" i="12"/>
  <c r="BA32" i="22" s="1"/>
  <c r="BL32" i="22" s="1"/>
  <c r="AY48" i="12"/>
  <c r="AZ32" i="22" s="1"/>
  <c r="BK32" i="22" s="1"/>
  <c r="AX48" i="12"/>
  <c r="AY32" i="22" s="1"/>
  <c r="BJ32" i="22" s="1"/>
  <c r="AW48" i="12"/>
  <c r="AX32" i="22" s="1"/>
  <c r="BI32" i="22" s="1"/>
  <c r="AV48" i="12"/>
  <c r="AW32" i="22" s="1"/>
  <c r="BH32" i="22" s="1"/>
  <c r="AU48" i="12"/>
  <c r="AV32" i="22" s="1"/>
  <c r="BG32" i="22" s="1"/>
  <c r="AT48" i="12"/>
  <c r="AU32" i="22" s="1"/>
  <c r="BF32" i="22" s="1"/>
  <c r="AS48" i="12"/>
  <c r="AT32" i="22" s="1"/>
  <c r="BE32" i="22" s="1"/>
  <c r="AR48" i="12"/>
  <c r="AS32" i="22" s="1"/>
  <c r="AQ48" i="12"/>
  <c r="AR32" i="22" s="1"/>
  <c r="AP48" i="12"/>
  <c r="AQ32" i="22" s="1"/>
  <c r="AO48" i="12"/>
  <c r="AP32" i="22" s="1"/>
  <c r="AN48" i="12"/>
  <c r="AO32" i="22" s="1"/>
  <c r="AM48" i="12"/>
  <c r="AN32" i="22" s="1"/>
  <c r="AL48" i="12"/>
  <c r="AM32" i="22" s="1"/>
  <c r="AK48" i="12"/>
  <c r="AL32" i="22" s="1"/>
  <c r="AJ48" i="12"/>
  <c r="AK32" i="22" s="1"/>
  <c r="AI48" i="12"/>
  <c r="AJ32" i="22" s="1"/>
  <c r="AH48" i="12"/>
  <c r="AI32" i="22" s="1"/>
  <c r="BD32" i="22" s="1"/>
  <c r="AG48" i="12"/>
  <c r="AF48" i="12"/>
  <c r="AE48" i="12"/>
  <c r="BB47" i="12"/>
  <c r="BA47" i="12"/>
  <c r="AZ47" i="12"/>
  <c r="AY47" i="12"/>
  <c r="AX47" i="12"/>
  <c r="AW47" i="12"/>
  <c r="AV47" i="12"/>
  <c r="AU47" i="12"/>
  <c r="AT47" i="12"/>
  <c r="AS47" i="12"/>
  <c r="AR47" i="12"/>
  <c r="AQ47" i="12"/>
  <c r="AP47" i="12"/>
  <c r="AO47" i="12"/>
  <c r="AN47" i="12"/>
  <c r="AM47" i="12"/>
  <c r="AL47" i="12"/>
  <c r="AK47" i="12"/>
  <c r="AJ47" i="12"/>
  <c r="AI47" i="12"/>
  <c r="AH47" i="12"/>
  <c r="AG47" i="12"/>
  <c r="AF47" i="12"/>
  <c r="AE47" i="12"/>
  <c r="BH41" i="12"/>
  <c r="BH42" i="12" s="1"/>
  <c r="BH43" i="12" s="1"/>
  <c r="BH44" i="12" s="1"/>
  <c r="BH40" i="12"/>
  <c r="AR40" i="12"/>
  <c r="AQ40" i="12"/>
  <c r="AP40" i="12"/>
  <c r="AO40" i="12"/>
  <c r="AN40" i="12"/>
  <c r="AM40" i="12"/>
  <c r="AL40" i="12"/>
  <c r="AK40" i="12"/>
  <c r="AJ40" i="12"/>
  <c r="AI40" i="12"/>
  <c r="AG40" i="12"/>
  <c r="AF40" i="12"/>
  <c r="BH39" i="12"/>
  <c r="BB39" i="12"/>
  <c r="BA39" i="12"/>
  <c r="AZ39" i="12"/>
  <c r="AY39" i="12"/>
  <c r="AX39" i="12"/>
  <c r="AW39" i="12"/>
  <c r="AV39" i="12"/>
  <c r="AU39" i="12"/>
  <c r="AT39" i="12"/>
  <c r="AS39" i="12"/>
  <c r="AR39" i="12"/>
  <c r="AQ39" i="12"/>
  <c r="AP39" i="12"/>
  <c r="AO39" i="12"/>
  <c r="AN39" i="12"/>
  <c r="AM39" i="12"/>
  <c r="AL39" i="12"/>
  <c r="AK39" i="12"/>
  <c r="AJ39" i="12"/>
  <c r="AI39" i="12"/>
  <c r="AH39" i="12"/>
  <c r="AG39" i="12"/>
  <c r="AF39" i="12"/>
  <c r="AE39" i="12"/>
  <c r="AB39" i="12"/>
  <c r="AB44" i="12" s="1"/>
  <c r="H39" i="12"/>
  <c r="H41" i="12" s="1"/>
  <c r="H42" i="12" s="1"/>
  <c r="H43" i="12" s="1"/>
  <c r="H44" i="12" s="1"/>
  <c r="BH36" i="12"/>
  <c r="BH35" i="12"/>
  <c r="AR35" i="12"/>
  <c r="AQ35" i="12"/>
  <c r="AP35" i="12"/>
  <c r="AO35" i="12"/>
  <c r="AN35" i="12"/>
  <c r="AM35" i="12"/>
  <c r="AL35" i="12"/>
  <c r="AK35" i="12"/>
  <c r="AJ35" i="12"/>
  <c r="AI35" i="12"/>
  <c r="AG35" i="12"/>
  <c r="AF35" i="12"/>
  <c r="BH34" i="12"/>
  <c r="BB34" i="12"/>
  <c r="BA34" i="12"/>
  <c r="AZ34" i="12"/>
  <c r="AY34" i="12"/>
  <c r="AX34" i="12"/>
  <c r="AW34" i="12"/>
  <c r="AV34" i="12"/>
  <c r="AU34" i="12"/>
  <c r="AT34" i="12"/>
  <c r="AS34" i="12"/>
  <c r="AH34" i="12"/>
  <c r="AE34" i="12"/>
  <c r="AB34" i="12"/>
  <c r="AB35" i="12" s="1"/>
  <c r="H34" i="12"/>
  <c r="H36" i="12" s="1"/>
  <c r="BB29" i="12"/>
  <c r="BB31" i="12" s="1"/>
  <c r="BA29" i="12"/>
  <c r="BA31" i="12" s="1"/>
  <c r="AZ29" i="12"/>
  <c r="AZ31" i="12" s="1"/>
  <c r="AY29" i="12"/>
  <c r="AY31" i="12" s="1"/>
  <c r="AX29" i="12"/>
  <c r="AX31" i="12" s="1"/>
  <c r="AW29" i="12"/>
  <c r="AW31" i="12" s="1"/>
  <c r="AV29" i="12"/>
  <c r="AV31" i="12" s="1"/>
  <c r="AU29" i="12"/>
  <c r="AU31" i="12" s="1"/>
  <c r="AT29" i="12"/>
  <c r="AT31" i="12" s="1"/>
  <c r="AS29" i="12"/>
  <c r="AS31" i="12" s="1"/>
  <c r="AR29" i="12"/>
  <c r="AR31" i="12" s="1"/>
  <c r="AQ29" i="12"/>
  <c r="AQ31" i="12" s="1"/>
  <c r="AP29" i="12"/>
  <c r="AP31" i="12" s="1"/>
  <c r="AO29" i="12"/>
  <c r="AO31" i="12" s="1"/>
  <c r="AN29" i="12"/>
  <c r="AN31" i="12" s="1"/>
  <c r="AM29" i="12"/>
  <c r="AM31" i="12" s="1"/>
  <c r="AL29" i="12"/>
  <c r="AL31" i="12" s="1"/>
  <c r="AK29" i="12"/>
  <c r="AK31" i="12" s="1"/>
  <c r="AJ29" i="12"/>
  <c r="AJ31" i="12" s="1"/>
  <c r="AI29" i="12"/>
  <c r="AI31" i="12" s="1"/>
  <c r="AH29" i="12"/>
  <c r="AH31" i="12" s="1"/>
  <c r="AG29" i="12"/>
  <c r="AG31" i="12" s="1"/>
  <c r="AF29" i="12"/>
  <c r="AF31" i="12" s="1"/>
  <c r="AE29" i="12"/>
  <c r="AE31" i="12" s="1"/>
  <c r="BB28" i="12"/>
  <c r="BA28" i="12"/>
  <c r="AZ28" i="12"/>
  <c r="AY28" i="12"/>
  <c r="AX28" i="12"/>
  <c r="AW28" i="12"/>
  <c r="AV28" i="12"/>
  <c r="AU28" i="12"/>
  <c r="AT28" i="12"/>
  <c r="AS28" i="12"/>
  <c r="AR28" i="12"/>
  <c r="AQ28" i="12"/>
  <c r="AP28" i="12"/>
  <c r="AO28" i="12"/>
  <c r="AN28" i="12"/>
  <c r="AM28" i="12"/>
  <c r="AL28" i="12"/>
  <c r="AK28" i="12"/>
  <c r="AJ28" i="12"/>
  <c r="AI28" i="12"/>
  <c r="AH28" i="12"/>
  <c r="AG28" i="12"/>
  <c r="AF28" i="12"/>
  <c r="AE28" i="12"/>
  <c r="F28" i="12"/>
  <c r="F29" i="12" s="1"/>
  <c r="F30" i="12" s="1"/>
  <c r="BB27" i="12"/>
  <c r="BA27" i="12"/>
  <c r="AZ27" i="12"/>
  <c r="AY27" i="12"/>
  <c r="AX27" i="12"/>
  <c r="AW27" i="12"/>
  <c r="AV27" i="12"/>
  <c r="AU27" i="12"/>
  <c r="AT27" i="12"/>
  <c r="AS27" i="12"/>
  <c r="AR27" i="12"/>
  <c r="AQ27" i="12"/>
  <c r="AP27" i="12"/>
  <c r="AO27" i="12"/>
  <c r="AN27" i="12"/>
  <c r="AM27" i="12"/>
  <c r="AL27" i="12"/>
  <c r="AK27" i="12"/>
  <c r="AJ27" i="12"/>
  <c r="AI27" i="12"/>
  <c r="AH27" i="12"/>
  <c r="AG27" i="12"/>
  <c r="AF27" i="12"/>
  <c r="AE27" i="12"/>
  <c r="T27" i="12"/>
  <c r="T28" i="12" s="1"/>
  <c r="T29" i="12" s="1"/>
  <c r="T30" i="12" s="1"/>
  <c r="T31" i="12" s="1"/>
  <c r="T32" i="12" s="1"/>
  <c r="T33" i="12" s="1"/>
  <c r="F27" i="12"/>
  <c r="BB24" i="12"/>
  <c r="BA24" i="12"/>
  <c r="AZ24" i="12"/>
  <c r="AY24" i="12"/>
  <c r="AX24" i="12"/>
  <c r="AW24" i="12"/>
  <c r="AV24" i="12"/>
  <c r="AU24" i="12"/>
  <c r="AT24" i="12"/>
  <c r="AS24" i="12"/>
  <c r="AR24" i="12"/>
  <c r="AQ24" i="12"/>
  <c r="AP24" i="12"/>
  <c r="AO24" i="12"/>
  <c r="AN24" i="12"/>
  <c r="AM24" i="12"/>
  <c r="AL24" i="12"/>
  <c r="AK24" i="12"/>
  <c r="AJ24" i="12"/>
  <c r="AI24" i="12"/>
  <c r="AH24" i="12"/>
  <c r="AG24" i="12"/>
  <c r="AF24" i="12"/>
  <c r="AE24" i="12"/>
  <c r="BC11" i="12"/>
  <c r="BB10" i="12"/>
  <c r="BA10" i="12"/>
  <c r="AZ10" i="12"/>
  <c r="AY10" i="12"/>
  <c r="AX10" i="12"/>
  <c r="AW10" i="12"/>
  <c r="AV10" i="12"/>
  <c r="AU10" i="12"/>
  <c r="AT10" i="12"/>
  <c r="AS10" i="12"/>
  <c r="AR10" i="12"/>
  <c r="AQ10" i="12"/>
  <c r="AP10" i="12"/>
  <c r="AO10" i="12"/>
  <c r="AN10" i="12"/>
  <c r="AM10" i="12"/>
  <c r="AL10" i="12"/>
  <c r="AK10" i="12"/>
  <c r="AJ10" i="12"/>
  <c r="AI10" i="12"/>
  <c r="AH10" i="12"/>
  <c r="AG10" i="12"/>
  <c r="AF10" i="12"/>
  <c r="AE10" i="12"/>
  <c r="BB9" i="12"/>
  <c r="BA9" i="12"/>
  <c r="AZ9" i="12"/>
  <c r="AY9" i="12"/>
  <c r="AX9" i="12"/>
  <c r="AW9" i="12"/>
  <c r="AV9" i="12"/>
  <c r="AU9" i="12"/>
  <c r="AT9" i="12"/>
  <c r="AS9" i="12"/>
  <c r="AR9" i="12"/>
  <c r="AQ9" i="12"/>
  <c r="AP9" i="12"/>
  <c r="AO9" i="12"/>
  <c r="AN9" i="12"/>
  <c r="AM9" i="12"/>
  <c r="AL9" i="12"/>
  <c r="AK9" i="12"/>
  <c r="AJ9" i="12"/>
  <c r="AI9" i="12"/>
  <c r="AH9" i="12"/>
  <c r="AG9" i="12"/>
  <c r="AF9" i="12"/>
  <c r="AE9" i="12"/>
  <c r="AX8" i="12"/>
  <c r="AV8" i="12"/>
  <c r="AP8" i="12"/>
  <c r="AN8" i="12"/>
  <c r="AH8" i="12"/>
  <c r="AF8" i="12"/>
  <c r="BB7" i="12"/>
  <c r="BA7" i="12"/>
  <c r="AZ7" i="12"/>
  <c r="AY7" i="12"/>
  <c r="AX7" i="12"/>
  <c r="AW7" i="12"/>
  <c r="AV7" i="12"/>
  <c r="AU7" i="12"/>
  <c r="AT7" i="12"/>
  <c r="AS7" i="12"/>
  <c r="AR7" i="12"/>
  <c r="AQ7" i="12"/>
  <c r="AP7" i="12"/>
  <c r="AO7" i="12"/>
  <c r="AN7" i="12"/>
  <c r="AM7" i="12"/>
  <c r="AL7" i="12"/>
  <c r="AK7" i="12"/>
  <c r="AJ7" i="12"/>
  <c r="AI7" i="12"/>
  <c r="AH7" i="12"/>
  <c r="AG7" i="12"/>
  <c r="AF7" i="12"/>
  <c r="AE7" i="12"/>
  <c r="BB6" i="12"/>
  <c r="BB8" i="12" s="1"/>
  <c r="BA6" i="12"/>
  <c r="BA8" i="12" s="1"/>
  <c r="AZ6" i="12"/>
  <c r="AZ8" i="12" s="1"/>
  <c r="AY6" i="12"/>
  <c r="AY8" i="12" s="1"/>
  <c r="AX6" i="12"/>
  <c r="AW6" i="12"/>
  <c r="AW8" i="12" s="1"/>
  <c r="AV6" i="12"/>
  <c r="AU6" i="12"/>
  <c r="AU8" i="12" s="1"/>
  <c r="AT6" i="12"/>
  <c r="AT8" i="12" s="1"/>
  <c r="AS6" i="12"/>
  <c r="AS8" i="12" s="1"/>
  <c r="AR6" i="12"/>
  <c r="AR8" i="12" s="1"/>
  <c r="AQ6" i="12"/>
  <c r="AQ8" i="12" s="1"/>
  <c r="AP6" i="12"/>
  <c r="AO6" i="12"/>
  <c r="AO8" i="12" s="1"/>
  <c r="AN6" i="12"/>
  <c r="AM6" i="12"/>
  <c r="AM8" i="12" s="1"/>
  <c r="AL6" i="12"/>
  <c r="AL8" i="12" s="1"/>
  <c r="AK6" i="12"/>
  <c r="AK8" i="12" s="1"/>
  <c r="AJ6" i="12"/>
  <c r="AJ8" i="12" s="1"/>
  <c r="AI6" i="12"/>
  <c r="AI8" i="12" s="1"/>
  <c r="AH6" i="12"/>
  <c r="AG6" i="12"/>
  <c r="AG8" i="12" s="1"/>
  <c r="AF6" i="12"/>
  <c r="AE6" i="12"/>
  <c r="AE8" i="12" s="1"/>
  <c r="CW248" i="11"/>
  <c r="X248" i="11"/>
  <c r="CZ247" i="11"/>
  <c r="CY247" i="11"/>
  <c r="AI247" i="11"/>
  <c r="AG247" i="11"/>
  <c r="T247" i="11"/>
  <c r="CW245" i="11"/>
  <c r="X245" i="11"/>
  <c r="CZ244" i="11"/>
  <c r="CY244" i="11"/>
  <c r="T244" i="11"/>
  <c r="AD243" i="11"/>
  <c r="CW241" i="11"/>
  <c r="X241" i="11"/>
  <c r="CZ240" i="11"/>
  <c r="CY240" i="11"/>
  <c r="AK240" i="11"/>
  <c r="AJ240" i="11"/>
  <c r="AJ247" i="11" s="1"/>
  <c r="AI240" i="11"/>
  <c r="AH240" i="11"/>
  <c r="T240" i="11"/>
  <c r="AD237" i="11"/>
  <c r="AK236" i="11"/>
  <c r="AI236" i="11"/>
  <c r="AH236" i="11"/>
  <c r="CW235" i="11"/>
  <c r="X235" i="11"/>
  <c r="CZ234" i="11"/>
  <c r="CY234" i="11"/>
  <c r="T234" i="11"/>
  <c r="CW232" i="11"/>
  <c r="X232" i="11"/>
  <c r="CZ231" i="11"/>
  <c r="CY231" i="11"/>
  <c r="CQ231" i="11"/>
  <c r="CN231" i="11"/>
  <c r="CK231" i="11"/>
  <c r="CH231" i="11"/>
  <c r="CE231" i="11"/>
  <c r="CB231" i="11"/>
  <c r="BY231" i="11"/>
  <c r="BV231" i="11"/>
  <c r="BS231" i="11"/>
  <c r="BP231" i="11"/>
  <c r="BM231" i="11"/>
  <c r="BJ231" i="11"/>
  <c r="BG231" i="11"/>
  <c r="BD231" i="11"/>
  <c r="BA231" i="11"/>
  <c r="AX231" i="11"/>
  <c r="AU231" i="11"/>
  <c r="AR231" i="11"/>
  <c r="AO231" i="11"/>
  <c r="AL231" i="11"/>
  <c r="T231" i="11"/>
  <c r="AD230" i="11"/>
  <c r="CS229" i="11"/>
  <c r="CR229" i="11"/>
  <c r="CQ229" i="11"/>
  <c r="CP229" i="11"/>
  <c r="CO229" i="11"/>
  <c r="CN229" i="11"/>
  <c r="CM229" i="11"/>
  <c r="CL229" i="11"/>
  <c r="CK229" i="11"/>
  <c r="CJ229" i="11"/>
  <c r="CI229" i="11"/>
  <c r="CH229" i="11"/>
  <c r="CG229" i="11"/>
  <c r="CF229" i="11"/>
  <c r="CE229" i="11"/>
  <c r="CD229" i="11"/>
  <c r="CC229" i="11"/>
  <c r="CB229" i="11"/>
  <c r="CA229" i="11"/>
  <c r="BZ229" i="11"/>
  <c r="BY229" i="11"/>
  <c r="BX229" i="11"/>
  <c r="BW229" i="11"/>
  <c r="BV229" i="11"/>
  <c r="BU229" i="11"/>
  <c r="BT229" i="11"/>
  <c r="BS229" i="11"/>
  <c r="BR229" i="11"/>
  <c r="BQ229" i="11"/>
  <c r="BP229" i="11"/>
  <c r="BO229" i="11"/>
  <c r="BN229" i="11"/>
  <c r="BM229" i="11"/>
  <c r="BL229" i="11"/>
  <c r="BK229" i="11"/>
  <c r="BJ229" i="11"/>
  <c r="BI229" i="11"/>
  <c r="BH229" i="11"/>
  <c r="BG229" i="11"/>
  <c r="BF229" i="11"/>
  <c r="BE229" i="11"/>
  <c r="BD229" i="11"/>
  <c r="BC229" i="11"/>
  <c r="BB229" i="11"/>
  <c r="BA229" i="11"/>
  <c r="AZ229" i="11"/>
  <c r="AY229" i="11"/>
  <c r="AX229" i="11"/>
  <c r="AW229" i="11"/>
  <c r="AV229" i="11"/>
  <c r="AU229" i="11"/>
  <c r="AT229" i="11"/>
  <c r="AS229" i="11"/>
  <c r="AR229" i="11"/>
  <c r="AQ229" i="11"/>
  <c r="AP229" i="11"/>
  <c r="AO229" i="11"/>
  <c r="AN229" i="11"/>
  <c r="AM229" i="11"/>
  <c r="AL229" i="11"/>
  <c r="AK229" i="11"/>
  <c r="AJ229" i="11"/>
  <c r="AI229" i="11"/>
  <c r="AH229" i="11"/>
  <c r="CW228" i="11"/>
  <c r="X228" i="11"/>
  <c r="CZ227" i="11"/>
  <c r="CY227" i="11"/>
  <c r="T227" i="11"/>
  <c r="CW225" i="11"/>
  <c r="X225" i="11"/>
  <c r="CZ224" i="11"/>
  <c r="CY224" i="11"/>
  <c r="T224" i="11"/>
  <c r="AD223" i="11"/>
  <c r="AK222" i="11"/>
  <c r="AJ222" i="11"/>
  <c r="AI222" i="11"/>
  <c r="AH222" i="11"/>
  <c r="CW221" i="11"/>
  <c r="X221" i="11"/>
  <c r="CZ220" i="11"/>
  <c r="CY220" i="11"/>
  <c r="AJ220" i="11"/>
  <c r="AI220" i="11"/>
  <c r="AG220" i="11"/>
  <c r="T220" i="11"/>
  <c r="CW218" i="11"/>
  <c r="X218" i="11"/>
  <c r="CZ217" i="11"/>
  <c r="CY217" i="11"/>
  <c r="T217" i="11"/>
  <c r="CW215" i="11"/>
  <c r="X215" i="11"/>
  <c r="CZ214" i="11"/>
  <c r="CY214" i="11"/>
  <c r="T214" i="11"/>
  <c r="CW212" i="11"/>
  <c r="X212" i="11"/>
  <c r="CZ211" i="11"/>
  <c r="CY211" i="11"/>
  <c r="T211" i="11"/>
  <c r="AD210" i="11"/>
  <c r="AK209" i="11"/>
  <c r="AJ209" i="11"/>
  <c r="AI209" i="11"/>
  <c r="AH209" i="11"/>
  <c r="CW208" i="11"/>
  <c r="X208" i="11"/>
  <c r="CZ207" i="11"/>
  <c r="CY207" i="11"/>
  <c r="AJ207" i="11"/>
  <c r="AI207" i="11"/>
  <c r="AG207" i="11"/>
  <c r="T207" i="11"/>
  <c r="CW205" i="11"/>
  <c r="X205" i="11"/>
  <c r="CZ204" i="11"/>
  <c r="CY204" i="11"/>
  <c r="T204" i="11"/>
  <c r="CW202" i="11"/>
  <c r="X202" i="11"/>
  <c r="CZ201" i="11"/>
  <c r="CY201" i="11"/>
  <c r="T201" i="11"/>
  <c r="CW199" i="11"/>
  <c r="X199" i="11"/>
  <c r="CZ198" i="11"/>
  <c r="CY198" i="11"/>
  <c r="T198" i="11"/>
  <c r="AD197" i="11"/>
  <c r="AK196" i="11"/>
  <c r="AJ196" i="11"/>
  <c r="AI196" i="11"/>
  <c r="AH196" i="11"/>
  <c r="CW195" i="11"/>
  <c r="X195" i="11"/>
  <c r="CZ194" i="11"/>
  <c r="CY194" i="11"/>
  <c r="AJ194" i="11"/>
  <c r="AI194" i="11"/>
  <c r="AG194" i="11"/>
  <c r="T194" i="11"/>
  <c r="CW192" i="11"/>
  <c r="X192" i="11"/>
  <c r="CZ191" i="11"/>
  <c r="CY191" i="11"/>
  <c r="T191" i="11"/>
  <c r="CW189" i="11"/>
  <c r="X189" i="11"/>
  <c r="CZ188" i="11"/>
  <c r="CY188" i="11"/>
  <c r="T188" i="11"/>
  <c r="CW186" i="11"/>
  <c r="X186" i="11"/>
  <c r="CZ185" i="11"/>
  <c r="CY185" i="11"/>
  <c r="T185" i="11"/>
  <c r="AD184" i="11"/>
  <c r="AK183" i="11"/>
  <c r="AJ183" i="11"/>
  <c r="AI183" i="11"/>
  <c r="AH183" i="11"/>
  <c r="CW182" i="11"/>
  <c r="X182" i="11"/>
  <c r="CZ181" i="11"/>
  <c r="CY181" i="11"/>
  <c r="AJ181" i="11"/>
  <c r="AI181" i="11"/>
  <c r="AG181" i="11"/>
  <c r="T181" i="11"/>
  <c r="CW179" i="11"/>
  <c r="X179" i="11"/>
  <c r="CZ178" i="11"/>
  <c r="CY178" i="11"/>
  <c r="T178" i="11"/>
  <c r="CW176" i="11"/>
  <c r="X176" i="11"/>
  <c r="CZ175" i="11"/>
  <c r="CY175" i="11"/>
  <c r="AH175" i="11"/>
  <c r="AG175" i="11"/>
  <c r="T175" i="11"/>
  <c r="CW173" i="11"/>
  <c r="X173" i="11"/>
  <c r="CZ172" i="11"/>
  <c r="CY172" i="11"/>
  <c r="CS172" i="11"/>
  <c r="CP172" i="11"/>
  <c r="CM172" i="11"/>
  <c r="CJ172" i="11"/>
  <c r="CG172" i="11"/>
  <c r="CD172" i="11"/>
  <c r="CA172" i="11"/>
  <c r="BX172" i="11"/>
  <c r="BU172" i="11"/>
  <c r="BR172" i="11"/>
  <c r="BO172" i="11"/>
  <c r="BL172" i="11"/>
  <c r="BI172" i="11"/>
  <c r="BF172" i="11"/>
  <c r="BC172" i="11"/>
  <c r="AZ172" i="11"/>
  <c r="AW172" i="11"/>
  <c r="AT172" i="11"/>
  <c r="AQ172" i="11"/>
  <c r="AN172" i="11"/>
  <c r="T172" i="11"/>
  <c r="CW170" i="11"/>
  <c r="X170" i="11"/>
  <c r="CZ169" i="11"/>
  <c r="CY169" i="11"/>
  <c r="T169" i="11"/>
  <c r="CS168" i="11"/>
  <c r="CR168" i="11"/>
  <c r="CP168" i="11"/>
  <c r="CO168" i="11"/>
  <c r="CM168" i="11"/>
  <c r="CL168" i="11"/>
  <c r="CJ168" i="11"/>
  <c r="CI168" i="11"/>
  <c r="CG168" i="11"/>
  <c r="CF168" i="11"/>
  <c r="CD168" i="11"/>
  <c r="CC168" i="11"/>
  <c r="CA168" i="11"/>
  <c r="BZ168" i="11"/>
  <c r="BX168" i="11"/>
  <c r="BW168" i="11"/>
  <c r="BU168" i="11"/>
  <c r="BT168" i="11"/>
  <c r="BR168" i="11"/>
  <c r="BQ168" i="11"/>
  <c r="BO168" i="11"/>
  <c r="BN168" i="11"/>
  <c r="BL168" i="11"/>
  <c r="BK168" i="11"/>
  <c r="BI168" i="11"/>
  <c r="BH168" i="11"/>
  <c r="BF168" i="11"/>
  <c r="BE168" i="11"/>
  <c r="BC168" i="11"/>
  <c r="BB168" i="11"/>
  <c r="AZ168" i="11"/>
  <c r="AY168" i="11"/>
  <c r="AW168" i="11"/>
  <c r="AV168" i="11"/>
  <c r="AT168" i="11"/>
  <c r="AS168" i="11"/>
  <c r="AQ168" i="11"/>
  <c r="AP168" i="11"/>
  <c r="AN168" i="11"/>
  <c r="AM168" i="11"/>
  <c r="AK168" i="11"/>
  <c r="AH168" i="11"/>
  <c r="CW167" i="11"/>
  <c r="X167" i="11"/>
  <c r="CZ166" i="11"/>
  <c r="CY166" i="11"/>
  <c r="AJ166" i="11"/>
  <c r="AI166" i="11"/>
  <c r="AI244" i="11" s="1"/>
  <c r="T166" i="11"/>
  <c r="AI164" i="11"/>
  <c r="AI169" i="11" s="1"/>
  <c r="AI168" i="11" s="1"/>
  <c r="CR161" i="11"/>
  <c r="CF161" i="11"/>
  <c r="BT161" i="11"/>
  <c r="BH161" i="11"/>
  <c r="AV161" i="11"/>
  <c r="CS160" i="11"/>
  <c r="CS161" i="11" s="1"/>
  <c r="CR160" i="11"/>
  <c r="CP160" i="11"/>
  <c r="CO160" i="11"/>
  <c r="CO161" i="11" s="1"/>
  <c r="CO162" i="11" s="1"/>
  <c r="CM160" i="11"/>
  <c r="CL160" i="11"/>
  <c r="CJ160" i="11"/>
  <c r="CI160" i="11"/>
  <c r="CI161" i="11" s="1"/>
  <c r="CG160" i="11"/>
  <c r="CG161" i="11" s="1"/>
  <c r="CF160" i="11"/>
  <c r="CD160" i="11"/>
  <c r="CC160" i="11"/>
  <c r="CC161" i="11" s="1"/>
  <c r="CA160" i="11"/>
  <c r="BZ160" i="11"/>
  <c r="BX160" i="11"/>
  <c r="BW160" i="11"/>
  <c r="BW161" i="11" s="1"/>
  <c r="BU160" i="11"/>
  <c r="BU161" i="11" s="1"/>
  <c r="BU162" i="11" s="1"/>
  <c r="BT160" i="11"/>
  <c r="BR160" i="11"/>
  <c r="BQ160" i="11"/>
  <c r="BQ161" i="11" s="1"/>
  <c r="BO160" i="11"/>
  <c r="BN160" i="11"/>
  <c r="BL160" i="11"/>
  <c r="BK160" i="11"/>
  <c r="BK161" i="11" s="1"/>
  <c r="BI160" i="11"/>
  <c r="BI161" i="11" s="1"/>
  <c r="BH160" i="11"/>
  <c r="BF160" i="11"/>
  <c r="BE160" i="11"/>
  <c r="BE161" i="11" s="1"/>
  <c r="BC160" i="11"/>
  <c r="BB160" i="11"/>
  <c r="AZ160" i="11"/>
  <c r="AY160" i="11"/>
  <c r="AY161" i="11" s="1"/>
  <c r="AW160" i="11"/>
  <c r="AW161" i="11" s="1"/>
  <c r="AV160" i="11"/>
  <c r="AT160" i="11"/>
  <c r="AS160" i="11"/>
  <c r="AS161" i="11" s="1"/>
  <c r="AS162" i="11" s="1"/>
  <c r="AQ160" i="11"/>
  <c r="AP160" i="11"/>
  <c r="AN160" i="11"/>
  <c r="AM160" i="11"/>
  <c r="AM161" i="11" s="1"/>
  <c r="AI160" i="11"/>
  <c r="CS159" i="11"/>
  <c r="CR159" i="11"/>
  <c r="CQ159" i="11"/>
  <c r="CP159" i="11"/>
  <c r="CO159" i="11"/>
  <c r="CN159" i="11"/>
  <c r="CL159" i="11"/>
  <c r="CK159" i="11"/>
  <c r="CI159" i="11"/>
  <c r="CH159" i="11"/>
  <c r="CG159" i="11"/>
  <c r="CF159" i="11"/>
  <c r="CE159" i="11"/>
  <c r="CD159" i="11"/>
  <c r="CC159" i="11"/>
  <c r="CB159" i="11"/>
  <c r="BZ159" i="11"/>
  <c r="BY159" i="11"/>
  <c r="BW159" i="11"/>
  <c r="BV159" i="11"/>
  <c r="BU159" i="11"/>
  <c r="BT159" i="11"/>
  <c r="BS159" i="11"/>
  <c r="BR159" i="11"/>
  <c r="BQ159" i="11"/>
  <c r="BP159" i="11"/>
  <c r="BN159" i="11"/>
  <c r="BM159" i="11"/>
  <c r="BK159" i="11"/>
  <c r="BJ159" i="11"/>
  <c r="BI159" i="11"/>
  <c r="BH159" i="11"/>
  <c r="BG159" i="11"/>
  <c r="BF159" i="11"/>
  <c r="BE159" i="11"/>
  <c r="BD159" i="11"/>
  <c r="BB159" i="11"/>
  <c r="BA159" i="11"/>
  <c r="AY159" i="11"/>
  <c r="AX159" i="11"/>
  <c r="AW159" i="11"/>
  <c r="AV159" i="11"/>
  <c r="AU159" i="11"/>
  <c r="AT159" i="11"/>
  <c r="AS159" i="11"/>
  <c r="AR159" i="11"/>
  <c r="AP159" i="11"/>
  <c r="AO159" i="11"/>
  <c r="AM159" i="11"/>
  <c r="AL159" i="11"/>
  <c r="AK159" i="11"/>
  <c r="AK160" i="11" s="1"/>
  <c r="AJ159" i="11"/>
  <c r="AJ160" i="11" s="1"/>
  <c r="AI159" i="11"/>
  <c r="AH159" i="11"/>
  <c r="AH160" i="11" s="1"/>
  <c r="CS158" i="11"/>
  <c r="CS162" i="11" s="1"/>
  <c r="CS166" i="11" s="1"/>
  <c r="CR158" i="11"/>
  <c r="CO158" i="11"/>
  <c r="CL158" i="11"/>
  <c r="CK158" i="11"/>
  <c r="CI158" i="11"/>
  <c r="CG158" i="11"/>
  <c r="CF158" i="11"/>
  <c r="CE158" i="11" s="1"/>
  <c r="CE157" i="11" s="1"/>
  <c r="CC158" i="11"/>
  <c r="BZ158" i="11"/>
  <c r="BW158" i="11"/>
  <c r="BU158" i="11"/>
  <c r="BT158" i="11"/>
  <c r="BQ158" i="11"/>
  <c r="BN158" i="11"/>
  <c r="BM158" i="11"/>
  <c r="BK158" i="11"/>
  <c r="BI158" i="11"/>
  <c r="BH158" i="11"/>
  <c r="BG158" i="11" s="1"/>
  <c r="BG157" i="11" s="1"/>
  <c r="BE158" i="11"/>
  <c r="BB158" i="11"/>
  <c r="AY158" i="11"/>
  <c r="AW158" i="11"/>
  <c r="AW162" i="11" s="1"/>
  <c r="AW166" i="11" s="1"/>
  <c r="AV158" i="11"/>
  <c r="AS158" i="11"/>
  <c r="AP158" i="11"/>
  <c r="AO158" i="11"/>
  <c r="AM158" i="11"/>
  <c r="AK158" i="11"/>
  <c r="AK162" i="11" s="1"/>
  <c r="AJ158" i="11"/>
  <c r="AJ162" i="11" s="1"/>
  <c r="AJ163" i="11" s="1"/>
  <c r="AI158" i="11"/>
  <c r="AI162" i="11" s="1"/>
  <c r="AI163" i="11" s="1"/>
  <c r="AH158" i="11"/>
  <c r="AH162" i="11" s="1"/>
  <c r="AH166" i="11" s="1"/>
  <c r="AH164" i="11" s="1"/>
  <c r="CS157" i="11"/>
  <c r="CP157" i="11"/>
  <c r="CP158" i="11" s="1"/>
  <c r="CM157" i="11"/>
  <c r="CM158" i="11" s="1"/>
  <c r="CK157" i="11"/>
  <c r="CJ157" i="11"/>
  <c r="CJ158" i="11" s="1"/>
  <c r="CH158" i="11" s="1"/>
  <c r="CH157" i="11" s="1"/>
  <c r="CG157" i="11"/>
  <c r="CD157" i="11"/>
  <c r="CD158" i="11" s="1"/>
  <c r="CA157" i="11"/>
  <c r="CA158" i="11" s="1"/>
  <c r="BY158" i="11" s="1"/>
  <c r="BY157" i="11" s="1"/>
  <c r="BX157" i="11"/>
  <c r="BX158" i="11" s="1"/>
  <c r="BV158" i="11" s="1"/>
  <c r="BV157" i="11" s="1"/>
  <c r="BU157" i="11"/>
  <c r="BR157" i="11"/>
  <c r="BR158" i="11" s="1"/>
  <c r="BO157" i="11"/>
  <c r="BO158" i="11" s="1"/>
  <c r="BM157" i="11"/>
  <c r="BL157" i="11"/>
  <c r="BL158" i="11" s="1"/>
  <c r="BJ158" i="11" s="1"/>
  <c r="BJ157" i="11" s="1"/>
  <c r="BI157" i="11"/>
  <c r="BF157" i="11"/>
  <c r="BF158" i="11" s="1"/>
  <c r="BC157" i="11"/>
  <c r="BC158" i="11" s="1"/>
  <c r="BA158" i="11" s="1"/>
  <c r="BA157" i="11" s="1"/>
  <c r="AZ157" i="11"/>
  <c r="AZ158" i="11" s="1"/>
  <c r="AX158" i="11" s="1"/>
  <c r="AX157" i="11" s="1"/>
  <c r="AW157" i="11"/>
  <c r="AT157" i="11"/>
  <c r="AT158" i="11" s="1"/>
  <c r="AQ157" i="11"/>
  <c r="AQ158" i="11" s="1"/>
  <c r="AO157" i="11"/>
  <c r="AN157" i="11"/>
  <c r="AN158" i="11" s="1"/>
  <c r="AL158" i="11" s="1"/>
  <c r="AL157" i="11" s="1"/>
  <c r="CQ156" i="11"/>
  <c r="CN156" i="11"/>
  <c r="CK156" i="11"/>
  <c r="CH156" i="11"/>
  <c r="CE156" i="11"/>
  <c r="CB156" i="11"/>
  <c r="BY156" i="11"/>
  <c r="BV156" i="11"/>
  <c r="BS156" i="11"/>
  <c r="BP156" i="11"/>
  <c r="BM156" i="11"/>
  <c r="BJ156" i="11"/>
  <c r="BG156" i="11"/>
  <c r="BD156" i="11"/>
  <c r="BA156" i="11"/>
  <c r="AX156" i="11"/>
  <c r="AU156" i="11"/>
  <c r="AR156" i="11"/>
  <c r="AO156" i="11"/>
  <c r="AL156" i="11"/>
  <c r="CS155" i="11"/>
  <c r="CR155" i="11"/>
  <c r="CQ155" i="11"/>
  <c r="CO155" i="11"/>
  <c r="CN155" i="11"/>
  <c r="CL155" i="11"/>
  <c r="CK155" i="11"/>
  <c r="CI155" i="11"/>
  <c r="CH155" i="11"/>
  <c r="CG155" i="11"/>
  <c r="CF155" i="11"/>
  <c r="CE155" i="11"/>
  <c r="CC155" i="11"/>
  <c r="CB155" i="11"/>
  <c r="BZ155" i="11"/>
  <c r="BY155" i="11"/>
  <c r="BW155" i="11"/>
  <c r="BV155" i="11"/>
  <c r="BU155" i="11"/>
  <c r="BT155" i="11"/>
  <c r="BS155" i="11"/>
  <c r="BQ155" i="11"/>
  <c r="BP155" i="11"/>
  <c r="BN155" i="11"/>
  <c r="BM155" i="11"/>
  <c r="BK155" i="11"/>
  <c r="BJ155" i="11"/>
  <c r="BI155" i="11"/>
  <c r="BH155" i="11"/>
  <c r="BG155" i="11"/>
  <c r="BE155" i="11"/>
  <c r="BD155" i="11"/>
  <c r="BB155" i="11"/>
  <c r="BA155" i="11"/>
  <c r="AY155" i="11"/>
  <c r="AX155" i="11"/>
  <c r="AW155" i="11"/>
  <c r="AV155" i="11"/>
  <c r="AU155" i="11"/>
  <c r="AS155" i="11"/>
  <c r="AR155" i="11"/>
  <c r="AP155" i="11"/>
  <c r="AO155" i="11"/>
  <c r="AM155" i="11"/>
  <c r="AL155" i="11"/>
  <c r="AK155" i="11"/>
  <c r="AJ155" i="11"/>
  <c r="AI155" i="11"/>
  <c r="AH155" i="11"/>
  <c r="CS154" i="11"/>
  <c r="CR154" i="11"/>
  <c r="CQ154" i="11"/>
  <c r="CO154" i="11"/>
  <c r="CN154" i="11"/>
  <c r="CL154" i="11"/>
  <c r="CK154" i="11"/>
  <c r="CI154" i="11"/>
  <c r="CH154" i="11"/>
  <c r="CG154" i="11"/>
  <c r="CF154" i="11"/>
  <c r="CE154" i="11"/>
  <c r="CC154" i="11"/>
  <c r="CB154" i="11"/>
  <c r="BZ154" i="11"/>
  <c r="BY154" i="11"/>
  <c r="BW154" i="11"/>
  <c r="BV154" i="11"/>
  <c r="BU154" i="11"/>
  <c r="BT154" i="11"/>
  <c r="BS154" i="11"/>
  <c r="BQ154" i="11"/>
  <c r="BP154" i="11"/>
  <c r="BN154" i="11"/>
  <c r="BM154" i="11"/>
  <c r="BK154" i="11"/>
  <c r="BJ154" i="11"/>
  <c r="BI154" i="11"/>
  <c r="BH154" i="11"/>
  <c r="BG154" i="11"/>
  <c r="BE154" i="11"/>
  <c r="BD154" i="11"/>
  <c r="BB154" i="11"/>
  <c r="BA154" i="11"/>
  <c r="AY154" i="11"/>
  <c r="AX154" i="11"/>
  <c r="AW154" i="11"/>
  <c r="AV154" i="11"/>
  <c r="AU154" i="11"/>
  <c r="AS154" i="11"/>
  <c r="AR154" i="11"/>
  <c r="AP154" i="11"/>
  <c r="AO154" i="11"/>
  <c r="AM154" i="11"/>
  <c r="AL154" i="11"/>
  <c r="AK154" i="11"/>
  <c r="AJ154" i="11"/>
  <c r="AI154" i="11"/>
  <c r="AH154" i="11"/>
  <c r="CS153" i="11"/>
  <c r="CP153" i="11"/>
  <c r="CP154" i="11" s="1"/>
  <c r="CM153" i="11"/>
  <c r="CJ153" i="11"/>
  <c r="CG153" i="11"/>
  <c r="CD153" i="11"/>
  <c r="CD154" i="11" s="1"/>
  <c r="CA153" i="11"/>
  <c r="BX153" i="11"/>
  <c r="BU153" i="11"/>
  <c r="BR153" i="11"/>
  <c r="BR154" i="11" s="1"/>
  <c r="BO153" i="11"/>
  <c r="BL153" i="11"/>
  <c r="BI153" i="11"/>
  <c r="BF153" i="11"/>
  <c r="BF154" i="11" s="1"/>
  <c r="BC153" i="11"/>
  <c r="AZ153" i="11"/>
  <c r="AW153" i="11"/>
  <c r="AT153" i="11"/>
  <c r="AT154" i="11" s="1"/>
  <c r="AQ153" i="11"/>
  <c r="AN153" i="11"/>
  <c r="CS152" i="11"/>
  <c r="CP152" i="11"/>
  <c r="CM152" i="11"/>
  <c r="CJ152" i="11"/>
  <c r="CJ154" i="11" s="1"/>
  <c r="CG152" i="11"/>
  <c r="CD152" i="11"/>
  <c r="CA152" i="11"/>
  <c r="BX152" i="11"/>
  <c r="BX154" i="11" s="1"/>
  <c r="BU152" i="11"/>
  <c r="BR152" i="11"/>
  <c r="BO152" i="11"/>
  <c r="BL152" i="11"/>
  <c r="BL154" i="11" s="1"/>
  <c r="BI152" i="11"/>
  <c r="BF152" i="11"/>
  <c r="BC152" i="11"/>
  <c r="AZ152" i="11"/>
  <c r="AZ154" i="11" s="1"/>
  <c r="AW152" i="11"/>
  <c r="AT152" i="11"/>
  <c r="AQ152" i="11"/>
  <c r="AN152" i="11"/>
  <c r="AN154" i="11" s="1"/>
  <c r="BB151" i="11"/>
  <c r="BU150" i="11"/>
  <c r="BE150" i="11"/>
  <c r="CQ149" i="11"/>
  <c r="CN149" i="11"/>
  <c r="CK149" i="11"/>
  <c r="CH149" i="11"/>
  <c r="CE149" i="11"/>
  <c r="CB149" i="11"/>
  <c r="CB150" i="11" s="1"/>
  <c r="BY149" i="11"/>
  <c r="BV149" i="11"/>
  <c r="BS149" i="11"/>
  <c r="BP149" i="11"/>
  <c r="BM149" i="11"/>
  <c r="BJ149" i="11"/>
  <c r="BG149" i="11"/>
  <c r="BD149" i="11"/>
  <c r="BA149" i="11"/>
  <c r="AX149" i="11"/>
  <c r="AU149" i="11"/>
  <c r="AR149" i="11"/>
  <c r="AO149" i="11"/>
  <c r="AL149" i="11"/>
  <c r="CM148" i="11"/>
  <c r="BW148" i="11"/>
  <c r="AQ148" i="11"/>
  <c r="CQ147" i="11"/>
  <c r="CN147" i="11"/>
  <c r="CK147" i="11"/>
  <c r="CH147" i="11"/>
  <c r="CH148" i="11" s="1"/>
  <c r="CE147" i="11"/>
  <c r="CB147" i="11"/>
  <c r="BY147" i="11"/>
  <c r="BV147" i="11"/>
  <c r="BV148" i="11" s="1"/>
  <c r="BS147" i="11"/>
  <c r="BP147" i="11"/>
  <c r="BM147" i="11"/>
  <c r="BJ147" i="11"/>
  <c r="BJ148" i="11" s="1"/>
  <c r="BG147" i="11"/>
  <c r="BD147" i="11"/>
  <c r="BA147" i="11"/>
  <c r="AX147" i="11"/>
  <c r="AX148" i="11" s="1"/>
  <c r="AU147" i="11"/>
  <c r="AR147" i="11"/>
  <c r="AO147" i="11"/>
  <c r="AL147" i="11"/>
  <c r="AL148" i="11" s="1"/>
  <c r="CS146" i="11"/>
  <c r="CO146" i="11"/>
  <c r="CO150" i="11" s="1"/>
  <c r="CG146" i="11"/>
  <c r="CG150" i="11" s="1"/>
  <c r="CC146" i="11"/>
  <c r="BU146" i="11"/>
  <c r="BQ146" i="11"/>
  <c r="BQ150" i="11" s="1"/>
  <c r="BI146" i="11"/>
  <c r="BI150" i="11" s="1"/>
  <c r="BE146" i="11"/>
  <c r="AW146" i="11"/>
  <c r="AS146" i="11"/>
  <c r="AS150" i="11" s="1"/>
  <c r="AK146" i="11"/>
  <c r="AK150" i="11" s="1"/>
  <c r="CQ144" i="11"/>
  <c r="CN144" i="11"/>
  <c r="CK144" i="11"/>
  <c r="CK141" i="11" s="1"/>
  <c r="CH144" i="11"/>
  <c r="CH141" i="11" s="1"/>
  <c r="CE144" i="11"/>
  <c r="CB144" i="11"/>
  <c r="BY144" i="11"/>
  <c r="BY141" i="11" s="1"/>
  <c r="BV144" i="11"/>
  <c r="BV141" i="11" s="1"/>
  <c r="BS144" i="11"/>
  <c r="BP144" i="11"/>
  <c r="BM144" i="11"/>
  <c r="BM141" i="11" s="1"/>
  <c r="BJ144" i="11"/>
  <c r="BJ141" i="11" s="1"/>
  <c r="BG144" i="11"/>
  <c r="BD144" i="11"/>
  <c r="BA144" i="11"/>
  <c r="BA141" i="11" s="1"/>
  <c r="AX144" i="11"/>
  <c r="AX141" i="11" s="1"/>
  <c r="AU144" i="11"/>
  <c r="AR144" i="11"/>
  <c r="AO144" i="11"/>
  <c r="AO141" i="11" s="1"/>
  <c r="AL144" i="11"/>
  <c r="AL141" i="11" s="1"/>
  <c r="CS143" i="11"/>
  <c r="CR143" i="11"/>
  <c r="CP143" i="11"/>
  <c r="CO143" i="11"/>
  <c r="CM143" i="11"/>
  <c r="CL143" i="11"/>
  <c r="CJ143" i="11"/>
  <c r="CI143" i="11"/>
  <c r="CH143" i="11"/>
  <c r="CG143" i="11"/>
  <c r="CF143" i="11"/>
  <c r="CD143" i="11"/>
  <c r="CC143" i="11"/>
  <c r="CA143" i="11"/>
  <c r="BZ143" i="11"/>
  <c r="BX143" i="11"/>
  <c r="BW143" i="11"/>
  <c r="BV143" i="11"/>
  <c r="BU143" i="11"/>
  <c r="BT143" i="11"/>
  <c r="BR143" i="11"/>
  <c r="BQ143" i="11"/>
  <c r="BO143" i="11"/>
  <c r="BN143" i="11"/>
  <c r="BL143" i="11"/>
  <c r="BK143" i="11"/>
  <c r="BJ143" i="11"/>
  <c r="BI143" i="11"/>
  <c r="BH143" i="11"/>
  <c r="BF143" i="11"/>
  <c r="BE143" i="11"/>
  <c r="BC143" i="11"/>
  <c r="BB143" i="11"/>
  <c r="AZ143" i="11"/>
  <c r="AY143" i="11"/>
  <c r="AX143" i="11"/>
  <c r="AW143" i="11"/>
  <c r="AV143" i="11"/>
  <c r="AT143" i="11"/>
  <c r="AS143" i="11"/>
  <c r="AQ143" i="11"/>
  <c r="AP143" i="11"/>
  <c r="AN143" i="11"/>
  <c r="AM143" i="11"/>
  <c r="AL143" i="11"/>
  <c r="AK143" i="11"/>
  <c r="AJ143" i="11"/>
  <c r="AI143" i="11"/>
  <c r="AH143" i="11"/>
  <c r="CQ142" i="11"/>
  <c r="CN142" i="11"/>
  <c r="CN143" i="11" s="1"/>
  <c r="CK142" i="11"/>
  <c r="CH142" i="11"/>
  <c r="CE142" i="11"/>
  <c r="CB142" i="11"/>
  <c r="CB143" i="11" s="1"/>
  <c r="BY142" i="11"/>
  <c r="BV142" i="11"/>
  <c r="BS142" i="11"/>
  <c r="BP142" i="11"/>
  <c r="BP143" i="11" s="1"/>
  <c r="BM142" i="11"/>
  <c r="BJ142" i="11"/>
  <c r="BG142" i="11"/>
  <c r="BD142" i="11"/>
  <c r="BD143" i="11" s="1"/>
  <c r="BA142" i="11"/>
  <c r="AX142" i="11"/>
  <c r="AU142" i="11"/>
  <c r="AR142" i="11"/>
  <c r="AR143" i="11" s="1"/>
  <c r="AO142" i="11"/>
  <c r="AL142" i="11"/>
  <c r="CS141" i="11"/>
  <c r="CR141" i="11"/>
  <c r="CR146" i="11" s="1"/>
  <c r="CP141" i="11"/>
  <c r="CP146" i="11" s="1"/>
  <c r="CO141" i="11"/>
  <c r="CN141" i="11"/>
  <c r="CN146" i="11" s="1"/>
  <c r="CN151" i="11" s="1"/>
  <c r="CM141" i="11"/>
  <c r="CM146" i="11" s="1"/>
  <c r="CL141" i="11"/>
  <c r="CL146" i="11" s="1"/>
  <c r="CJ141" i="11"/>
  <c r="CJ146" i="11" s="1"/>
  <c r="CI141" i="11"/>
  <c r="CI146" i="11" s="1"/>
  <c r="CG141" i="11"/>
  <c r="CF141" i="11"/>
  <c r="CF146" i="11" s="1"/>
  <c r="CD141" i="11"/>
  <c r="CD146" i="11" s="1"/>
  <c r="CC141" i="11"/>
  <c r="CB141" i="11"/>
  <c r="CB146" i="11" s="1"/>
  <c r="CA141" i="11"/>
  <c r="CA146" i="11" s="1"/>
  <c r="BZ141" i="11"/>
  <c r="BZ146" i="11" s="1"/>
  <c r="BX141" i="11"/>
  <c r="BX146" i="11" s="1"/>
  <c r="BW141" i="11"/>
  <c r="BW146" i="11" s="1"/>
  <c r="BU141" i="11"/>
  <c r="BT141" i="11"/>
  <c r="BT146" i="11" s="1"/>
  <c r="BR141" i="11"/>
  <c r="BR146" i="11" s="1"/>
  <c r="BR151" i="11" s="1"/>
  <c r="BQ141" i="11"/>
  <c r="BP141" i="11"/>
  <c r="BP146" i="11" s="1"/>
  <c r="BP151" i="11" s="1"/>
  <c r="BO141" i="11"/>
  <c r="BO146" i="11" s="1"/>
  <c r="BN141" i="11"/>
  <c r="BN146" i="11" s="1"/>
  <c r="BN151" i="11" s="1"/>
  <c r="BL141" i="11"/>
  <c r="BL146" i="11" s="1"/>
  <c r="BK141" i="11"/>
  <c r="BK146" i="11" s="1"/>
  <c r="BI141" i="11"/>
  <c r="BH141" i="11"/>
  <c r="BH146" i="11" s="1"/>
  <c r="BF141" i="11"/>
  <c r="BF146" i="11" s="1"/>
  <c r="BE141" i="11"/>
  <c r="BD141" i="11"/>
  <c r="BD146" i="11" s="1"/>
  <c r="BD151" i="11" s="1"/>
  <c r="BC141" i="11"/>
  <c r="BC146" i="11" s="1"/>
  <c r="BB141" i="11"/>
  <c r="BB146" i="11" s="1"/>
  <c r="AZ141" i="11"/>
  <c r="AZ146" i="11" s="1"/>
  <c r="AY141" i="11"/>
  <c r="AY146" i="11" s="1"/>
  <c r="AW141" i="11"/>
  <c r="AV141" i="11"/>
  <c r="AV146" i="11" s="1"/>
  <c r="AT141" i="11"/>
  <c r="AT146" i="11" s="1"/>
  <c r="AS141" i="11"/>
  <c r="AR141" i="11"/>
  <c r="AR146" i="11" s="1"/>
  <c r="AR151" i="11" s="1"/>
  <c r="AQ141" i="11"/>
  <c r="AQ146" i="11" s="1"/>
  <c r="AP141" i="11"/>
  <c r="AP146" i="11" s="1"/>
  <c r="AN141" i="11"/>
  <c r="AN146" i="11" s="1"/>
  <c r="AM141" i="11"/>
  <c r="AM146" i="11" s="1"/>
  <c r="AK141" i="11"/>
  <c r="AJ141" i="11"/>
  <c r="AJ146" i="11" s="1"/>
  <c r="AI141" i="11"/>
  <c r="AI146" i="11" s="1"/>
  <c r="AH141" i="11"/>
  <c r="AH146" i="11" s="1"/>
  <c r="AH151" i="11" s="1"/>
  <c r="CQ140" i="11"/>
  <c r="CN140" i="11"/>
  <c r="CK140" i="11"/>
  <c r="CK143" i="11" s="1"/>
  <c r="CH140" i="11"/>
  <c r="CH146" i="11" s="1"/>
  <c r="CE140" i="11"/>
  <c r="CB140" i="11"/>
  <c r="BY140" i="11"/>
  <c r="BY143" i="11" s="1"/>
  <c r="BV140" i="11"/>
  <c r="BV146" i="11" s="1"/>
  <c r="BV151" i="11" s="1"/>
  <c r="BS140" i="11"/>
  <c r="BP140" i="11"/>
  <c r="BM140" i="11"/>
  <c r="BM143" i="11" s="1"/>
  <c r="BJ140" i="11"/>
  <c r="BJ146" i="11" s="1"/>
  <c r="BJ151" i="11" s="1"/>
  <c r="BG140" i="11"/>
  <c r="BD140" i="11"/>
  <c r="BA140" i="11"/>
  <c r="BA143" i="11" s="1"/>
  <c r="AX140" i="11"/>
  <c r="AX146" i="11" s="1"/>
  <c r="AU140" i="11"/>
  <c r="AR140" i="11"/>
  <c r="AO140" i="11"/>
  <c r="AO143" i="11" s="1"/>
  <c r="AL140" i="11"/>
  <c r="AL146" i="11" s="1"/>
  <c r="F140" i="11"/>
  <c r="F141" i="11" s="1"/>
  <c r="F142" i="11" s="1"/>
  <c r="F143" i="11" s="1"/>
  <c r="F144" i="11" s="1"/>
  <c r="F145" i="11" s="1"/>
  <c r="F146" i="11" s="1"/>
  <c r="F147" i="11" s="1"/>
  <c r="F148" i="11" s="1"/>
  <c r="F149" i="11" s="1"/>
  <c r="F150" i="11" s="1"/>
  <c r="F151" i="11" s="1"/>
  <c r="F152" i="11" s="1"/>
  <c r="F153" i="11" s="1"/>
  <c r="F154" i="11" s="1"/>
  <c r="F155" i="11" s="1"/>
  <c r="F156" i="11" s="1"/>
  <c r="F157" i="11" s="1"/>
  <c r="F158" i="11" s="1"/>
  <c r="F159" i="11" s="1"/>
  <c r="F160" i="11" s="1"/>
  <c r="F161" i="11" s="1"/>
  <c r="F162" i="11" s="1"/>
  <c r="F163" i="11" s="1"/>
  <c r="F164" i="11" s="1"/>
  <c r="F165" i="11" s="1"/>
  <c r="F166" i="11" s="1"/>
  <c r="F167" i="11" s="1"/>
  <c r="F168" i="11" s="1"/>
  <c r="F169" i="11" s="1"/>
  <c r="F170" i="11" s="1"/>
  <c r="F171" i="11" s="1"/>
  <c r="F172" i="11" s="1"/>
  <c r="F173" i="11" s="1"/>
  <c r="F174" i="11" s="1"/>
  <c r="F175" i="11" s="1"/>
  <c r="F176" i="11" s="1"/>
  <c r="F177" i="11" s="1"/>
  <c r="F178" i="11" s="1"/>
  <c r="F179" i="11" s="1"/>
  <c r="F180" i="11" s="1"/>
  <c r="F181" i="11" s="1"/>
  <c r="F182" i="11" s="1"/>
  <c r="F183" i="11" s="1"/>
  <c r="F184" i="11" s="1"/>
  <c r="F185" i="11" s="1"/>
  <c r="F186" i="11" s="1"/>
  <c r="F187" i="11" s="1"/>
  <c r="F188" i="11" s="1"/>
  <c r="F189" i="11" s="1"/>
  <c r="F190" i="11" s="1"/>
  <c r="F191" i="11" s="1"/>
  <c r="F192" i="11" s="1"/>
  <c r="F193" i="11" s="1"/>
  <c r="F194" i="11" s="1"/>
  <c r="F195" i="11" s="1"/>
  <c r="F196" i="11" s="1"/>
  <c r="F197" i="11" s="1"/>
  <c r="F198" i="11" s="1"/>
  <c r="F199" i="11" s="1"/>
  <c r="F200" i="11" s="1"/>
  <c r="F201" i="11" s="1"/>
  <c r="F202" i="11" s="1"/>
  <c r="F203" i="11" s="1"/>
  <c r="F204" i="11" s="1"/>
  <c r="F205" i="11" s="1"/>
  <c r="F206" i="11" s="1"/>
  <c r="F207" i="11" s="1"/>
  <c r="F208" i="11" s="1"/>
  <c r="F209" i="11" s="1"/>
  <c r="F210" i="11" s="1"/>
  <c r="F211" i="11" s="1"/>
  <c r="F212" i="11" s="1"/>
  <c r="F213" i="11" s="1"/>
  <c r="F214" i="11" s="1"/>
  <c r="F215" i="11" s="1"/>
  <c r="F216" i="11" s="1"/>
  <c r="F217" i="11" s="1"/>
  <c r="F218" i="11" s="1"/>
  <c r="F219" i="11" s="1"/>
  <c r="F220" i="11" s="1"/>
  <c r="F221" i="11" s="1"/>
  <c r="F222" i="11" s="1"/>
  <c r="F223" i="11" s="1"/>
  <c r="F224" i="11" s="1"/>
  <c r="F225" i="11" s="1"/>
  <c r="F226" i="11" s="1"/>
  <c r="F227" i="11" s="1"/>
  <c r="F228" i="11" s="1"/>
  <c r="F229" i="11" s="1"/>
  <c r="F230" i="11" s="1"/>
  <c r="F231" i="11" s="1"/>
  <c r="F232" i="11" s="1"/>
  <c r="F233" i="11" s="1"/>
  <c r="F234" i="11" s="1"/>
  <c r="F235" i="11" s="1"/>
  <c r="F236" i="11" s="1"/>
  <c r="F237" i="11" s="1"/>
  <c r="F238" i="11" s="1"/>
  <c r="F239" i="11" s="1"/>
  <c r="F240" i="11" s="1"/>
  <c r="F241" i="11" s="1"/>
  <c r="F242" i="11" s="1"/>
  <c r="F243" i="11" s="1"/>
  <c r="F244" i="11" s="1"/>
  <c r="F245" i="11" s="1"/>
  <c r="F246" i="11" s="1"/>
  <c r="F247" i="11" s="1"/>
  <c r="F248" i="11" s="1"/>
  <c r="F249" i="11" s="1"/>
  <c r="F250" i="11" s="1"/>
  <c r="CW139" i="11"/>
  <c r="U139" i="11"/>
  <c r="S139" i="11"/>
  <c r="S140" i="11" s="1"/>
  <c r="U140" i="11" s="1"/>
  <c r="F139" i="11"/>
  <c r="CW137" i="11"/>
  <c r="X137" i="11"/>
  <c r="CZ136" i="11"/>
  <c r="CY136" i="11"/>
  <c r="AI136" i="11"/>
  <c r="AG136" i="11"/>
  <c r="T136" i="11"/>
  <c r="CW134" i="11"/>
  <c r="X134" i="11"/>
  <c r="CZ133" i="11"/>
  <c r="CY133" i="11"/>
  <c r="T133" i="11"/>
  <c r="AD132" i="11"/>
  <c r="CW130" i="11"/>
  <c r="X130" i="11"/>
  <c r="CZ129" i="11"/>
  <c r="CY129" i="11"/>
  <c r="AK129" i="11"/>
  <c r="AJ129" i="11"/>
  <c r="AI129" i="11"/>
  <c r="AI125" i="11" s="1"/>
  <c r="AH129" i="11"/>
  <c r="T129" i="11"/>
  <c r="AD126" i="11"/>
  <c r="AK125" i="11"/>
  <c r="AH125" i="11"/>
  <c r="CW124" i="11"/>
  <c r="X124" i="11"/>
  <c r="CZ123" i="11"/>
  <c r="CY123" i="11"/>
  <c r="T123" i="11"/>
  <c r="CW121" i="11"/>
  <c r="X121" i="11"/>
  <c r="CZ120" i="11"/>
  <c r="CY120" i="11"/>
  <c r="CQ120" i="11"/>
  <c r="CQ118" i="11" s="1"/>
  <c r="CN120" i="11"/>
  <c r="CK120" i="11"/>
  <c r="CH120" i="11"/>
  <c r="CE120" i="11"/>
  <c r="CE118" i="11" s="1"/>
  <c r="CB120" i="11"/>
  <c r="BY120" i="11"/>
  <c r="BV120" i="11"/>
  <c r="BS120" i="11"/>
  <c r="BS118" i="11" s="1"/>
  <c r="BP120" i="11"/>
  <c r="BM120" i="11"/>
  <c r="BJ120" i="11"/>
  <c r="BG120" i="11"/>
  <c r="BG118" i="11" s="1"/>
  <c r="BD120" i="11"/>
  <c r="BA120" i="11"/>
  <c r="AX120" i="11"/>
  <c r="AU120" i="11"/>
  <c r="AU118" i="11" s="1"/>
  <c r="AR120" i="11"/>
  <c r="AO120" i="11"/>
  <c r="AL120" i="11"/>
  <c r="T120" i="11"/>
  <c r="AD119" i="11"/>
  <c r="CS118" i="11"/>
  <c r="CR118" i="11"/>
  <c r="CP118" i="11"/>
  <c r="CO118" i="11"/>
  <c r="CN118" i="11"/>
  <c r="CM118" i="11"/>
  <c r="CL118" i="11"/>
  <c r="CK118" i="11"/>
  <c r="CJ118" i="11"/>
  <c r="CI118" i="11"/>
  <c r="CH118" i="11"/>
  <c r="CG118" i="11"/>
  <c r="CF118" i="11"/>
  <c r="CD118" i="11"/>
  <c r="CC118" i="11"/>
  <c r="CB118" i="11"/>
  <c r="CA118" i="11"/>
  <c r="BZ118" i="11"/>
  <c r="BY118" i="11"/>
  <c r="BX118" i="11"/>
  <c r="BW118" i="11"/>
  <c r="BV118" i="11"/>
  <c r="BU118" i="11"/>
  <c r="BT118" i="11"/>
  <c r="BR118" i="11"/>
  <c r="BQ118" i="11"/>
  <c r="BP118" i="11"/>
  <c r="BO118" i="11"/>
  <c r="BN118" i="11"/>
  <c r="BM118" i="11"/>
  <c r="BL118" i="11"/>
  <c r="BK118" i="11"/>
  <c r="BJ118" i="11"/>
  <c r="BI118" i="11"/>
  <c r="BH118" i="11"/>
  <c r="BF118" i="11"/>
  <c r="BE118" i="11"/>
  <c r="BD118" i="11"/>
  <c r="BC118" i="11"/>
  <c r="BB118" i="11"/>
  <c r="BA118" i="11"/>
  <c r="AZ118" i="11"/>
  <c r="AY118" i="11"/>
  <c r="AX118" i="11"/>
  <c r="AW118" i="11"/>
  <c r="AV118" i="11"/>
  <c r="AT118" i="11"/>
  <c r="AS118" i="11"/>
  <c r="AR118" i="11"/>
  <c r="AQ118" i="11"/>
  <c r="AP118" i="11"/>
  <c r="AO118" i="11"/>
  <c r="AN118" i="11"/>
  <c r="AM118" i="11"/>
  <c r="AL118" i="11"/>
  <c r="AK118" i="11"/>
  <c r="AJ118" i="11"/>
  <c r="AI118" i="11"/>
  <c r="AH118" i="11"/>
  <c r="CW117" i="11"/>
  <c r="X117" i="11"/>
  <c r="CZ116" i="11"/>
  <c r="CY116" i="11"/>
  <c r="T116" i="11"/>
  <c r="CW114" i="11"/>
  <c r="X114" i="11"/>
  <c r="CZ113" i="11"/>
  <c r="CY113" i="11"/>
  <c r="T113" i="11"/>
  <c r="AD112" i="11"/>
  <c r="AK111" i="11"/>
  <c r="AJ111" i="11"/>
  <c r="AI111" i="11"/>
  <c r="AH111" i="11"/>
  <c r="CW110" i="11"/>
  <c r="X110" i="11"/>
  <c r="CZ109" i="11"/>
  <c r="CY109" i="11"/>
  <c r="AJ109" i="11"/>
  <c r="AI109" i="11"/>
  <c r="AG109" i="11"/>
  <c r="T109" i="11"/>
  <c r="CW107" i="11"/>
  <c r="X107" i="11"/>
  <c r="CZ106" i="11"/>
  <c r="CY106" i="11"/>
  <c r="T106" i="11"/>
  <c r="CW104" i="11"/>
  <c r="X104" i="11"/>
  <c r="CZ103" i="11"/>
  <c r="CY103" i="11"/>
  <c r="T103" i="11"/>
  <c r="CW101" i="11"/>
  <c r="X101" i="11"/>
  <c r="CZ100" i="11"/>
  <c r="CY100" i="11"/>
  <c r="T100" i="11"/>
  <c r="AD99" i="11"/>
  <c r="AK98" i="11"/>
  <c r="AJ98" i="11"/>
  <c r="AI98" i="11"/>
  <c r="AH98" i="11"/>
  <c r="CW97" i="11"/>
  <c r="X97" i="11"/>
  <c r="CZ96" i="11"/>
  <c r="CY96" i="11"/>
  <c r="AJ96" i="11"/>
  <c r="AI96" i="11"/>
  <c r="AG96" i="11"/>
  <c r="T96" i="11"/>
  <c r="CW94" i="11"/>
  <c r="X94" i="11"/>
  <c r="CZ93" i="11"/>
  <c r="CY93" i="11"/>
  <c r="T93" i="11"/>
  <c r="CW91" i="11"/>
  <c r="X91" i="11"/>
  <c r="CZ90" i="11"/>
  <c r="CY90" i="11"/>
  <c r="T90" i="11"/>
  <c r="CW88" i="11"/>
  <c r="X88" i="11"/>
  <c r="CZ87" i="11"/>
  <c r="CY87" i="11"/>
  <c r="T87" i="11"/>
  <c r="AD86" i="11"/>
  <c r="AK85" i="11"/>
  <c r="AJ85" i="11"/>
  <c r="AI85" i="11"/>
  <c r="AH85" i="11"/>
  <c r="CW84" i="11"/>
  <c r="X84" i="11"/>
  <c r="CZ83" i="11"/>
  <c r="CY83" i="11"/>
  <c r="AJ83" i="11"/>
  <c r="AI83" i="11"/>
  <c r="AG83" i="11"/>
  <c r="T83" i="11"/>
  <c r="CW81" i="11"/>
  <c r="X81" i="11"/>
  <c r="CZ80" i="11"/>
  <c r="CY80" i="11"/>
  <c r="T80" i="11"/>
  <c r="CW78" i="11"/>
  <c r="X78" i="11"/>
  <c r="CZ77" i="11"/>
  <c r="CY77" i="11"/>
  <c r="AJ77" i="11"/>
  <c r="AJ76" i="11" s="1"/>
  <c r="T77" i="11"/>
  <c r="CW75" i="11"/>
  <c r="X75" i="11"/>
  <c r="CZ74" i="11"/>
  <c r="CY74" i="11"/>
  <c r="T74" i="11"/>
  <c r="AD73" i="11"/>
  <c r="AK72" i="11"/>
  <c r="AJ72" i="11"/>
  <c r="AI72" i="11"/>
  <c r="AH72" i="11"/>
  <c r="CW71" i="11"/>
  <c r="X71" i="11"/>
  <c r="CZ70" i="11"/>
  <c r="CY70" i="11"/>
  <c r="AJ70" i="11"/>
  <c r="AI70" i="11"/>
  <c r="AG70" i="11"/>
  <c r="T70" i="11"/>
  <c r="CW68" i="11"/>
  <c r="X68" i="11"/>
  <c r="CZ67" i="11"/>
  <c r="CY67" i="11"/>
  <c r="T67" i="11"/>
  <c r="CW65" i="11"/>
  <c r="X65" i="11"/>
  <c r="CZ64" i="11"/>
  <c r="CY64" i="11"/>
  <c r="AG64" i="11"/>
  <c r="T64" i="11"/>
  <c r="CW62" i="11"/>
  <c r="X62" i="11"/>
  <c r="CZ61" i="11"/>
  <c r="CY61" i="11"/>
  <c r="CS61" i="11"/>
  <c r="CP61" i="11"/>
  <c r="CM61" i="11"/>
  <c r="CJ61" i="11"/>
  <c r="CG61" i="11"/>
  <c r="CD61" i="11"/>
  <c r="CA61" i="11"/>
  <c r="BX61" i="11"/>
  <c r="BU61" i="11"/>
  <c r="BR61" i="11"/>
  <c r="BO61" i="11"/>
  <c r="BL61" i="11"/>
  <c r="BI61" i="11"/>
  <c r="BF61" i="11"/>
  <c r="BC61" i="11"/>
  <c r="AZ61" i="11"/>
  <c r="AW61" i="11"/>
  <c r="AT61" i="11"/>
  <c r="AQ61" i="11"/>
  <c r="AN61" i="11"/>
  <c r="T61" i="11"/>
  <c r="CW59" i="11"/>
  <c r="X59" i="11"/>
  <c r="CZ58" i="11"/>
  <c r="CY58" i="11"/>
  <c r="AI58" i="11"/>
  <c r="AI57" i="11" s="1"/>
  <c r="T58" i="11"/>
  <c r="CS57" i="11"/>
  <c r="CR57" i="11"/>
  <c r="CP57" i="11"/>
  <c r="CO57" i="11"/>
  <c r="CM57" i="11"/>
  <c r="CL57" i="11"/>
  <c r="CJ57" i="11"/>
  <c r="CI57" i="11"/>
  <c r="CG57" i="11"/>
  <c r="CF57" i="11"/>
  <c r="CD57" i="11"/>
  <c r="CC57" i="11"/>
  <c r="CA57" i="11"/>
  <c r="BZ57" i="11"/>
  <c r="BX57" i="11"/>
  <c r="BW57" i="11"/>
  <c r="BU57" i="11"/>
  <c r="BT57" i="11"/>
  <c r="BR57" i="11"/>
  <c r="BQ57" i="11"/>
  <c r="BO57" i="11"/>
  <c r="BN57" i="11"/>
  <c r="BL57" i="11"/>
  <c r="BK57" i="11"/>
  <c r="BI57" i="11"/>
  <c r="BH57" i="11"/>
  <c r="BF57" i="11"/>
  <c r="BE57" i="11"/>
  <c r="BC57" i="11"/>
  <c r="BB57" i="11"/>
  <c r="AZ57" i="11"/>
  <c r="AY57" i="11"/>
  <c r="AW57" i="11"/>
  <c r="AV57" i="11"/>
  <c r="AT57" i="11"/>
  <c r="AS57" i="11"/>
  <c r="AQ57" i="11"/>
  <c r="AP57" i="11"/>
  <c r="AN57" i="11"/>
  <c r="AM57" i="11"/>
  <c r="AK57" i="11"/>
  <c r="AH57" i="11"/>
  <c r="CW56" i="11"/>
  <c r="X56" i="11"/>
  <c r="CZ55" i="11"/>
  <c r="CY55" i="11"/>
  <c r="AJ55" i="11"/>
  <c r="AI55" i="11"/>
  <c r="T55" i="11"/>
  <c r="AI53" i="11"/>
  <c r="BF52" i="11"/>
  <c r="AH52" i="11"/>
  <c r="CS51" i="11"/>
  <c r="CS55" i="11" s="1"/>
  <c r="CS53" i="11" s="1"/>
  <c r="CG51" i="11"/>
  <c r="CG55" i="11" s="1"/>
  <c r="CG53" i="11" s="1"/>
  <c r="AW51" i="11"/>
  <c r="AW55" i="11" s="1"/>
  <c r="AW53" i="11" s="1"/>
  <c r="AK51" i="11"/>
  <c r="CR50" i="11"/>
  <c r="CO50" i="11"/>
  <c r="CF50" i="11"/>
  <c r="CC50" i="11"/>
  <c r="BT50" i="11"/>
  <c r="BQ50" i="11"/>
  <c r="BH50" i="11"/>
  <c r="BE50" i="11"/>
  <c r="BD50" i="11"/>
  <c r="AV50" i="11"/>
  <c r="AS50" i="11"/>
  <c r="CS49" i="11"/>
  <c r="CR49" i="11"/>
  <c r="CP49" i="11"/>
  <c r="CO49" i="11"/>
  <c r="CM49" i="11"/>
  <c r="CL49" i="11"/>
  <c r="CL50" i="11" s="1"/>
  <c r="CJ49" i="11"/>
  <c r="CJ50" i="11" s="1"/>
  <c r="CI49" i="11"/>
  <c r="CI50" i="11" s="1"/>
  <c r="CG49" i="11"/>
  <c r="CF49" i="11"/>
  <c r="CD49" i="11"/>
  <c r="CC49" i="11"/>
  <c r="CA49" i="11"/>
  <c r="BZ49" i="11"/>
  <c r="BX49" i="11"/>
  <c r="BX50" i="11" s="1"/>
  <c r="BW49" i="11"/>
  <c r="BW50" i="11" s="1"/>
  <c r="BU49" i="11"/>
  <c r="BT49" i="11"/>
  <c r="BR49" i="11"/>
  <c r="BQ49" i="11"/>
  <c r="BO49" i="11"/>
  <c r="BN49" i="11"/>
  <c r="BN50" i="11" s="1"/>
  <c r="BL49" i="11"/>
  <c r="BL50" i="11" s="1"/>
  <c r="BK49" i="11"/>
  <c r="BK50" i="11" s="1"/>
  <c r="BI49" i="11"/>
  <c r="BH49" i="11"/>
  <c r="BF49" i="11"/>
  <c r="BF50" i="11" s="1"/>
  <c r="BF51" i="11" s="1"/>
  <c r="BF55" i="11" s="1"/>
  <c r="BE49" i="11"/>
  <c r="BC49" i="11"/>
  <c r="BB49" i="11"/>
  <c r="BB50" i="11" s="1"/>
  <c r="AZ49" i="11"/>
  <c r="AZ50" i="11" s="1"/>
  <c r="AY49" i="11"/>
  <c r="AY50" i="11" s="1"/>
  <c r="AW49" i="11"/>
  <c r="AV49" i="11"/>
  <c r="AT49" i="11"/>
  <c r="AS49" i="11"/>
  <c r="AQ49" i="11"/>
  <c r="AP49" i="11"/>
  <c r="AP50" i="11" s="1"/>
  <c r="AN49" i="11"/>
  <c r="AN50" i="11" s="1"/>
  <c r="AM49" i="11"/>
  <c r="AM50" i="11" s="1"/>
  <c r="AJ49" i="11"/>
  <c r="AI49" i="11"/>
  <c r="CR48" i="11"/>
  <c r="CQ48" i="11"/>
  <c r="CP48" i="11"/>
  <c r="CO48" i="11"/>
  <c r="CN48" i="11"/>
  <c r="CL48" i="11"/>
  <c r="CK48" i="11"/>
  <c r="CI48" i="11"/>
  <c r="CH48" i="11"/>
  <c r="CF48" i="11"/>
  <c r="CE48" i="11"/>
  <c r="CD48" i="11"/>
  <c r="CC48" i="11"/>
  <c r="CB48" i="11"/>
  <c r="BZ48" i="11"/>
  <c r="BY48" i="11"/>
  <c r="BW48" i="11"/>
  <c r="BV48" i="11"/>
  <c r="BT48" i="11"/>
  <c r="BS48" i="11"/>
  <c r="BR48" i="11"/>
  <c r="BQ48" i="11"/>
  <c r="BP48" i="11"/>
  <c r="BN48" i="11"/>
  <c r="BM48" i="11"/>
  <c r="BK48" i="11"/>
  <c r="BJ48" i="11"/>
  <c r="BH48" i="11"/>
  <c r="BG48" i="11"/>
  <c r="BF48" i="11"/>
  <c r="BE48" i="11"/>
  <c r="BD48" i="11"/>
  <c r="BB48" i="11"/>
  <c r="BA48" i="11"/>
  <c r="AY48" i="11"/>
  <c r="AX48" i="11"/>
  <c r="AV48" i="11"/>
  <c r="AU48" i="11"/>
  <c r="AT48" i="11"/>
  <c r="AS48" i="11"/>
  <c r="AR48" i="11"/>
  <c r="AP48" i="11"/>
  <c r="AO48" i="11"/>
  <c r="AM48" i="11"/>
  <c r="AL48" i="11"/>
  <c r="AK48" i="11"/>
  <c r="AK49" i="11" s="1"/>
  <c r="AJ48" i="11"/>
  <c r="AI48" i="11"/>
  <c r="AH48" i="11"/>
  <c r="AH49" i="11" s="1"/>
  <c r="CS47" i="11"/>
  <c r="CR47" i="11"/>
  <c r="CQ47" i="11" s="1"/>
  <c r="CP47" i="11"/>
  <c r="CO47" i="11"/>
  <c r="CN47" i="11" s="1"/>
  <c r="CN46" i="11" s="1"/>
  <c r="CL47" i="11"/>
  <c r="CK47" i="11"/>
  <c r="CK46" i="11" s="1"/>
  <c r="CI47" i="11"/>
  <c r="CG47" i="11"/>
  <c r="CF47" i="11"/>
  <c r="CD47" i="11"/>
  <c r="CC47" i="11"/>
  <c r="CB47" i="11" s="1"/>
  <c r="CB46" i="11" s="1"/>
  <c r="BZ47" i="11"/>
  <c r="BW47" i="11"/>
  <c r="BU47" i="11"/>
  <c r="BT47" i="11"/>
  <c r="BS47" i="11" s="1"/>
  <c r="BR47" i="11"/>
  <c r="BQ47" i="11"/>
  <c r="BP47" i="11" s="1"/>
  <c r="BP46" i="11" s="1"/>
  <c r="BN47" i="11"/>
  <c r="BK47" i="11"/>
  <c r="BI47" i="11"/>
  <c r="BG47" i="11" s="1"/>
  <c r="BG46" i="11" s="1"/>
  <c r="BH47" i="11"/>
  <c r="BF47" i="11"/>
  <c r="BE47" i="11"/>
  <c r="BD47" i="11" s="1"/>
  <c r="BD46" i="11" s="1"/>
  <c r="BB47" i="11"/>
  <c r="AY47" i="11"/>
  <c r="AW47" i="11"/>
  <c r="AU47" i="11" s="1"/>
  <c r="AV47" i="11"/>
  <c r="AT47" i="11"/>
  <c r="AS47" i="11"/>
  <c r="AR47" i="11" s="1"/>
  <c r="AR46" i="11" s="1"/>
  <c r="AP47" i="11"/>
  <c r="AO47" i="11"/>
  <c r="AO46" i="11" s="1"/>
  <c r="AM47" i="11"/>
  <c r="AK47" i="11"/>
  <c r="AJ47" i="11"/>
  <c r="AJ51" i="11" s="1"/>
  <c r="AJ52" i="11" s="1"/>
  <c r="AI47" i="11"/>
  <c r="AI51" i="11" s="1"/>
  <c r="AI52" i="11" s="1"/>
  <c r="AH47" i="11"/>
  <c r="AH51" i="11" s="1"/>
  <c r="AH55" i="11" s="1"/>
  <c r="CS46" i="11"/>
  <c r="CQ46" i="11"/>
  <c r="CP46" i="11"/>
  <c r="CM46" i="11"/>
  <c r="CM47" i="11" s="1"/>
  <c r="CJ46" i="11"/>
  <c r="CJ47" i="11" s="1"/>
  <c r="CH47" i="11" s="1"/>
  <c r="CH46" i="11" s="1"/>
  <c r="CG46" i="11"/>
  <c r="CD46" i="11"/>
  <c r="CA46" i="11"/>
  <c r="CA47" i="11" s="1"/>
  <c r="BY47" i="11" s="1"/>
  <c r="BY46" i="11" s="1"/>
  <c r="BX46" i="11"/>
  <c r="BX47" i="11" s="1"/>
  <c r="BV47" i="11" s="1"/>
  <c r="BV46" i="11" s="1"/>
  <c r="BU46" i="11"/>
  <c r="BS46" i="11"/>
  <c r="BR46" i="11"/>
  <c r="BO46" i="11"/>
  <c r="BO47" i="11" s="1"/>
  <c r="BM47" i="11" s="1"/>
  <c r="BM46" i="11" s="1"/>
  <c r="BL46" i="11"/>
  <c r="BL47" i="11" s="1"/>
  <c r="BJ47" i="11" s="1"/>
  <c r="BJ46" i="11" s="1"/>
  <c r="BI46" i="11"/>
  <c r="BF46" i="11"/>
  <c r="BC46" i="11"/>
  <c r="BC47" i="11" s="1"/>
  <c r="BA47" i="11" s="1"/>
  <c r="BA46" i="11" s="1"/>
  <c r="AZ46" i="11"/>
  <c r="AZ47" i="11" s="1"/>
  <c r="AX47" i="11" s="1"/>
  <c r="AX46" i="11" s="1"/>
  <c r="AW46" i="11"/>
  <c r="AU46" i="11"/>
  <c r="AT46" i="11"/>
  <c r="AQ46" i="11"/>
  <c r="AQ47" i="11" s="1"/>
  <c r="AN46" i="11"/>
  <c r="AN47" i="11" s="1"/>
  <c r="AL47" i="11" s="1"/>
  <c r="AL46" i="11" s="1"/>
  <c r="CQ45" i="11"/>
  <c r="CN45" i="11"/>
  <c r="CK45" i="11"/>
  <c r="CH45" i="11"/>
  <c r="CE45" i="11"/>
  <c r="CB45" i="11"/>
  <c r="BY45" i="11"/>
  <c r="BV45" i="11"/>
  <c r="BS45" i="11"/>
  <c r="BP45" i="11"/>
  <c r="BM45" i="11"/>
  <c r="BJ45" i="11"/>
  <c r="BG45" i="11"/>
  <c r="BD45" i="11"/>
  <c r="BA45" i="11"/>
  <c r="AX45" i="11"/>
  <c r="AU45" i="11"/>
  <c r="AR45" i="11"/>
  <c r="AO45" i="11"/>
  <c r="AL45" i="11"/>
  <c r="CR44" i="11"/>
  <c r="CQ44" i="11"/>
  <c r="CP44" i="11"/>
  <c r="CO44" i="11"/>
  <c r="CN44" i="11"/>
  <c r="CL44" i="11"/>
  <c r="CK44" i="11"/>
  <c r="CI44" i="11"/>
  <c r="CH44" i="11"/>
  <c r="CF44" i="11"/>
  <c r="CE44" i="11"/>
  <c r="CD44" i="11"/>
  <c r="CC44" i="11"/>
  <c r="CB44" i="11"/>
  <c r="BZ44" i="11"/>
  <c r="BY44" i="11"/>
  <c r="BW44" i="11"/>
  <c r="BV44" i="11"/>
  <c r="BT44" i="11"/>
  <c r="BS44" i="11"/>
  <c r="BQ44" i="11"/>
  <c r="BP44" i="11"/>
  <c r="BN44" i="11"/>
  <c r="BM44" i="11"/>
  <c r="BK44" i="11"/>
  <c r="BJ44" i="11"/>
  <c r="BH44" i="11"/>
  <c r="BG44" i="11"/>
  <c r="BF44" i="11"/>
  <c r="BE44" i="11"/>
  <c r="BD44" i="11"/>
  <c r="BB44" i="11"/>
  <c r="BA44" i="11"/>
  <c r="AY44" i="11"/>
  <c r="AX44" i="11"/>
  <c r="AV44" i="11"/>
  <c r="AU44" i="11"/>
  <c r="AT44" i="11"/>
  <c r="AS44" i="11"/>
  <c r="AR44" i="11"/>
  <c r="AP44" i="11"/>
  <c r="AO44" i="11"/>
  <c r="AM44" i="11"/>
  <c r="AL44" i="11"/>
  <c r="AK44" i="11"/>
  <c r="AJ44" i="11"/>
  <c r="AI44" i="11"/>
  <c r="AH44" i="11"/>
  <c r="CS43" i="11"/>
  <c r="CR43" i="11"/>
  <c r="CQ43" i="11"/>
  <c r="CO43" i="11"/>
  <c r="CN43" i="11"/>
  <c r="CL43" i="11"/>
  <c r="CK43" i="11"/>
  <c r="CI43" i="11"/>
  <c r="CH43" i="11"/>
  <c r="CG43" i="11"/>
  <c r="CF43" i="11"/>
  <c r="CE43" i="11"/>
  <c r="CC43" i="11"/>
  <c r="CB43" i="11"/>
  <c r="BZ43" i="11"/>
  <c r="BY43" i="11"/>
  <c r="BW43" i="11"/>
  <c r="BV43" i="11"/>
  <c r="BU43" i="11"/>
  <c r="BT43" i="11"/>
  <c r="BS43" i="11"/>
  <c r="BQ43" i="11"/>
  <c r="BP43" i="11"/>
  <c r="BN43" i="11"/>
  <c r="BM43" i="11"/>
  <c r="BK43" i="11"/>
  <c r="BJ43" i="11"/>
  <c r="BI43" i="11"/>
  <c r="BH43" i="11"/>
  <c r="BG43" i="11"/>
  <c r="BE43" i="11"/>
  <c r="BD43" i="11"/>
  <c r="BB43" i="11"/>
  <c r="BA43" i="11"/>
  <c r="AY43" i="11"/>
  <c r="AX43" i="11"/>
  <c r="AW43" i="11"/>
  <c r="AV43" i="11"/>
  <c r="AU43" i="11"/>
  <c r="AS43" i="11"/>
  <c r="AR43" i="11"/>
  <c r="AP43" i="11"/>
  <c r="AO43" i="11"/>
  <c r="AM43" i="11"/>
  <c r="AL43" i="11"/>
  <c r="AK43" i="11"/>
  <c r="AJ43" i="11"/>
  <c r="AI43" i="11"/>
  <c r="AH43" i="11"/>
  <c r="CS42" i="11"/>
  <c r="CP42" i="11"/>
  <c r="CP43" i="11" s="1"/>
  <c r="CM42" i="11"/>
  <c r="CM43" i="11" s="1"/>
  <c r="CJ42" i="11"/>
  <c r="CJ43" i="11" s="1"/>
  <c r="CG42" i="11"/>
  <c r="CD42" i="11"/>
  <c r="CD43" i="11" s="1"/>
  <c r="CA42" i="11"/>
  <c r="CA43" i="11" s="1"/>
  <c r="BX42" i="11"/>
  <c r="BX43" i="11" s="1"/>
  <c r="BU42" i="11"/>
  <c r="BR42" i="11"/>
  <c r="BR43" i="11" s="1"/>
  <c r="BO42" i="11"/>
  <c r="BO43" i="11" s="1"/>
  <c r="BL42" i="11"/>
  <c r="BL43" i="11" s="1"/>
  <c r="BI42" i="11"/>
  <c r="BF42" i="11"/>
  <c r="BF43" i="11" s="1"/>
  <c r="BC42" i="11"/>
  <c r="BC43" i="11" s="1"/>
  <c r="AZ42" i="11"/>
  <c r="AZ43" i="11" s="1"/>
  <c r="AW42" i="11"/>
  <c r="AT42" i="11"/>
  <c r="AT43" i="11" s="1"/>
  <c r="AQ42" i="11"/>
  <c r="AQ43" i="11" s="1"/>
  <c r="AN42" i="11"/>
  <c r="AN43" i="11" s="1"/>
  <c r="CS41" i="11"/>
  <c r="CS48" i="11" s="1"/>
  <c r="CS50" i="11" s="1"/>
  <c r="CP41" i="11"/>
  <c r="CM41" i="11"/>
  <c r="CJ41" i="11"/>
  <c r="CJ48" i="11" s="1"/>
  <c r="CG41" i="11"/>
  <c r="CG48" i="11" s="1"/>
  <c r="CG50" i="11" s="1"/>
  <c r="CD41" i="11"/>
  <c r="CA41" i="11"/>
  <c r="BX41" i="11"/>
  <c r="BX48" i="11" s="1"/>
  <c r="BU41" i="11"/>
  <c r="BU48" i="11" s="1"/>
  <c r="BU50" i="11" s="1"/>
  <c r="BR41" i="11"/>
  <c r="BO41" i="11"/>
  <c r="BL41" i="11"/>
  <c r="BL48" i="11" s="1"/>
  <c r="BI41" i="11"/>
  <c r="BI48" i="11" s="1"/>
  <c r="BI50" i="11" s="1"/>
  <c r="BF41" i="11"/>
  <c r="BC41" i="11"/>
  <c r="AZ41" i="11"/>
  <c r="AZ48" i="11" s="1"/>
  <c r="AW41" i="11"/>
  <c r="AW48" i="11" s="1"/>
  <c r="AW50" i="11" s="1"/>
  <c r="AT41" i="11"/>
  <c r="AQ41" i="11"/>
  <c r="AN41" i="11"/>
  <c r="AN48" i="11" s="1"/>
  <c r="CP40" i="11"/>
  <c r="CL40" i="11"/>
  <c r="CD40" i="11"/>
  <c r="BZ40" i="11"/>
  <c r="BR40" i="11"/>
  <c r="BN40" i="11"/>
  <c r="BJ40" i="11"/>
  <c r="BF40" i="11"/>
  <c r="BB40" i="11"/>
  <c r="AT40" i="11"/>
  <c r="AP40" i="11"/>
  <c r="AH40" i="11"/>
  <c r="CS39" i="11"/>
  <c r="CC39" i="11"/>
  <c r="BU39" i="11"/>
  <c r="AW39" i="11"/>
  <c r="CQ38" i="11"/>
  <c r="CN38" i="11"/>
  <c r="CK38" i="11"/>
  <c r="CH38" i="11"/>
  <c r="CE38" i="11"/>
  <c r="CB38" i="11"/>
  <c r="BY38" i="11"/>
  <c r="BV38" i="11"/>
  <c r="BS38" i="11"/>
  <c r="BP38" i="11"/>
  <c r="BM38" i="11"/>
  <c r="BJ38" i="11"/>
  <c r="BG38" i="11"/>
  <c r="BD38" i="11"/>
  <c r="BA38" i="11"/>
  <c r="AX38" i="11"/>
  <c r="AU38" i="11"/>
  <c r="AR38" i="11"/>
  <c r="AO38" i="11"/>
  <c r="AL38" i="11"/>
  <c r="CI37" i="11"/>
  <c r="CA37" i="11"/>
  <c r="BK37" i="11"/>
  <c r="BC37" i="11"/>
  <c r="AM37" i="11"/>
  <c r="CQ36" i="11"/>
  <c r="CN36" i="11"/>
  <c r="CK36" i="11"/>
  <c r="CH36" i="11"/>
  <c r="CH37" i="11" s="1"/>
  <c r="CE36" i="11"/>
  <c r="CB36" i="11"/>
  <c r="BY36" i="11"/>
  <c r="BV36" i="11"/>
  <c r="BV37" i="11" s="1"/>
  <c r="BS36" i="11"/>
  <c r="BP36" i="11"/>
  <c r="BM36" i="11"/>
  <c r="BJ36" i="11"/>
  <c r="BJ37" i="11" s="1"/>
  <c r="BG36" i="11"/>
  <c r="BD36" i="11"/>
  <c r="BA36" i="11"/>
  <c r="AX36" i="11"/>
  <c r="AX37" i="11" s="1"/>
  <c r="AU36" i="11"/>
  <c r="AR36" i="11"/>
  <c r="AO36" i="11"/>
  <c r="AL36" i="11"/>
  <c r="AL37" i="11" s="1"/>
  <c r="CS35" i="11"/>
  <c r="CP35" i="11"/>
  <c r="CP37" i="11" s="1"/>
  <c r="CO35" i="11"/>
  <c r="CL35" i="11"/>
  <c r="CL37" i="11" s="1"/>
  <c r="CG35" i="11"/>
  <c r="CD35" i="11"/>
  <c r="CD37" i="11" s="1"/>
  <c r="CC35" i="11"/>
  <c r="BZ35" i="11"/>
  <c r="BZ37" i="11" s="1"/>
  <c r="BY35" i="11"/>
  <c r="BY40" i="11" s="1"/>
  <c r="BU35" i="11"/>
  <c r="BR35" i="11"/>
  <c r="BR37" i="11" s="1"/>
  <c r="BQ35" i="11"/>
  <c r="BN35" i="11"/>
  <c r="BN37" i="11" s="1"/>
  <c r="BI35" i="11"/>
  <c r="BI39" i="11" s="1"/>
  <c r="BF35" i="11"/>
  <c r="BF37" i="11" s="1"/>
  <c r="BE35" i="11"/>
  <c r="BB35" i="11"/>
  <c r="BB37" i="11" s="1"/>
  <c r="AW35" i="11"/>
  <c r="AT35" i="11"/>
  <c r="AT37" i="11" s="1"/>
  <c r="AS35" i="11"/>
  <c r="AP35" i="11"/>
  <c r="AP37" i="11" s="1"/>
  <c r="AK35" i="11"/>
  <c r="AK39" i="11" s="1"/>
  <c r="AH35" i="11"/>
  <c r="AH37" i="11" s="1"/>
  <c r="CQ33" i="11"/>
  <c r="CN33" i="11"/>
  <c r="CK33" i="11"/>
  <c r="CK30" i="11" s="1"/>
  <c r="CH33" i="11"/>
  <c r="CE33" i="11"/>
  <c r="CB33" i="11"/>
  <c r="BY33" i="11"/>
  <c r="BY30" i="11" s="1"/>
  <c r="BV33" i="11"/>
  <c r="BS33" i="11"/>
  <c r="BP33" i="11"/>
  <c r="BM33" i="11"/>
  <c r="BM30" i="11" s="1"/>
  <c r="BM35" i="11" s="1"/>
  <c r="BJ33" i="11"/>
  <c r="BG33" i="11"/>
  <c r="BD33" i="11"/>
  <c r="BA33" i="11"/>
  <c r="BA30" i="11" s="1"/>
  <c r="BA35" i="11" s="1"/>
  <c r="AX33" i="11"/>
  <c r="AU33" i="11"/>
  <c r="AR33" i="11"/>
  <c r="AO33" i="11"/>
  <c r="AO30" i="11" s="1"/>
  <c r="AL33" i="11"/>
  <c r="F33" i="11"/>
  <c r="F34" i="11" s="1"/>
  <c r="F35" i="11" s="1"/>
  <c r="F36" i="11" s="1"/>
  <c r="F37" i="11" s="1"/>
  <c r="F38" i="11" s="1"/>
  <c r="F39" i="11" s="1"/>
  <c r="F40" i="11" s="1"/>
  <c r="F41" i="11" s="1"/>
  <c r="F42" i="11" s="1"/>
  <c r="F43" i="11" s="1"/>
  <c r="F44" i="11" s="1"/>
  <c r="F45" i="11" s="1"/>
  <c r="F46" i="11" s="1"/>
  <c r="F47" i="11" s="1"/>
  <c r="F48" i="11" s="1"/>
  <c r="F49" i="11" s="1"/>
  <c r="F50" i="11" s="1"/>
  <c r="F51" i="11" s="1"/>
  <c r="F52" i="11" s="1"/>
  <c r="F53" i="11" s="1"/>
  <c r="F54" i="11" s="1"/>
  <c r="F55" i="11" s="1"/>
  <c r="F56" i="11" s="1"/>
  <c r="F57" i="11" s="1"/>
  <c r="F58" i="11" s="1"/>
  <c r="F59" i="11" s="1"/>
  <c r="F60" i="11" s="1"/>
  <c r="F61" i="11" s="1"/>
  <c r="F62" i="11" s="1"/>
  <c r="F63" i="11" s="1"/>
  <c r="F64" i="11" s="1"/>
  <c r="F65" i="11" s="1"/>
  <c r="F66" i="11" s="1"/>
  <c r="F67" i="11" s="1"/>
  <c r="F68" i="11" s="1"/>
  <c r="F69" i="11" s="1"/>
  <c r="F70" i="11" s="1"/>
  <c r="F71" i="11" s="1"/>
  <c r="F72" i="11" s="1"/>
  <c r="F73" i="11" s="1"/>
  <c r="F74" i="11" s="1"/>
  <c r="F75" i="11" s="1"/>
  <c r="F76" i="11" s="1"/>
  <c r="F77" i="11" s="1"/>
  <c r="F78" i="11" s="1"/>
  <c r="F79" i="11" s="1"/>
  <c r="F80" i="11" s="1"/>
  <c r="F81" i="11" s="1"/>
  <c r="F82" i="11" s="1"/>
  <c r="F83" i="11" s="1"/>
  <c r="F84" i="11" s="1"/>
  <c r="F85" i="11" s="1"/>
  <c r="F86" i="11" s="1"/>
  <c r="F87" i="11" s="1"/>
  <c r="F88" i="11" s="1"/>
  <c r="F89" i="11" s="1"/>
  <c r="F90" i="11" s="1"/>
  <c r="F91" i="11" s="1"/>
  <c r="F92" i="11" s="1"/>
  <c r="F93" i="11" s="1"/>
  <c r="F94" i="11" s="1"/>
  <c r="F95" i="11" s="1"/>
  <c r="F96" i="11" s="1"/>
  <c r="F97" i="11" s="1"/>
  <c r="F98" i="11" s="1"/>
  <c r="F99" i="11" s="1"/>
  <c r="F100" i="11" s="1"/>
  <c r="F101" i="11" s="1"/>
  <c r="F102" i="11" s="1"/>
  <c r="F103" i="11" s="1"/>
  <c r="F104" i="11" s="1"/>
  <c r="F105" i="11" s="1"/>
  <c r="F106" i="11" s="1"/>
  <c r="F107" i="11" s="1"/>
  <c r="F108" i="11" s="1"/>
  <c r="F109" i="11" s="1"/>
  <c r="F110" i="11" s="1"/>
  <c r="F111" i="11" s="1"/>
  <c r="F112" i="11" s="1"/>
  <c r="F113" i="11" s="1"/>
  <c r="F114" i="11" s="1"/>
  <c r="F115" i="11" s="1"/>
  <c r="F116" i="11" s="1"/>
  <c r="F117" i="11" s="1"/>
  <c r="F118" i="11" s="1"/>
  <c r="F119" i="11" s="1"/>
  <c r="F120" i="11" s="1"/>
  <c r="F121" i="11" s="1"/>
  <c r="F122" i="11" s="1"/>
  <c r="F123" i="11" s="1"/>
  <c r="F124" i="11" s="1"/>
  <c r="F125" i="11" s="1"/>
  <c r="F126" i="11" s="1"/>
  <c r="F127" i="11" s="1"/>
  <c r="F128" i="11" s="1"/>
  <c r="F129" i="11" s="1"/>
  <c r="F130" i="11" s="1"/>
  <c r="F131" i="11" s="1"/>
  <c r="F132" i="11" s="1"/>
  <c r="F133" i="11" s="1"/>
  <c r="F134" i="11" s="1"/>
  <c r="F135" i="11" s="1"/>
  <c r="F136" i="11" s="1"/>
  <c r="F137" i="11" s="1"/>
  <c r="F138" i="11" s="1"/>
  <c r="CS32" i="11"/>
  <c r="CR32" i="11"/>
  <c r="CP32" i="11"/>
  <c r="CO32" i="11"/>
  <c r="CM32" i="11"/>
  <c r="CL32" i="11"/>
  <c r="CJ32" i="11"/>
  <c r="CI32" i="11"/>
  <c r="CH32" i="11"/>
  <c r="CG32" i="11"/>
  <c r="CF32" i="11"/>
  <c r="CD32" i="11"/>
  <c r="CC32" i="11"/>
  <c r="CA32" i="11"/>
  <c r="BZ32" i="11"/>
  <c r="BX32" i="11"/>
  <c r="BW32" i="11"/>
  <c r="BV32" i="11"/>
  <c r="BU32" i="11"/>
  <c r="BT32" i="11"/>
  <c r="BR32" i="11"/>
  <c r="BQ32" i="11"/>
  <c r="BO32" i="11"/>
  <c r="BN32" i="11"/>
  <c r="BL32" i="11"/>
  <c r="BK32" i="11"/>
  <c r="BJ32" i="11"/>
  <c r="BI32" i="11"/>
  <c r="BH32" i="11"/>
  <c r="BF32" i="11"/>
  <c r="BE32" i="11"/>
  <c r="BC32" i="11"/>
  <c r="BB32" i="11"/>
  <c r="AZ32" i="11"/>
  <c r="AY32" i="11"/>
  <c r="AX32" i="11"/>
  <c r="AW32" i="11"/>
  <c r="AV32" i="11"/>
  <c r="AT32" i="11"/>
  <c r="AS32" i="11"/>
  <c r="AQ32" i="11"/>
  <c r="AP32" i="11"/>
  <c r="AN32" i="11"/>
  <c r="AM32" i="11"/>
  <c r="AL32" i="11"/>
  <c r="AK32" i="11"/>
  <c r="AJ32" i="11"/>
  <c r="AI32" i="11"/>
  <c r="AH32" i="11"/>
  <c r="CQ31" i="11"/>
  <c r="CN31" i="11"/>
  <c r="CN32" i="11" s="1"/>
  <c r="CK31" i="11"/>
  <c r="CK32" i="11" s="1"/>
  <c r="CH31" i="11"/>
  <c r="CH30" i="11" s="1"/>
  <c r="CH35" i="11" s="1"/>
  <c r="CH39" i="11" s="1"/>
  <c r="CE31" i="11"/>
  <c r="CB31" i="11"/>
  <c r="CB32" i="11" s="1"/>
  <c r="BY31" i="11"/>
  <c r="BY32" i="11" s="1"/>
  <c r="BV31" i="11"/>
  <c r="BV30" i="11" s="1"/>
  <c r="BV35" i="11" s="1"/>
  <c r="BV39" i="11" s="1"/>
  <c r="BS31" i="11"/>
  <c r="BP31" i="11"/>
  <c r="BP32" i="11" s="1"/>
  <c r="BM31" i="11"/>
  <c r="BM32" i="11" s="1"/>
  <c r="BJ31" i="11"/>
  <c r="BJ30" i="11" s="1"/>
  <c r="BJ35" i="11" s="1"/>
  <c r="BJ39" i="11" s="1"/>
  <c r="BG31" i="11"/>
  <c r="BD31" i="11"/>
  <c r="BD32" i="11" s="1"/>
  <c r="BA31" i="11"/>
  <c r="BA32" i="11" s="1"/>
  <c r="AX31" i="11"/>
  <c r="AX30" i="11" s="1"/>
  <c r="AX35" i="11" s="1"/>
  <c r="AX39" i="11" s="1"/>
  <c r="AU31" i="11"/>
  <c r="AR31" i="11"/>
  <c r="AR32" i="11" s="1"/>
  <c r="AO31" i="11"/>
  <c r="AO32" i="11" s="1"/>
  <c r="AL31" i="11"/>
  <c r="AL30" i="11" s="1"/>
  <c r="AL35" i="11" s="1"/>
  <c r="AL39" i="11" s="1"/>
  <c r="CS30" i="11"/>
  <c r="CR30" i="11"/>
  <c r="CR35" i="11" s="1"/>
  <c r="CP30" i="11"/>
  <c r="CO30" i="11"/>
  <c r="CN30" i="11"/>
  <c r="CM30" i="11"/>
  <c r="CM35" i="11" s="1"/>
  <c r="CM37" i="11" s="1"/>
  <c r="CL30" i="11"/>
  <c r="CJ30" i="11"/>
  <c r="CJ35" i="11" s="1"/>
  <c r="CI30" i="11"/>
  <c r="CI35" i="11" s="1"/>
  <c r="CG30" i="11"/>
  <c r="CF30" i="11"/>
  <c r="CF35" i="11" s="1"/>
  <c r="CD30" i="11"/>
  <c r="CC30" i="11"/>
  <c r="CB30" i="11"/>
  <c r="CA30" i="11"/>
  <c r="CA35" i="11" s="1"/>
  <c r="BZ30" i="11"/>
  <c r="BX30" i="11"/>
  <c r="BX35" i="11" s="1"/>
  <c r="BW30" i="11"/>
  <c r="BW35" i="11" s="1"/>
  <c r="BW37" i="11" s="1"/>
  <c r="BU30" i="11"/>
  <c r="BT30" i="11"/>
  <c r="BT35" i="11" s="1"/>
  <c r="BR30" i="11"/>
  <c r="BQ30" i="11"/>
  <c r="BP30" i="11"/>
  <c r="BO30" i="11"/>
  <c r="BO35" i="11" s="1"/>
  <c r="BO37" i="11" s="1"/>
  <c r="BN30" i="11"/>
  <c r="BL30" i="11"/>
  <c r="BL35" i="11" s="1"/>
  <c r="BK30" i="11"/>
  <c r="BK35" i="11" s="1"/>
  <c r="BI30" i="11"/>
  <c r="BH30" i="11"/>
  <c r="BH35" i="11" s="1"/>
  <c r="BF30" i="11"/>
  <c r="BE30" i="11"/>
  <c r="BD30" i="11"/>
  <c r="BC30" i="11"/>
  <c r="BC35" i="11" s="1"/>
  <c r="BB30" i="11"/>
  <c r="AZ30" i="11"/>
  <c r="AZ35" i="11" s="1"/>
  <c r="AY30" i="11"/>
  <c r="AY35" i="11" s="1"/>
  <c r="AY37" i="11" s="1"/>
  <c r="AW30" i="11"/>
  <c r="AV30" i="11"/>
  <c r="AV35" i="11" s="1"/>
  <c r="AT30" i="11"/>
  <c r="AS30" i="11"/>
  <c r="AR30" i="11"/>
  <c r="AQ30" i="11"/>
  <c r="AQ35" i="11" s="1"/>
  <c r="AQ37" i="11" s="1"/>
  <c r="AP30" i="11"/>
  <c r="AN30" i="11"/>
  <c r="AN35" i="11" s="1"/>
  <c r="AM30" i="11"/>
  <c r="AM35" i="11" s="1"/>
  <c r="AK30" i="11"/>
  <c r="AJ30" i="11"/>
  <c r="AJ35" i="11" s="1"/>
  <c r="AI30" i="11"/>
  <c r="AI35" i="11" s="1"/>
  <c r="AI37" i="11" s="1"/>
  <c r="AH30" i="11"/>
  <c r="CQ29" i="11"/>
  <c r="CN29" i="11"/>
  <c r="CN35" i="11" s="1"/>
  <c r="CK29" i="11"/>
  <c r="CK35" i="11" s="1"/>
  <c r="CH29" i="11"/>
  <c r="CE29" i="11"/>
  <c r="CB29" i="11"/>
  <c r="BY29" i="11"/>
  <c r="BV29" i="11"/>
  <c r="BS29" i="11"/>
  <c r="BP29" i="11"/>
  <c r="BP35" i="11" s="1"/>
  <c r="BM29" i="11"/>
  <c r="BJ29" i="11"/>
  <c r="BG29" i="11"/>
  <c r="BD29" i="11"/>
  <c r="BD35" i="11" s="1"/>
  <c r="BA29" i="11"/>
  <c r="AX29" i="11"/>
  <c r="AU29" i="11"/>
  <c r="AR29" i="11"/>
  <c r="AR35" i="11" s="1"/>
  <c r="AO29" i="11"/>
  <c r="AO35" i="11" s="1"/>
  <c r="AL29" i="11"/>
  <c r="F29" i="11"/>
  <c r="F30" i="11" s="1"/>
  <c r="F31" i="11" s="1"/>
  <c r="F32" i="11" s="1"/>
  <c r="CW28" i="11"/>
  <c r="S28" i="11"/>
  <c r="H28" i="11"/>
  <c r="G28" i="11"/>
  <c r="F28" i="11"/>
  <c r="BU25" i="11"/>
  <c r="BU11" i="11" s="1"/>
  <c r="BT25" i="11"/>
  <c r="BR25" i="11"/>
  <c r="BQ25" i="11"/>
  <c r="AQ25" i="11"/>
  <c r="AP25" i="11"/>
  <c r="AP7" i="11" s="1"/>
  <c r="AN25" i="11"/>
  <c r="AM25" i="11"/>
  <c r="CR24" i="11"/>
  <c r="CS24" i="11" s="1"/>
  <c r="CQ24" i="11"/>
  <c r="CN24" i="11"/>
  <c r="CO24" i="11" s="1"/>
  <c r="CP24" i="11" s="1"/>
  <c r="CK24" i="11"/>
  <c r="CL24" i="11" s="1"/>
  <c r="CM24" i="11" s="1"/>
  <c r="CJ24" i="11"/>
  <c r="CI24" i="11"/>
  <c r="CH24" i="11"/>
  <c r="CF24" i="11"/>
  <c r="CG24" i="11" s="1"/>
  <c r="CE24" i="11"/>
  <c r="CB24" i="11"/>
  <c r="CC24" i="11" s="1"/>
  <c r="CD24" i="11" s="1"/>
  <c r="BY24" i="11"/>
  <c r="BZ24" i="11" s="1"/>
  <c r="CA24" i="11" s="1"/>
  <c r="BX24" i="11"/>
  <c r="BW24" i="11"/>
  <c r="BV24" i="11"/>
  <c r="BT24" i="11"/>
  <c r="BU24" i="11" s="1"/>
  <c r="BS24" i="11"/>
  <c r="BP24" i="11"/>
  <c r="BQ24" i="11" s="1"/>
  <c r="BR24" i="11" s="1"/>
  <c r="BM24" i="11"/>
  <c r="BN24" i="11" s="1"/>
  <c r="BO24" i="11" s="1"/>
  <c r="BL24" i="11"/>
  <c r="BK24" i="11"/>
  <c r="BJ24" i="11"/>
  <c r="BH24" i="11"/>
  <c r="BI24" i="11" s="1"/>
  <c r="BG24" i="11"/>
  <c r="BD24" i="11"/>
  <c r="BE24" i="11" s="1"/>
  <c r="BF24" i="11" s="1"/>
  <c r="BA24" i="11"/>
  <c r="BB24" i="11" s="1"/>
  <c r="BC24" i="11" s="1"/>
  <c r="AZ24" i="11"/>
  <c r="AY24" i="11"/>
  <c r="AX24" i="11"/>
  <c r="AV24" i="11"/>
  <c r="AW24" i="11" s="1"/>
  <c r="AU24" i="11"/>
  <c r="AR24" i="11"/>
  <c r="AS24" i="11" s="1"/>
  <c r="AT24" i="11" s="1"/>
  <c r="AO24" i="11"/>
  <c r="AP24" i="11" s="1"/>
  <c r="AQ24" i="11" s="1"/>
  <c r="AN24" i="11"/>
  <c r="AM24" i="11"/>
  <c r="AL24" i="11"/>
  <c r="AK24" i="11"/>
  <c r="AJ24" i="11"/>
  <c r="AI24" i="11"/>
  <c r="AH24" i="11"/>
  <c r="CT11" i="11"/>
  <c r="CS11" i="11"/>
  <c r="CR11" i="11"/>
  <c r="CQ11" i="11"/>
  <c r="CP11" i="11"/>
  <c r="CO11" i="11"/>
  <c r="CN11" i="11"/>
  <c r="CM11" i="11"/>
  <c r="CL11" i="11"/>
  <c r="CK11" i="11"/>
  <c r="CJ11" i="11"/>
  <c r="CI11" i="11"/>
  <c r="CH11" i="11"/>
  <c r="CG11" i="11"/>
  <c r="CF11" i="11"/>
  <c r="CE11" i="11"/>
  <c r="CD11" i="11"/>
  <c r="CC11" i="11"/>
  <c r="CB11" i="11"/>
  <c r="CA11" i="11"/>
  <c r="BZ11" i="11"/>
  <c r="BY11" i="11"/>
  <c r="BX11" i="11"/>
  <c r="BW11" i="11"/>
  <c r="BV11" i="11"/>
  <c r="BS11" i="11"/>
  <c r="BR11" i="11"/>
  <c r="BQ11" i="11"/>
  <c r="BP11" i="11"/>
  <c r="BO11" i="11"/>
  <c r="BN11" i="11"/>
  <c r="BM11" i="11"/>
  <c r="BL11" i="11"/>
  <c r="BK11" i="11"/>
  <c r="BJ11" i="11"/>
  <c r="BI11" i="11"/>
  <c r="BH11" i="11"/>
  <c r="BG11" i="11"/>
  <c r="BF11" i="11"/>
  <c r="BE11" i="11"/>
  <c r="BD11" i="11"/>
  <c r="BC11" i="11"/>
  <c r="BB11" i="11"/>
  <c r="BA11" i="11"/>
  <c r="AZ11" i="11"/>
  <c r="AY11" i="11"/>
  <c r="AX11" i="11"/>
  <c r="AW11" i="11"/>
  <c r="AV11" i="11"/>
  <c r="AU11" i="11"/>
  <c r="AT11" i="11"/>
  <c r="AS11" i="11"/>
  <c r="AR11" i="11"/>
  <c r="AQ11" i="11"/>
  <c r="AP11" i="11"/>
  <c r="AO11" i="11"/>
  <c r="AN11" i="11"/>
  <c r="AM11" i="11"/>
  <c r="AL11" i="11"/>
  <c r="AK11" i="11"/>
  <c r="AJ11" i="11"/>
  <c r="AI11" i="11"/>
  <c r="AH11" i="11"/>
  <c r="CS10" i="11"/>
  <c r="CR10" i="11"/>
  <c r="CQ10" i="11"/>
  <c r="CP10" i="11"/>
  <c r="CO10" i="11"/>
  <c r="CN10" i="11"/>
  <c r="CM10" i="11"/>
  <c r="CL10" i="11"/>
  <c r="CK10" i="11"/>
  <c r="CJ10" i="11"/>
  <c r="CI10" i="11"/>
  <c r="CH10" i="11"/>
  <c r="CG10" i="11"/>
  <c r="CF10" i="11"/>
  <c r="CE10" i="11"/>
  <c r="CD10" i="11"/>
  <c r="CC10" i="11"/>
  <c r="CB10" i="11"/>
  <c r="CA10" i="11"/>
  <c r="BZ10" i="11"/>
  <c r="BY10" i="11"/>
  <c r="BX10" i="11"/>
  <c r="BW10" i="11"/>
  <c r="BV10" i="11"/>
  <c r="BU10" i="11"/>
  <c r="BT10" i="11"/>
  <c r="BS10" i="11"/>
  <c r="BR10" i="11"/>
  <c r="BQ10" i="11"/>
  <c r="BP10" i="11"/>
  <c r="BO10" i="11"/>
  <c r="BN10" i="11"/>
  <c r="BM10" i="11"/>
  <c r="BL10" i="11"/>
  <c r="BK10" i="11"/>
  <c r="BJ10" i="11"/>
  <c r="BI10" i="11"/>
  <c r="BH10" i="11"/>
  <c r="BG10" i="11"/>
  <c r="BF10" i="11"/>
  <c r="BE10" i="11"/>
  <c r="BD10" i="11"/>
  <c r="BC10" i="11"/>
  <c r="BB10" i="11"/>
  <c r="BA10" i="11"/>
  <c r="AZ10" i="11"/>
  <c r="AY10" i="11"/>
  <c r="AX10" i="11"/>
  <c r="AW10" i="11"/>
  <c r="AV10" i="11"/>
  <c r="AU10" i="11"/>
  <c r="AT10" i="11"/>
  <c r="AS10" i="11"/>
  <c r="AR10" i="11"/>
  <c r="AQ10" i="11"/>
  <c r="AP10" i="11"/>
  <c r="AO10" i="11"/>
  <c r="AN10" i="11"/>
  <c r="AM10" i="11"/>
  <c r="AL10" i="11"/>
  <c r="AK10" i="11"/>
  <c r="AJ10" i="11"/>
  <c r="AI10" i="11"/>
  <c r="AH10" i="11"/>
  <c r="CS9" i="11"/>
  <c r="CR9" i="11"/>
  <c r="CQ9" i="11"/>
  <c r="CP9" i="11"/>
  <c r="CO9" i="11"/>
  <c r="CN9" i="11"/>
  <c r="CM9" i="11"/>
  <c r="CL9" i="11"/>
  <c r="CK9" i="11"/>
  <c r="CJ9" i="11"/>
  <c r="CI9" i="11"/>
  <c r="CH9" i="11"/>
  <c r="CG9" i="11"/>
  <c r="CF9" i="11"/>
  <c r="CE9" i="11"/>
  <c r="CD9" i="11"/>
  <c r="CC9" i="11"/>
  <c r="CB9" i="11"/>
  <c r="CA9" i="11"/>
  <c r="BZ9" i="11"/>
  <c r="BY9" i="11"/>
  <c r="BX9" i="11"/>
  <c r="BW9" i="11"/>
  <c r="BV9" i="11"/>
  <c r="BU9" i="11"/>
  <c r="BT9" i="11"/>
  <c r="BS9" i="11"/>
  <c r="BR9" i="11"/>
  <c r="BQ9" i="11"/>
  <c r="BP9" i="11"/>
  <c r="BO9" i="11"/>
  <c r="BN9" i="11"/>
  <c r="BM9" i="11"/>
  <c r="BL9" i="11"/>
  <c r="BK9" i="11"/>
  <c r="BJ9" i="11"/>
  <c r="BI9" i="11"/>
  <c r="BH9" i="11"/>
  <c r="BG9" i="11"/>
  <c r="BF9" i="11"/>
  <c r="BE9" i="11"/>
  <c r="BD9" i="11"/>
  <c r="BC9" i="11"/>
  <c r="BB9" i="11"/>
  <c r="BA9" i="11"/>
  <c r="AZ9" i="11"/>
  <c r="AY9" i="11"/>
  <c r="AX9" i="11"/>
  <c r="AW9" i="11"/>
  <c r="AV9" i="11"/>
  <c r="AU9" i="11"/>
  <c r="AT9" i="11"/>
  <c r="AS9" i="11"/>
  <c r="AR9" i="11"/>
  <c r="AQ9" i="11"/>
  <c r="AP9" i="11"/>
  <c r="AO9" i="11"/>
  <c r="AN9" i="11"/>
  <c r="AM9" i="11"/>
  <c r="AL9" i="11"/>
  <c r="AK9" i="11"/>
  <c r="AJ9" i="11"/>
  <c r="AI9" i="11"/>
  <c r="AH9" i="11"/>
  <c r="CS7" i="11"/>
  <c r="CR7" i="11"/>
  <c r="CQ7" i="11"/>
  <c r="CP7" i="11"/>
  <c r="CO7" i="11"/>
  <c r="CN7" i="11"/>
  <c r="CM7" i="11"/>
  <c r="CL7" i="11"/>
  <c r="CK7" i="11"/>
  <c r="CJ7" i="11"/>
  <c r="CI7" i="11"/>
  <c r="CH7" i="11"/>
  <c r="CG7" i="11"/>
  <c r="CF7" i="11"/>
  <c r="CE7" i="11"/>
  <c r="CD7" i="11"/>
  <c r="CC7" i="11"/>
  <c r="CB7" i="11"/>
  <c r="CA7" i="11"/>
  <c r="BZ7" i="11"/>
  <c r="BY7" i="11"/>
  <c r="BX7" i="11"/>
  <c r="BW7" i="11"/>
  <c r="BV7" i="11"/>
  <c r="BS7" i="11"/>
  <c r="BR7" i="11"/>
  <c r="BQ7" i="11"/>
  <c r="BP7" i="11"/>
  <c r="BO7" i="11"/>
  <c r="BN7" i="11"/>
  <c r="BM7" i="11"/>
  <c r="BL7" i="11"/>
  <c r="BK7" i="11"/>
  <c r="BJ7" i="11"/>
  <c r="BI7" i="11"/>
  <c r="BH7" i="11"/>
  <c r="BG7" i="11"/>
  <c r="BF7" i="11"/>
  <c r="BE7" i="11"/>
  <c r="BD7" i="11"/>
  <c r="BC7" i="11"/>
  <c r="BB7" i="11"/>
  <c r="BA7" i="11"/>
  <c r="AZ7" i="11"/>
  <c r="AY7" i="11"/>
  <c r="AX7" i="11"/>
  <c r="AW7" i="11"/>
  <c r="AV7" i="11"/>
  <c r="AU7" i="11"/>
  <c r="AT7" i="11"/>
  <c r="AS7" i="11"/>
  <c r="AR7" i="11"/>
  <c r="AQ7" i="11"/>
  <c r="AO7" i="11"/>
  <c r="AN7" i="11"/>
  <c r="AM7" i="11"/>
  <c r="AL7" i="11"/>
  <c r="AK7" i="11"/>
  <c r="AJ7" i="11"/>
  <c r="AI7" i="11"/>
  <c r="AH7" i="11"/>
  <c r="CS6" i="11"/>
  <c r="CR6" i="11"/>
  <c r="CQ6" i="11"/>
  <c r="CP6" i="11"/>
  <c r="CP2" i="11" s="1"/>
  <c r="CO6" i="11"/>
  <c r="CN6" i="11"/>
  <c r="CM6" i="11"/>
  <c r="CL6" i="11"/>
  <c r="CK6" i="11"/>
  <c r="CJ6" i="11"/>
  <c r="CI6" i="11"/>
  <c r="CH6" i="11"/>
  <c r="CH2" i="11" s="1"/>
  <c r="CG6" i="11"/>
  <c r="CF6" i="11"/>
  <c r="CE6" i="11"/>
  <c r="CD6" i="11"/>
  <c r="CC6" i="11"/>
  <c r="CB6" i="11"/>
  <c r="CA6" i="11"/>
  <c r="BZ6" i="11"/>
  <c r="BZ2" i="11" s="1"/>
  <c r="BY6" i="11"/>
  <c r="BX6" i="11"/>
  <c r="BW6" i="11"/>
  <c r="BV6" i="11"/>
  <c r="BU6" i="11"/>
  <c r="BT6" i="11"/>
  <c r="BS6" i="11"/>
  <c r="BR6" i="11"/>
  <c r="BR2" i="11" s="1"/>
  <c r="BQ6" i="11"/>
  <c r="BP6" i="11"/>
  <c r="BO6" i="11"/>
  <c r="BN6" i="11"/>
  <c r="BM6" i="11"/>
  <c r="BL6" i="11"/>
  <c r="BK6" i="11"/>
  <c r="BJ6" i="11"/>
  <c r="BJ2" i="11" s="1"/>
  <c r="BI6" i="11"/>
  <c r="BH6" i="11"/>
  <c r="BG6" i="11"/>
  <c r="BF6" i="11"/>
  <c r="BE6" i="11"/>
  <c r="BD6" i="11"/>
  <c r="BC6" i="11"/>
  <c r="BB6" i="11"/>
  <c r="BB2" i="11" s="1"/>
  <c r="BA6" i="11"/>
  <c r="AZ6" i="11"/>
  <c r="AY6" i="11"/>
  <c r="AX6" i="11"/>
  <c r="AW6" i="11"/>
  <c r="AV6" i="11"/>
  <c r="AU6" i="11"/>
  <c r="AT6" i="11"/>
  <c r="AT2" i="11" s="1"/>
  <c r="AS6" i="11"/>
  <c r="AR6" i="11"/>
  <c r="AQ6" i="11"/>
  <c r="AP6" i="11"/>
  <c r="AO6" i="11"/>
  <c r="AN6" i="11"/>
  <c r="AM6" i="11"/>
  <c r="AL6" i="11"/>
  <c r="AK6" i="11"/>
  <c r="AJ6" i="11"/>
  <c r="AI6" i="11"/>
  <c r="AH6" i="11"/>
  <c r="T104" i="10"/>
  <c r="BB94" i="10"/>
  <c r="BA94" i="10"/>
  <c r="AZ94" i="10"/>
  <c r="AY94" i="10"/>
  <c r="AX94" i="10"/>
  <c r="AW94" i="10"/>
  <c r="AV94" i="10"/>
  <c r="AU94" i="10"/>
  <c r="AT94" i="10"/>
  <c r="AS94" i="10"/>
  <c r="AR94" i="10"/>
  <c r="AQ94" i="10"/>
  <c r="AP94" i="10"/>
  <c r="AO94" i="10"/>
  <c r="AN94" i="10"/>
  <c r="AM94" i="10"/>
  <c r="AL94" i="10"/>
  <c r="AK94" i="10"/>
  <c r="AJ94" i="10"/>
  <c r="AI94" i="10"/>
  <c r="AH94" i="10"/>
  <c r="AG94" i="10"/>
  <c r="AF94" i="10"/>
  <c r="AE94" i="10"/>
  <c r="BB91" i="10"/>
  <c r="BA91" i="10"/>
  <c r="AZ91" i="10"/>
  <c r="AY91" i="10"/>
  <c r="AX91" i="10"/>
  <c r="AW91" i="10"/>
  <c r="AV91" i="10"/>
  <c r="AU91" i="10"/>
  <c r="AT91" i="10"/>
  <c r="AS91" i="10"/>
  <c r="AR91" i="10"/>
  <c r="AQ91" i="10"/>
  <c r="AP91" i="10"/>
  <c r="AO91" i="10"/>
  <c r="AN91" i="10"/>
  <c r="AM91" i="10"/>
  <c r="AL91" i="10"/>
  <c r="AK91" i="10"/>
  <c r="AJ91" i="10"/>
  <c r="AI91" i="10"/>
  <c r="AH91" i="10"/>
  <c r="AG91" i="10"/>
  <c r="AF91" i="10"/>
  <c r="AE91" i="10"/>
  <c r="AM90" i="10"/>
  <c r="AM99" i="10" s="1"/>
  <c r="AR88" i="10"/>
  <c r="AR97" i="10" s="1"/>
  <c r="AN88" i="10"/>
  <c r="AN97" i="10" s="1"/>
  <c r="AJ88" i="10"/>
  <c r="AJ97" i="10" s="1"/>
  <c r="AF88" i="10"/>
  <c r="AF97" i="10" s="1"/>
  <c r="BB85" i="10"/>
  <c r="BA85" i="10"/>
  <c r="AZ85" i="10"/>
  <c r="AY85" i="10"/>
  <c r="AX85" i="10"/>
  <c r="AW85" i="10"/>
  <c r="AV85" i="10"/>
  <c r="AU85" i="10"/>
  <c r="AT85" i="10"/>
  <c r="AS85" i="10"/>
  <c r="AR85" i="10"/>
  <c r="AQ85" i="10"/>
  <c r="AP85" i="10"/>
  <c r="AO85" i="10"/>
  <c r="AN85" i="10"/>
  <c r="AM85" i="10"/>
  <c r="AL85" i="10"/>
  <c r="AK85" i="10"/>
  <c r="AJ85" i="10"/>
  <c r="AI85" i="10"/>
  <c r="AH85" i="10"/>
  <c r="AG85" i="10"/>
  <c r="AF85" i="10"/>
  <c r="AE85" i="10"/>
  <c r="BH83" i="10"/>
  <c r="AB83" i="10"/>
  <c r="BB81" i="10"/>
  <c r="BA81" i="10"/>
  <c r="AZ81" i="10"/>
  <c r="AY81" i="10"/>
  <c r="AX81" i="10"/>
  <c r="AW81" i="10"/>
  <c r="AV81" i="10"/>
  <c r="AU81" i="10"/>
  <c r="AT81" i="10"/>
  <c r="AS81" i="10"/>
  <c r="AR81" i="10"/>
  <c r="AQ81" i="10"/>
  <c r="AP81" i="10"/>
  <c r="AO81" i="10"/>
  <c r="AN81" i="10"/>
  <c r="AM81" i="10"/>
  <c r="AL81" i="10"/>
  <c r="AK81" i="10"/>
  <c r="AJ81" i="10"/>
  <c r="AI81" i="10"/>
  <c r="AH81" i="10"/>
  <c r="AG81" i="10"/>
  <c r="AF81" i="10"/>
  <c r="AE81" i="10"/>
  <c r="BH79" i="10"/>
  <c r="AB79" i="10"/>
  <c r="BB77" i="10"/>
  <c r="BA77" i="10"/>
  <c r="AZ77" i="10"/>
  <c r="AZ76" i="10" s="1"/>
  <c r="AY77" i="10"/>
  <c r="AY76" i="10" s="1"/>
  <c r="AX77" i="10"/>
  <c r="AW77" i="10"/>
  <c r="AV77" i="10"/>
  <c r="AV76" i="10" s="1"/>
  <c r="AU77" i="10"/>
  <c r="AU76" i="10" s="1"/>
  <c r="AT77" i="10"/>
  <c r="AS77" i="10"/>
  <c r="AR77" i="10"/>
  <c r="AR76" i="10" s="1"/>
  <c r="AQ77" i="10"/>
  <c r="AQ76" i="10" s="1"/>
  <c r="AP77" i="10"/>
  <c r="AO77" i="10"/>
  <c r="AN77" i="10"/>
  <c r="AN76" i="10" s="1"/>
  <c r="AM77" i="10"/>
  <c r="AM76" i="10" s="1"/>
  <c r="AL77" i="10"/>
  <c r="AK77" i="10"/>
  <c r="AJ77" i="10"/>
  <c r="AJ76" i="10" s="1"/>
  <c r="AI77" i="10"/>
  <c r="AI76" i="10" s="1"/>
  <c r="AH77" i="10"/>
  <c r="AG77" i="10"/>
  <c r="AF77" i="10"/>
  <c r="AF76" i="10" s="1"/>
  <c r="AE77" i="10"/>
  <c r="AE76" i="10" s="1"/>
  <c r="BB76" i="10"/>
  <c r="BA76" i="10"/>
  <c r="AX76" i="10"/>
  <c r="AW76" i="10"/>
  <c r="AT76" i="10"/>
  <c r="AS76" i="10"/>
  <c r="AP76" i="10"/>
  <c r="AO76" i="10"/>
  <c r="AL76" i="10"/>
  <c r="AK76" i="10"/>
  <c r="AH76" i="10"/>
  <c r="AG76" i="10"/>
  <c r="AB75" i="10"/>
  <c r="AB74" i="10"/>
  <c r="AB73" i="10"/>
  <c r="AB72" i="10"/>
  <c r="BB71" i="10"/>
  <c r="BB90" i="10" s="1"/>
  <c r="BB99" i="10" s="1"/>
  <c r="BA71" i="10"/>
  <c r="BA90" i="10" s="1"/>
  <c r="BA99" i="10" s="1"/>
  <c r="AZ71" i="10"/>
  <c r="AZ90" i="10" s="1"/>
  <c r="AZ99" i="10" s="1"/>
  <c r="AY71" i="10"/>
  <c r="AY90" i="10" s="1"/>
  <c r="AY99" i="10" s="1"/>
  <c r="AX71" i="10"/>
  <c r="AX90" i="10" s="1"/>
  <c r="AX99" i="10" s="1"/>
  <c r="AW71" i="10"/>
  <c r="AW90" i="10" s="1"/>
  <c r="AW99" i="10" s="1"/>
  <c r="AV71" i="10"/>
  <c r="AV90" i="10" s="1"/>
  <c r="AV99" i="10" s="1"/>
  <c r="AU71" i="10"/>
  <c r="AU90" i="10" s="1"/>
  <c r="AU99" i="10" s="1"/>
  <c r="AT71" i="10"/>
  <c r="AT90" i="10" s="1"/>
  <c r="AT99" i="10" s="1"/>
  <c r="AS71" i="10"/>
  <c r="AS90" i="10" s="1"/>
  <c r="AS99" i="10" s="1"/>
  <c r="AR71" i="10"/>
  <c r="AR90" i="10" s="1"/>
  <c r="AR99" i="10" s="1"/>
  <c r="AQ71" i="10"/>
  <c r="AQ90" i="10" s="1"/>
  <c r="AQ99" i="10" s="1"/>
  <c r="AP71" i="10"/>
  <c r="AP90" i="10" s="1"/>
  <c r="AP99" i="10" s="1"/>
  <c r="AO71" i="10"/>
  <c r="AO90" i="10" s="1"/>
  <c r="AO99" i="10" s="1"/>
  <c r="AN71" i="10"/>
  <c r="AN90" i="10" s="1"/>
  <c r="AN99" i="10" s="1"/>
  <c r="AM71" i="10"/>
  <c r="AL71" i="10"/>
  <c r="AL90" i="10" s="1"/>
  <c r="AL99" i="10" s="1"/>
  <c r="AK71" i="10"/>
  <c r="AK90" i="10" s="1"/>
  <c r="AK99" i="10" s="1"/>
  <c r="AJ71" i="10"/>
  <c r="AJ90" i="10" s="1"/>
  <c r="AJ99" i="10" s="1"/>
  <c r="AI71" i="10"/>
  <c r="AI90" i="10" s="1"/>
  <c r="AI99" i="10" s="1"/>
  <c r="AH71" i="10"/>
  <c r="AH90" i="10" s="1"/>
  <c r="AH99" i="10" s="1"/>
  <c r="AG71" i="10"/>
  <c r="AG90" i="10" s="1"/>
  <c r="AG99" i="10" s="1"/>
  <c r="AF71" i="10"/>
  <c r="AF90" i="10" s="1"/>
  <c r="AF99" i="10" s="1"/>
  <c r="AE71" i="10"/>
  <c r="AE90" i="10" s="1"/>
  <c r="AE99" i="10" s="1"/>
  <c r="AB70" i="10"/>
  <c r="AB69" i="10"/>
  <c r="AB68" i="10"/>
  <c r="AB67" i="10"/>
  <c r="BB66" i="10"/>
  <c r="BA66" i="10"/>
  <c r="BA65" i="10" s="1"/>
  <c r="AZ66" i="10"/>
  <c r="AZ89" i="10" s="1"/>
  <c r="AY66" i="10"/>
  <c r="AX66" i="10"/>
  <c r="AW66" i="10"/>
  <c r="AW65" i="10" s="1"/>
  <c r="AV66" i="10"/>
  <c r="AV89" i="10" s="1"/>
  <c r="AU66" i="10"/>
  <c r="AT66" i="10"/>
  <c r="AS66" i="10"/>
  <c r="AS65" i="10" s="1"/>
  <c r="AR66" i="10"/>
  <c r="AR89" i="10" s="1"/>
  <c r="AR98" i="10" s="1"/>
  <c r="AQ66" i="10"/>
  <c r="AP66" i="10"/>
  <c r="AO66" i="10"/>
  <c r="AO65" i="10" s="1"/>
  <c r="AN66" i="10"/>
  <c r="AN89" i="10" s="1"/>
  <c r="AN98" i="10" s="1"/>
  <c r="AM66" i="10"/>
  <c r="AL66" i="10"/>
  <c r="AK66" i="10"/>
  <c r="AK65" i="10" s="1"/>
  <c r="AJ66" i="10"/>
  <c r="AJ89" i="10" s="1"/>
  <c r="AJ98" i="10" s="1"/>
  <c r="AI66" i="10"/>
  <c r="AH66" i="10"/>
  <c r="AG66" i="10"/>
  <c r="AG65" i="10" s="1"/>
  <c r="AF66" i="10"/>
  <c r="AF89" i="10" s="1"/>
  <c r="AF98" i="10" s="1"/>
  <c r="AE66" i="10"/>
  <c r="AZ65" i="10"/>
  <c r="AY65" i="10"/>
  <c r="AU65" i="10"/>
  <c r="AR65" i="10"/>
  <c r="AQ65" i="10"/>
  <c r="AM65" i="10"/>
  <c r="AJ65" i="10"/>
  <c r="AI65" i="10"/>
  <c r="AE65" i="10"/>
  <c r="F64" i="10"/>
  <c r="AY63" i="10"/>
  <c r="AU63" i="10"/>
  <c r="AQ63" i="10"/>
  <c r="AM63" i="10"/>
  <c r="AI63" i="10"/>
  <c r="AE63" i="10"/>
  <c r="BA62" i="10"/>
  <c r="AW62" i="10"/>
  <c r="AS62" i="10"/>
  <c r="AO62" i="10"/>
  <c r="AK62" i="10"/>
  <c r="AG62"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BB55" i="10"/>
  <c r="BA55" i="10"/>
  <c r="AZ55" i="10"/>
  <c r="AY55" i="10"/>
  <c r="AX55" i="10"/>
  <c r="AW55" i="10"/>
  <c r="AV55" i="10"/>
  <c r="AU55" i="10"/>
  <c r="AT55" i="10"/>
  <c r="AS55" i="10"/>
  <c r="AR55" i="10"/>
  <c r="AQ55" i="10"/>
  <c r="AP55" i="10"/>
  <c r="AO55" i="10"/>
  <c r="AN55" i="10"/>
  <c r="AM55" i="10"/>
  <c r="AL55" i="10"/>
  <c r="AK55" i="10"/>
  <c r="AJ55" i="10"/>
  <c r="AI55" i="10"/>
  <c r="AH55" i="10"/>
  <c r="AG55" i="10"/>
  <c r="AF55" i="10"/>
  <c r="AE55" i="10"/>
  <c r="AW54" i="10"/>
  <c r="AW63" i="10" s="1"/>
  <c r="AO54" i="10"/>
  <c r="AO63" i="10" s="1"/>
  <c r="AG54" i="10"/>
  <c r="AG63" i="10" s="1"/>
  <c r="AY53" i="10"/>
  <c r="AU53" i="10"/>
  <c r="AQ53" i="10"/>
  <c r="AM53" i="10"/>
  <c r="AI53" i="10"/>
  <c r="AE53" i="10"/>
  <c r="BB49" i="10"/>
  <c r="BA49" i="10"/>
  <c r="AZ49" i="10"/>
  <c r="AY49" i="10"/>
  <c r="AX49" i="10"/>
  <c r="AW49" i="10"/>
  <c r="AV49" i="10"/>
  <c r="AU49" i="10"/>
  <c r="AT49" i="10"/>
  <c r="AS49" i="10"/>
  <c r="AR49" i="10"/>
  <c r="AQ49" i="10"/>
  <c r="AP49" i="10"/>
  <c r="AO49" i="10"/>
  <c r="AN49" i="10"/>
  <c r="AM49" i="10"/>
  <c r="AL49" i="10"/>
  <c r="AK49" i="10"/>
  <c r="AJ49" i="10"/>
  <c r="AI49" i="10"/>
  <c r="AH49" i="10"/>
  <c r="AG49" i="10"/>
  <c r="AF49" i="10"/>
  <c r="AE49" i="10"/>
  <c r="BH47" i="10"/>
  <c r="AB47" i="10"/>
  <c r="BB45" i="10"/>
  <c r="BA45" i="10"/>
  <c r="BA54" i="10" s="1"/>
  <c r="AZ45" i="10"/>
  <c r="AY45" i="10"/>
  <c r="AX45" i="10"/>
  <c r="AW45" i="10"/>
  <c r="AV45" i="10"/>
  <c r="AU45" i="10"/>
  <c r="AT45" i="10"/>
  <c r="AS45" i="10"/>
  <c r="AS54" i="10" s="1"/>
  <c r="AR45" i="10"/>
  <c r="AQ45" i="10"/>
  <c r="AP45" i="10"/>
  <c r="AO45" i="10"/>
  <c r="AN45" i="10"/>
  <c r="AM45" i="10"/>
  <c r="AL45" i="10"/>
  <c r="AK45" i="10"/>
  <c r="AK54" i="10" s="1"/>
  <c r="AJ45" i="10"/>
  <c r="AI45" i="10"/>
  <c r="AH45" i="10"/>
  <c r="AG45" i="10"/>
  <c r="AF45" i="10"/>
  <c r="AE45" i="10"/>
  <c r="BH43" i="10"/>
  <c r="AB43" i="10"/>
  <c r="BB41" i="10"/>
  <c r="BB40" i="10" s="1"/>
  <c r="BA41" i="10"/>
  <c r="AZ41" i="10"/>
  <c r="AY41" i="10"/>
  <c r="AX41" i="10"/>
  <c r="AX40" i="10" s="1"/>
  <c r="AW41" i="10"/>
  <c r="AV41" i="10"/>
  <c r="AU41" i="10"/>
  <c r="AT41" i="10"/>
  <c r="AT40" i="10" s="1"/>
  <c r="AS41" i="10"/>
  <c r="AR41" i="10"/>
  <c r="AQ41" i="10"/>
  <c r="AP41" i="10"/>
  <c r="AP40" i="10" s="1"/>
  <c r="AO41" i="10"/>
  <c r="AN41" i="10"/>
  <c r="AM41" i="10"/>
  <c r="AL41" i="10"/>
  <c r="AL40" i="10" s="1"/>
  <c r="AK41" i="10"/>
  <c r="AJ41" i="10"/>
  <c r="AI41" i="10"/>
  <c r="AH41" i="10"/>
  <c r="AH40" i="10" s="1"/>
  <c r="AG41" i="10"/>
  <c r="AF41" i="10"/>
  <c r="AE41" i="10"/>
  <c r="AZ40" i="10"/>
  <c r="AY40" i="10"/>
  <c r="AV40" i="10"/>
  <c r="AU40" i="10"/>
  <c r="AR40" i="10"/>
  <c r="AQ40" i="10"/>
  <c r="AN40" i="10"/>
  <c r="AM40" i="10"/>
  <c r="AJ40" i="10"/>
  <c r="AI40" i="10"/>
  <c r="AF40" i="10"/>
  <c r="AE40" i="10"/>
  <c r="AB39" i="10"/>
  <c r="AB38" i="10"/>
  <c r="AB37" i="10"/>
  <c r="AB36" i="10"/>
  <c r="BB35" i="10"/>
  <c r="BB29" i="10" s="1"/>
  <c r="BA35" i="10"/>
  <c r="BA29" i="10" s="1"/>
  <c r="AZ35" i="10"/>
  <c r="AZ54" i="10" s="1"/>
  <c r="AZ63" i="10" s="1"/>
  <c r="AY35" i="10"/>
  <c r="AY54" i="10" s="1"/>
  <c r="AX35" i="10"/>
  <c r="AX54" i="10" s="1"/>
  <c r="AX63" i="10" s="1"/>
  <c r="AW35" i="10"/>
  <c r="AV35" i="10"/>
  <c r="AV54" i="10" s="1"/>
  <c r="AV63" i="10" s="1"/>
  <c r="AU35" i="10"/>
  <c r="AU54" i="10" s="1"/>
  <c r="AT35" i="10"/>
  <c r="AT29" i="10" s="1"/>
  <c r="AS35" i="10"/>
  <c r="AS29" i="10" s="1"/>
  <c r="AR35" i="10"/>
  <c r="AR54" i="10" s="1"/>
  <c r="AR63" i="10" s="1"/>
  <c r="AQ35" i="10"/>
  <c r="AQ54" i="10" s="1"/>
  <c r="AP35" i="10"/>
  <c r="AP54" i="10" s="1"/>
  <c r="AP63" i="10" s="1"/>
  <c r="AO35" i="10"/>
  <c r="AN35" i="10"/>
  <c r="AN54" i="10" s="1"/>
  <c r="AN63" i="10" s="1"/>
  <c r="AM35" i="10"/>
  <c r="AM54" i="10" s="1"/>
  <c r="AL35" i="10"/>
  <c r="AL29" i="10" s="1"/>
  <c r="AK35" i="10"/>
  <c r="AK29" i="10" s="1"/>
  <c r="AJ35" i="10"/>
  <c r="AJ54" i="10" s="1"/>
  <c r="AJ63" i="10" s="1"/>
  <c r="AI35" i="10"/>
  <c r="AI54" i="10" s="1"/>
  <c r="AH35" i="10"/>
  <c r="AH54" i="10" s="1"/>
  <c r="AH63" i="10" s="1"/>
  <c r="AG35" i="10"/>
  <c r="AF35" i="10"/>
  <c r="AF54" i="10" s="1"/>
  <c r="AF63" i="10" s="1"/>
  <c r="AE35" i="10"/>
  <c r="AE54" i="10" s="1"/>
  <c r="AB34" i="10"/>
  <c r="AB33" i="10"/>
  <c r="AB32" i="10"/>
  <c r="AB31" i="10"/>
  <c r="F31" i="10"/>
  <c r="F32" i="10" s="1"/>
  <c r="F33" i="10" s="1"/>
  <c r="F34" i="10" s="1"/>
  <c r="F35" i="10" s="1"/>
  <c r="F36" i="10" s="1"/>
  <c r="F37" i="10" s="1"/>
  <c r="F38" i="10" s="1"/>
  <c r="F39" i="10" s="1"/>
  <c r="F40" i="10" s="1"/>
  <c r="F41" i="10" s="1"/>
  <c r="F42" i="10" s="1"/>
  <c r="F43" i="10" s="1"/>
  <c r="BB30" i="10"/>
  <c r="BB53" i="10" s="1"/>
  <c r="BA30" i="10"/>
  <c r="BA53" i="10" s="1"/>
  <c r="AZ30" i="10"/>
  <c r="AZ29" i="10" s="1"/>
  <c r="AY30" i="10"/>
  <c r="AY29" i="10" s="1"/>
  <c r="AX30" i="10"/>
  <c r="AX53" i="10" s="1"/>
  <c r="AX62" i="10" s="1"/>
  <c r="AW30" i="10"/>
  <c r="AW53" i="10" s="1"/>
  <c r="AV30" i="10"/>
  <c r="AV29" i="10" s="1"/>
  <c r="AU30" i="10"/>
  <c r="AU29" i="10" s="1"/>
  <c r="AT30" i="10"/>
  <c r="AT53" i="10" s="1"/>
  <c r="AS30" i="10"/>
  <c r="AS53" i="10" s="1"/>
  <c r="AR30" i="10"/>
  <c r="AR29" i="10" s="1"/>
  <c r="AQ30" i="10"/>
  <c r="AQ29" i="10" s="1"/>
  <c r="AP30" i="10"/>
  <c r="AP53" i="10" s="1"/>
  <c r="AP62" i="10" s="1"/>
  <c r="AO30" i="10"/>
  <c r="AO53" i="10" s="1"/>
  <c r="AN30" i="10"/>
  <c r="AN29" i="10" s="1"/>
  <c r="AM30" i="10"/>
  <c r="AM29" i="10" s="1"/>
  <c r="AL30" i="10"/>
  <c r="AL53" i="10" s="1"/>
  <c r="AK30" i="10"/>
  <c r="AK53" i="10" s="1"/>
  <c r="AJ30" i="10"/>
  <c r="AJ29" i="10" s="1"/>
  <c r="AI30" i="10"/>
  <c r="AI29" i="10" s="1"/>
  <c r="AH30" i="10"/>
  <c r="AH53" i="10" s="1"/>
  <c r="AH62" i="10" s="1"/>
  <c r="AG30" i="10"/>
  <c r="AG53" i="10" s="1"/>
  <c r="AF30" i="10"/>
  <c r="AF29" i="10" s="1"/>
  <c r="AE30" i="10"/>
  <c r="AE29" i="10" s="1"/>
  <c r="AX29" i="10"/>
  <c r="AW29" i="10"/>
  <c r="AP29" i="10"/>
  <c r="AO29" i="10"/>
  <c r="AH29" i="10"/>
  <c r="AG29" i="10"/>
  <c r="F29" i="10"/>
  <c r="F30" i="10" s="1"/>
  <c r="H28" i="10"/>
  <c r="F28" i="10"/>
  <c r="BB25" i="10"/>
  <c r="BA25" i="10"/>
  <c r="AZ25" i="10"/>
  <c r="AY25" i="10"/>
  <c r="AX25" i="10"/>
  <c r="AW25" i="10"/>
  <c r="AV25" i="10"/>
  <c r="AU25" i="10"/>
  <c r="AT25" i="10"/>
  <c r="AS25" i="10"/>
  <c r="AR25" i="10"/>
  <c r="AQ25" i="10"/>
  <c r="AP25" i="10"/>
  <c r="AO25" i="10"/>
  <c r="AN25" i="10"/>
  <c r="AM25" i="10"/>
  <c r="AL25" i="10"/>
  <c r="AK25" i="10"/>
  <c r="AJ25" i="10"/>
  <c r="AI25" i="10"/>
  <c r="AH25" i="10"/>
  <c r="AG25" i="10"/>
  <c r="AF25" i="10"/>
  <c r="AE25" i="10"/>
  <c r="BC11" i="10"/>
  <c r="BB10" i="10"/>
  <c r="BA10" i="10"/>
  <c r="AZ10" i="10"/>
  <c r="AY10" i="10"/>
  <c r="AX10" i="10"/>
  <c r="AW10" i="10"/>
  <c r="AV10" i="10"/>
  <c r="AU10" i="10"/>
  <c r="AT10" i="10"/>
  <c r="AS10" i="10"/>
  <c r="AR10" i="10"/>
  <c r="AQ10" i="10"/>
  <c r="AP10" i="10"/>
  <c r="AO10" i="10"/>
  <c r="AN10" i="10"/>
  <c r="AM10" i="10"/>
  <c r="AL10" i="10"/>
  <c r="AK10" i="10"/>
  <c r="AJ10" i="10"/>
  <c r="AI10" i="10"/>
  <c r="AH10" i="10"/>
  <c r="AG10" i="10"/>
  <c r="AF10" i="10"/>
  <c r="AE10" i="10"/>
  <c r="BB9" i="10"/>
  <c r="BA9" i="10"/>
  <c r="AZ9" i="10"/>
  <c r="AY9" i="10"/>
  <c r="AX9" i="10"/>
  <c r="AW9" i="10"/>
  <c r="AV9" i="10"/>
  <c r="AU9" i="10"/>
  <c r="AT9" i="10"/>
  <c r="AS9" i="10"/>
  <c r="AR9" i="10"/>
  <c r="AQ9" i="10"/>
  <c r="AP9" i="10"/>
  <c r="AO9" i="10"/>
  <c r="AN9" i="10"/>
  <c r="AM9" i="10"/>
  <c r="AL9" i="10"/>
  <c r="AK9" i="10"/>
  <c r="AJ9" i="10"/>
  <c r="AI9" i="10"/>
  <c r="AH9" i="10"/>
  <c r="AG9" i="10"/>
  <c r="AF9" i="10"/>
  <c r="AE9" i="10"/>
  <c r="AY8" i="10"/>
  <c r="AQ8" i="10"/>
  <c r="AI8" i="10"/>
  <c r="BB7" i="10"/>
  <c r="BA7" i="10"/>
  <c r="AZ7" i="10"/>
  <c r="AY7" i="10"/>
  <c r="AX7" i="10"/>
  <c r="AW7" i="10"/>
  <c r="AV7" i="10"/>
  <c r="AU7" i="10"/>
  <c r="AT7" i="10"/>
  <c r="AS7" i="10"/>
  <c r="AR7" i="10"/>
  <c r="AQ7" i="10"/>
  <c r="AP7" i="10"/>
  <c r="AO7" i="10"/>
  <c r="AN7" i="10"/>
  <c r="AM7" i="10"/>
  <c r="AL7" i="10"/>
  <c r="AK7" i="10"/>
  <c r="AJ7" i="10"/>
  <c r="AI7" i="10"/>
  <c r="AH7" i="10"/>
  <c r="AG7" i="10"/>
  <c r="AF7" i="10"/>
  <c r="AE7" i="10"/>
  <c r="BB6" i="10"/>
  <c r="BB8" i="10" s="1"/>
  <c r="BA6" i="10"/>
  <c r="BA8" i="10" s="1"/>
  <c r="AZ6" i="10"/>
  <c r="AZ8" i="10" s="1"/>
  <c r="AY6" i="10"/>
  <c r="AX6" i="10"/>
  <c r="AX8" i="10" s="1"/>
  <c r="AW6" i="10"/>
  <c r="AW8" i="10" s="1"/>
  <c r="AV6" i="10"/>
  <c r="AV8" i="10" s="1"/>
  <c r="AU6" i="10"/>
  <c r="AU8" i="10" s="1"/>
  <c r="AT6" i="10"/>
  <c r="AT8" i="10" s="1"/>
  <c r="AS6" i="10"/>
  <c r="AS8" i="10" s="1"/>
  <c r="AR6" i="10"/>
  <c r="AR8" i="10" s="1"/>
  <c r="AQ6" i="10"/>
  <c r="AP6" i="10"/>
  <c r="AP8" i="10" s="1"/>
  <c r="AO6" i="10"/>
  <c r="AO8" i="10" s="1"/>
  <c r="AN6" i="10"/>
  <c r="AN8" i="10" s="1"/>
  <c r="AM6" i="10"/>
  <c r="AM8" i="10" s="1"/>
  <c r="AL6" i="10"/>
  <c r="AL8" i="10" s="1"/>
  <c r="AK6" i="10"/>
  <c r="AK8" i="10" s="1"/>
  <c r="AJ6" i="10"/>
  <c r="AJ8" i="10" s="1"/>
  <c r="AI6" i="10"/>
  <c r="AH6" i="10"/>
  <c r="AH8" i="10" s="1"/>
  <c r="AG6" i="10"/>
  <c r="AG8" i="10" s="1"/>
  <c r="AF6" i="10"/>
  <c r="AF8" i="10" s="1"/>
  <c r="AE6" i="10"/>
  <c r="AE8" i="10" s="1"/>
  <c r="AS40" i="9"/>
  <c r="AT40" i="9" s="1"/>
  <c r="AU40" i="9" s="1"/>
  <c r="AV40" i="9" s="1"/>
  <c r="AW40" i="9" s="1"/>
  <c r="AX40" i="9" s="1"/>
  <c r="AY40" i="9" s="1"/>
  <c r="AQ40" i="9"/>
  <c r="AR40" i="9" s="1"/>
  <c r="AG40" i="9"/>
  <c r="AH40" i="9" s="1"/>
  <c r="AI40" i="9" s="1"/>
  <c r="AJ40" i="9" s="1"/>
  <c r="AK40" i="9" s="1"/>
  <c r="AL40" i="9" s="1"/>
  <c r="AM40" i="9" s="1"/>
  <c r="AN40" i="9" s="1"/>
  <c r="AO40" i="9" s="1"/>
  <c r="AR38" i="9"/>
  <c r="AS38" i="9" s="1"/>
  <c r="AT38" i="9" s="1"/>
  <c r="AU38" i="9" s="1"/>
  <c r="AV38" i="9" s="1"/>
  <c r="AW38" i="9" s="1"/>
  <c r="AX38" i="9" s="1"/>
  <c r="AY38" i="9" s="1"/>
  <c r="AQ38" i="9"/>
  <c r="AG38" i="9"/>
  <c r="AH38" i="9" s="1"/>
  <c r="AI38" i="9" s="1"/>
  <c r="AJ38" i="9" s="1"/>
  <c r="AK38" i="9" s="1"/>
  <c r="AL38" i="9" s="1"/>
  <c r="AM38" i="9" s="1"/>
  <c r="AN38" i="9" s="1"/>
  <c r="AO38" i="9" s="1"/>
  <c r="F35" i="9"/>
  <c r="F36" i="9" s="1"/>
  <c r="AR33" i="9"/>
  <c r="AS33" i="9" s="1"/>
  <c r="AT33" i="9" s="1"/>
  <c r="AU33" i="9" s="1"/>
  <c r="AV33" i="9" s="1"/>
  <c r="AW33" i="9" s="1"/>
  <c r="AX33" i="9" s="1"/>
  <c r="AY33" i="9" s="1"/>
  <c r="AQ33" i="9"/>
  <c r="AG33" i="9"/>
  <c r="AH33" i="9" s="1"/>
  <c r="AI33" i="9" s="1"/>
  <c r="AJ33" i="9" s="1"/>
  <c r="AK33" i="9" s="1"/>
  <c r="AL33" i="9" s="1"/>
  <c r="AM33" i="9" s="1"/>
  <c r="AN33" i="9" s="1"/>
  <c r="AO33" i="9" s="1"/>
  <c r="AR31" i="9"/>
  <c r="AS31" i="9" s="1"/>
  <c r="AT31" i="9" s="1"/>
  <c r="AU31" i="9" s="1"/>
  <c r="AV31" i="9" s="1"/>
  <c r="AW31" i="9" s="1"/>
  <c r="AX31" i="9" s="1"/>
  <c r="AY31" i="9" s="1"/>
  <c r="AQ31" i="9"/>
  <c r="AG31" i="9"/>
  <c r="AH31" i="9" s="1"/>
  <c r="AI31" i="9" s="1"/>
  <c r="AJ31" i="9" s="1"/>
  <c r="AK31" i="9" s="1"/>
  <c r="AL31" i="9" s="1"/>
  <c r="AM31" i="9" s="1"/>
  <c r="AN31" i="9" s="1"/>
  <c r="AO31" i="9" s="1"/>
  <c r="F30" i="9"/>
  <c r="F31" i="9" s="1"/>
  <c r="F29" i="9"/>
  <c r="U29" i="9" s="1"/>
  <c r="U28" i="9"/>
  <c r="F28" i="9"/>
  <c r="AY24" i="9"/>
  <c r="AX24" i="9"/>
  <c r="AW24" i="9"/>
  <c r="AV24" i="9"/>
  <c r="AU24" i="9"/>
  <c r="AT24" i="9"/>
  <c r="AS24" i="9"/>
  <c r="AR24" i="9"/>
  <c r="AQ24" i="9"/>
  <c r="AP24" i="9"/>
  <c r="AO24" i="9"/>
  <c r="AN24" i="9"/>
  <c r="AM24" i="9"/>
  <c r="AL24" i="9"/>
  <c r="AK24" i="9"/>
  <c r="AJ24" i="9"/>
  <c r="AI24" i="9"/>
  <c r="AH24" i="9"/>
  <c r="AG24" i="9"/>
  <c r="AF24" i="9"/>
  <c r="AY10" i="9"/>
  <c r="AX10" i="9"/>
  <c r="AW10" i="9"/>
  <c r="AV10" i="9"/>
  <c r="AU10" i="9"/>
  <c r="AT10" i="9"/>
  <c r="AS10" i="9"/>
  <c r="AR10" i="9"/>
  <c r="AQ10" i="9"/>
  <c r="AP10" i="9"/>
  <c r="AO10" i="9"/>
  <c r="AN10" i="9"/>
  <c r="AM10" i="9"/>
  <c r="AL10" i="9"/>
  <c r="AK10" i="9"/>
  <c r="AJ10" i="9"/>
  <c r="AI10" i="9"/>
  <c r="AH10" i="9"/>
  <c r="AG10" i="9"/>
  <c r="AF10" i="9"/>
  <c r="AY9" i="9"/>
  <c r="AX9" i="9"/>
  <c r="AW9" i="9"/>
  <c r="AV9" i="9"/>
  <c r="AU9" i="9"/>
  <c r="AT9" i="9"/>
  <c r="AS9" i="9"/>
  <c r="AR9" i="9"/>
  <c r="AQ9" i="9"/>
  <c r="AP9" i="9"/>
  <c r="AO9" i="9"/>
  <c r="AN9" i="9"/>
  <c r="AM9" i="9"/>
  <c r="AL9" i="9"/>
  <c r="AK9" i="9"/>
  <c r="AJ9" i="9"/>
  <c r="AI9" i="9"/>
  <c r="AH9" i="9"/>
  <c r="AG9" i="9"/>
  <c r="AF9" i="9"/>
  <c r="AY7" i="9"/>
  <c r="AX7" i="9"/>
  <c r="AW7" i="9"/>
  <c r="AV7" i="9"/>
  <c r="AU7" i="9"/>
  <c r="AT7" i="9"/>
  <c r="AS7" i="9"/>
  <c r="AR7" i="9"/>
  <c r="AQ7" i="9"/>
  <c r="AP7" i="9"/>
  <c r="AO7" i="9"/>
  <c r="AN7" i="9"/>
  <c r="AM7" i="9"/>
  <c r="AL7" i="9"/>
  <c r="AK7" i="9"/>
  <c r="AJ7" i="9"/>
  <c r="AI7" i="9"/>
  <c r="AH7" i="9"/>
  <c r="AG7" i="9"/>
  <c r="AF7" i="9"/>
  <c r="AY6" i="9"/>
  <c r="AY8" i="9" s="1"/>
  <c r="AX6" i="9"/>
  <c r="AX8" i="9" s="1"/>
  <c r="AW6" i="9"/>
  <c r="AW8" i="9" s="1"/>
  <c r="AV6" i="9"/>
  <c r="AV8" i="9" s="1"/>
  <c r="AU6" i="9"/>
  <c r="AU8" i="9" s="1"/>
  <c r="AT6" i="9"/>
  <c r="AT8" i="9" s="1"/>
  <c r="AS6" i="9"/>
  <c r="AS8" i="9" s="1"/>
  <c r="AR6" i="9"/>
  <c r="AR8" i="9" s="1"/>
  <c r="AQ6" i="9"/>
  <c r="AQ8" i="9" s="1"/>
  <c r="AP6" i="9"/>
  <c r="AP8" i="9" s="1"/>
  <c r="AO6" i="9"/>
  <c r="AO8" i="9" s="1"/>
  <c r="AN6" i="9"/>
  <c r="AN8" i="9" s="1"/>
  <c r="AM6" i="9"/>
  <c r="AM8" i="9" s="1"/>
  <c r="AL6" i="9"/>
  <c r="AL8" i="9" s="1"/>
  <c r="AK6" i="9"/>
  <c r="AK8" i="9" s="1"/>
  <c r="AJ6" i="9"/>
  <c r="AJ8" i="9" s="1"/>
  <c r="AI6" i="9"/>
  <c r="AI8" i="9" s="1"/>
  <c r="AH6" i="9"/>
  <c r="AH8" i="9" s="1"/>
  <c r="AG6" i="9"/>
  <c r="AG8" i="9" s="1"/>
  <c r="AF6" i="9"/>
  <c r="AF8" i="9" s="1"/>
  <c r="AX76" i="8"/>
  <c r="AW76" i="8"/>
  <c r="AV76" i="8"/>
  <c r="AU76" i="8"/>
  <c r="AT76" i="8"/>
  <c r="AS76" i="8"/>
  <c r="AR76" i="8"/>
  <c r="AQ76" i="8"/>
  <c r="AP76" i="8"/>
  <c r="AO76" i="8"/>
  <c r="AN76" i="8"/>
  <c r="AM76" i="8"/>
  <c r="AL76" i="8"/>
  <c r="AK76" i="8"/>
  <c r="AJ76" i="8"/>
  <c r="AI76" i="8"/>
  <c r="AH76" i="8"/>
  <c r="AG76" i="8"/>
  <c r="AF76" i="8"/>
  <c r="AE76" i="8"/>
  <c r="AX70" i="8"/>
  <c r="AW70" i="8"/>
  <c r="AV70" i="8"/>
  <c r="AU70" i="8"/>
  <c r="AT70" i="8"/>
  <c r="AS70" i="8"/>
  <c r="AR70" i="8"/>
  <c r="AQ70" i="8"/>
  <c r="AP70" i="8"/>
  <c r="AO70" i="8"/>
  <c r="AN70" i="8"/>
  <c r="AM70" i="8"/>
  <c r="AL70" i="8"/>
  <c r="AK70" i="8"/>
  <c r="AJ70" i="8"/>
  <c r="AI70" i="8"/>
  <c r="AH70" i="8"/>
  <c r="AG70" i="8"/>
  <c r="AF70" i="8"/>
  <c r="AE70" i="8"/>
  <c r="AX68" i="8"/>
  <c r="AW68" i="8"/>
  <c r="AV68" i="8"/>
  <c r="AU68" i="8"/>
  <c r="AT68" i="8"/>
  <c r="AS68" i="8"/>
  <c r="AR68" i="8"/>
  <c r="AQ68" i="8"/>
  <c r="AP68" i="8"/>
  <c r="AO68" i="8"/>
  <c r="AN68" i="8"/>
  <c r="AM68" i="8"/>
  <c r="AL68" i="8"/>
  <c r="AK68" i="8"/>
  <c r="AJ68" i="8"/>
  <c r="AI68" i="8"/>
  <c r="AH68" i="8"/>
  <c r="AG68" i="8"/>
  <c r="AF68" i="8"/>
  <c r="AE68" i="8"/>
  <c r="BC60" i="8"/>
  <c r="F55" i="8"/>
  <c r="F56" i="8" s="1"/>
  <c r="AX49" i="8"/>
  <c r="AW49" i="8"/>
  <c r="AV49" i="8"/>
  <c r="AU49" i="8"/>
  <c r="AT49" i="8"/>
  <c r="AS49" i="8"/>
  <c r="AR49" i="8"/>
  <c r="AQ49" i="8"/>
  <c r="AP49" i="8"/>
  <c r="AO49" i="8"/>
  <c r="AN49" i="8"/>
  <c r="AM49" i="8"/>
  <c r="AL49" i="8"/>
  <c r="AK49" i="8"/>
  <c r="AJ49" i="8"/>
  <c r="AI49" i="8"/>
  <c r="AH49" i="8"/>
  <c r="AG49" i="8"/>
  <c r="AF49" i="8"/>
  <c r="AE49" i="8"/>
  <c r="AX43" i="8"/>
  <c r="AW43" i="8"/>
  <c r="AV43" i="8"/>
  <c r="AU43" i="8"/>
  <c r="AT43" i="8"/>
  <c r="AS43" i="8"/>
  <c r="AR43" i="8"/>
  <c r="AQ43" i="8"/>
  <c r="AP43" i="8"/>
  <c r="AO43" i="8"/>
  <c r="AN43" i="8"/>
  <c r="AM43" i="8"/>
  <c r="AL43" i="8"/>
  <c r="AK43" i="8"/>
  <c r="AJ43" i="8"/>
  <c r="AI43" i="8"/>
  <c r="AH43" i="8"/>
  <c r="AG43" i="8"/>
  <c r="AF43" i="8"/>
  <c r="AE43" i="8"/>
  <c r="AX41" i="8"/>
  <c r="AW41" i="8"/>
  <c r="AV41" i="8"/>
  <c r="AU41" i="8"/>
  <c r="AT41" i="8"/>
  <c r="AS41" i="8"/>
  <c r="AR41" i="8"/>
  <c r="AQ41" i="8"/>
  <c r="AP41" i="8"/>
  <c r="AO41" i="8"/>
  <c r="AN41" i="8"/>
  <c r="AM41" i="8"/>
  <c r="AL41" i="8"/>
  <c r="AK41" i="8"/>
  <c r="AJ41" i="8"/>
  <c r="AI41" i="8"/>
  <c r="AH41" i="8"/>
  <c r="AG41" i="8"/>
  <c r="AF41" i="8"/>
  <c r="AE41" i="8"/>
  <c r="BC33" i="8"/>
  <c r="F28" i="8"/>
  <c r="F29" i="8" s="1"/>
  <c r="AX24" i="8"/>
  <c r="AW24" i="8"/>
  <c r="AV24" i="8"/>
  <c r="AU24" i="8"/>
  <c r="AT24" i="8"/>
  <c r="AS24" i="8"/>
  <c r="AR24" i="8"/>
  <c r="AQ24" i="8"/>
  <c r="AP24" i="8"/>
  <c r="AO24" i="8"/>
  <c r="AN24" i="8"/>
  <c r="AM24" i="8"/>
  <c r="AL24" i="8"/>
  <c r="AK24" i="8"/>
  <c r="AJ24" i="8"/>
  <c r="AI24" i="8"/>
  <c r="AH24" i="8"/>
  <c r="AG24" i="8"/>
  <c r="AF24" i="8"/>
  <c r="AE24" i="8"/>
  <c r="AX10" i="8"/>
  <c r="AW10" i="8"/>
  <c r="AV10" i="8"/>
  <c r="AU10" i="8"/>
  <c r="AT10" i="8"/>
  <c r="AS10" i="8"/>
  <c r="AR10" i="8"/>
  <c r="AQ10" i="8"/>
  <c r="AP10" i="8"/>
  <c r="AO10" i="8"/>
  <c r="AN10" i="8"/>
  <c r="AM10" i="8"/>
  <c r="AL10" i="8"/>
  <c r="AK10" i="8"/>
  <c r="AJ10" i="8"/>
  <c r="AI10" i="8"/>
  <c r="AH10" i="8"/>
  <c r="AG10" i="8"/>
  <c r="AF10" i="8"/>
  <c r="AE10" i="8"/>
  <c r="AX9" i="8"/>
  <c r="AW9" i="8"/>
  <c r="AV9" i="8"/>
  <c r="AU9" i="8"/>
  <c r="AT9" i="8"/>
  <c r="AS9" i="8"/>
  <c r="AR9" i="8"/>
  <c r="AQ9" i="8"/>
  <c r="AP9" i="8"/>
  <c r="AO9" i="8"/>
  <c r="AN9" i="8"/>
  <c r="AM9" i="8"/>
  <c r="AL9" i="8"/>
  <c r="AK9" i="8"/>
  <c r="AJ9" i="8"/>
  <c r="AI9" i="8"/>
  <c r="AH9" i="8"/>
  <c r="AG9" i="8"/>
  <c r="AF9" i="8"/>
  <c r="AE9" i="8"/>
  <c r="AX7" i="8"/>
  <c r="AW7" i="8"/>
  <c r="AV7" i="8"/>
  <c r="AU7" i="8"/>
  <c r="AT7" i="8"/>
  <c r="AS7" i="8"/>
  <c r="AR7" i="8"/>
  <c r="AQ7" i="8"/>
  <c r="AP7" i="8"/>
  <c r="AO7" i="8"/>
  <c r="AN7" i="8"/>
  <c r="AM7" i="8"/>
  <c r="AL7" i="8"/>
  <c r="AK7" i="8"/>
  <c r="AJ7" i="8"/>
  <c r="AI7" i="8"/>
  <c r="AH7" i="8"/>
  <c r="AG7" i="8"/>
  <c r="AF7" i="8"/>
  <c r="AE7" i="8"/>
  <c r="AX6" i="8"/>
  <c r="AX8" i="8" s="1"/>
  <c r="AW6" i="8"/>
  <c r="AW8" i="8" s="1"/>
  <c r="AV6" i="8"/>
  <c r="AV8" i="8" s="1"/>
  <c r="AU6" i="8"/>
  <c r="AU8" i="8" s="1"/>
  <c r="AT6" i="8"/>
  <c r="AT8" i="8" s="1"/>
  <c r="AS6" i="8"/>
  <c r="AS8" i="8" s="1"/>
  <c r="AR6" i="8"/>
  <c r="AR8" i="8" s="1"/>
  <c r="AQ6" i="8"/>
  <c r="AQ8" i="8" s="1"/>
  <c r="AP6" i="8"/>
  <c r="AP8" i="8" s="1"/>
  <c r="AO6" i="8"/>
  <c r="AO8" i="8" s="1"/>
  <c r="AN6" i="8"/>
  <c r="AN8" i="8" s="1"/>
  <c r="AM6" i="8"/>
  <c r="AM8" i="8" s="1"/>
  <c r="AL6" i="8"/>
  <c r="AL8" i="8" s="1"/>
  <c r="AK6" i="8"/>
  <c r="AK8" i="8" s="1"/>
  <c r="AJ6" i="8"/>
  <c r="AJ8" i="8" s="1"/>
  <c r="AI6" i="8"/>
  <c r="AI8" i="8" s="1"/>
  <c r="AH6" i="8"/>
  <c r="AH8" i="8" s="1"/>
  <c r="AG6" i="8"/>
  <c r="AG8" i="8" s="1"/>
  <c r="AF6" i="8"/>
  <c r="AF8" i="8" s="1"/>
  <c r="AE6" i="8"/>
  <c r="AE8" i="8" s="1"/>
  <c r="I66" i="7"/>
  <c r="AB63" i="7"/>
  <c r="AB62" i="7"/>
  <c r="AY61" i="7"/>
  <c r="AX61" i="7"/>
  <c r="AW61" i="7"/>
  <c r="AV61" i="7"/>
  <c r="AU61" i="7"/>
  <c r="AT61" i="7"/>
  <c r="AS61" i="7"/>
  <c r="AR61" i="7"/>
  <c r="AQ61" i="7"/>
  <c r="AP61" i="7"/>
  <c r="AO61" i="7"/>
  <c r="AN61" i="7"/>
  <c r="AM61" i="7"/>
  <c r="AL61" i="7"/>
  <c r="AK61" i="7"/>
  <c r="AJ61" i="7"/>
  <c r="AI61" i="7"/>
  <c r="AH61" i="7"/>
  <c r="AG61" i="7"/>
  <c r="AF61" i="7"/>
  <c r="AE61" i="7"/>
  <c r="I61" i="7"/>
  <c r="AB60" i="7"/>
  <c r="AB59" i="7"/>
  <c r="AY58" i="7"/>
  <c r="AX58" i="7"/>
  <c r="AW58" i="7"/>
  <c r="AV58" i="7"/>
  <c r="AU58" i="7"/>
  <c r="AT58" i="7"/>
  <c r="AS58" i="7"/>
  <c r="AR58" i="7"/>
  <c r="AQ58" i="7"/>
  <c r="AP58" i="7"/>
  <c r="AO58" i="7"/>
  <c r="AN58" i="7"/>
  <c r="AM58" i="7"/>
  <c r="AL58" i="7"/>
  <c r="AK58" i="7"/>
  <c r="AJ58" i="7"/>
  <c r="AI58" i="7"/>
  <c r="AH58" i="7"/>
  <c r="AG58" i="7"/>
  <c r="AF58" i="7"/>
  <c r="AE58" i="7"/>
  <c r="AB57" i="7"/>
  <c r="AB56" i="7"/>
  <c r="AY55" i="7"/>
  <c r="AX55" i="7"/>
  <c r="AW55" i="7"/>
  <c r="AV55" i="7"/>
  <c r="AU55" i="7"/>
  <c r="AT55" i="7"/>
  <c r="AS55" i="7"/>
  <c r="AR55" i="7"/>
  <c r="AQ55" i="7"/>
  <c r="AP55" i="7"/>
  <c r="AO55" i="7"/>
  <c r="AN55" i="7"/>
  <c r="AM55" i="7"/>
  <c r="AL55" i="7"/>
  <c r="AK55" i="7"/>
  <c r="AJ55" i="7"/>
  <c r="AI55" i="7"/>
  <c r="AH55" i="7"/>
  <c r="AG55" i="7"/>
  <c r="AF55" i="7"/>
  <c r="AE55" i="7"/>
  <c r="AB54" i="7"/>
  <c r="AB53" i="7"/>
  <c r="AY52" i="7"/>
  <c r="AY51" i="7" s="1"/>
  <c r="AY50" i="7" s="1"/>
  <c r="AX52" i="7"/>
  <c r="AW52" i="7"/>
  <c r="AW51" i="7" s="1"/>
  <c r="AW50" i="7" s="1"/>
  <c r="AV52" i="7"/>
  <c r="AU52" i="7"/>
  <c r="AU51" i="7" s="1"/>
  <c r="AU50" i="7" s="1"/>
  <c r="AT52" i="7"/>
  <c r="AS52" i="7"/>
  <c r="AS51" i="7" s="1"/>
  <c r="AS50" i="7" s="1"/>
  <c r="AR52" i="7"/>
  <c r="AQ52" i="7"/>
  <c r="AQ51" i="7" s="1"/>
  <c r="AQ50" i="7" s="1"/>
  <c r="AP52" i="7"/>
  <c r="AO52" i="7"/>
  <c r="AO51" i="7" s="1"/>
  <c r="AO50" i="7" s="1"/>
  <c r="AN52" i="7"/>
  <c r="AM52" i="7"/>
  <c r="AM51" i="7" s="1"/>
  <c r="AM50" i="7" s="1"/>
  <c r="AL52" i="7"/>
  <c r="AK52" i="7"/>
  <c r="AK51" i="7" s="1"/>
  <c r="AK50" i="7" s="1"/>
  <c r="AJ52" i="7"/>
  <c r="AI52" i="7"/>
  <c r="AI51" i="7" s="1"/>
  <c r="AI50" i="7" s="1"/>
  <c r="AH52" i="7"/>
  <c r="AG52" i="7"/>
  <c r="AG51" i="7" s="1"/>
  <c r="AG50" i="7" s="1"/>
  <c r="AF52" i="7"/>
  <c r="AE52" i="7"/>
  <c r="AE51" i="7" s="1"/>
  <c r="AE50" i="7" s="1"/>
  <c r="AX51" i="7"/>
  <c r="AX50" i="7" s="1"/>
  <c r="AV51" i="7"/>
  <c r="AV50" i="7" s="1"/>
  <c r="AT51" i="7"/>
  <c r="AT50" i="7" s="1"/>
  <c r="AR51" i="7"/>
  <c r="AR50" i="7" s="1"/>
  <c r="AP51" i="7"/>
  <c r="AP50" i="7" s="1"/>
  <c r="AN51" i="7"/>
  <c r="AN50" i="7" s="1"/>
  <c r="AL51" i="7"/>
  <c r="AL50" i="7" s="1"/>
  <c r="AJ51" i="7"/>
  <c r="AJ50" i="7" s="1"/>
  <c r="AH51" i="7"/>
  <c r="AH50" i="7" s="1"/>
  <c r="AF51" i="7"/>
  <c r="AF50" i="7" s="1"/>
  <c r="I49" i="7"/>
  <c r="AY48" i="7"/>
  <c r="AX48" i="7"/>
  <c r="AW48" i="7"/>
  <c r="AV48" i="7"/>
  <c r="AU48" i="7"/>
  <c r="AT48" i="7"/>
  <c r="AS48" i="7"/>
  <c r="AR48" i="7"/>
  <c r="AQ48" i="7"/>
  <c r="AP48" i="7"/>
  <c r="AO48" i="7"/>
  <c r="AN48" i="7"/>
  <c r="AM48" i="7"/>
  <c r="AL48" i="7"/>
  <c r="AK48" i="7"/>
  <c r="AJ48" i="7"/>
  <c r="AI48" i="7"/>
  <c r="AH48" i="7"/>
  <c r="AG48" i="7"/>
  <c r="AF48" i="7"/>
  <c r="AE48" i="7"/>
  <c r="I48" i="7"/>
  <c r="U47" i="7"/>
  <c r="U48" i="7" s="1"/>
  <c r="U49" i="7" s="1"/>
  <c r="U50" i="7" s="1"/>
  <c r="U51" i="7" s="1"/>
  <c r="U52" i="7" s="1"/>
  <c r="U53" i="7" s="1"/>
  <c r="U54" i="7" s="1"/>
  <c r="U55" i="7" s="1"/>
  <c r="U56" i="7" s="1"/>
  <c r="U57" i="7" s="1"/>
  <c r="U58" i="7" s="1"/>
  <c r="U59" i="7" s="1"/>
  <c r="U60" i="7" s="1"/>
  <c r="U61" i="7" s="1"/>
  <c r="U62" i="7" s="1"/>
  <c r="U63" i="7" s="1"/>
  <c r="U64" i="7" s="1"/>
  <c r="U65" i="7" s="1"/>
  <c r="U66" i="7" s="1"/>
  <c r="F47" i="7"/>
  <c r="F48" i="7" s="1"/>
  <c r="F49" i="7" s="1"/>
  <c r="F50" i="7" s="1"/>
  <c r="F51" i="7" s="1"/>
  <c r="F52" i="7" s="1"/>
  <c r="F53" i="7" s="1"/>
  <c r="F54" i="7" s="1"/>
  <c r="F55" i="7" s="1"/>
  <c r="F56" i="7" s="1"/>
  <c r="F57" i="7" s="1"/>
  <c r="F58" i="7" s="1"/>
  <c r="F59" i="7" s="1"/>
  <c r="F60" i="7" s="1"/>
  <c r="F61" i="7" s="1"/>
  <c r="F62" i="7" s="1"/>
  <c r="F63" i="7" s="1"/>
  <c r="F64" i="7" s="1"/>
  <c r="F65" i="7" s="1"/>
  <c r="F66" i="7" s="1"/>
  <c r="I46" i="7"/>
  <c r="AB43" i="7"/>
  <c r="AB42" i="7"/>
  <c r="AY41" i="7"/>
  <c r="AX41" i="7"/>
  <c r="AW41" i="7"/>
  <c r="AV41" i="7"/>
  <c r="AU41" i="7"/>
  <c r="AT41" i="7"/>
  <c r="AS41" i="7"/>
  <c r="AR41" i="7"/>
  <c r="AQ41" i="7"/>
  <c r="AP41" i="7"/>
  <c r="AO41" i="7"/>
  <c r="AN41" i="7"/>
  <c r="AM41" i="7"/>
  <c r="AL41" i="7"/>
  <c r="AK41" i="7"/>
  <c r="AJ41" i="7"/>
  <c r="AI41" i="7"/>
  <c r="AH41" i="7"/>
  <c r="AG41" i="7"/>
  <c r="AF41" i="7"/>
  <c r="AE41" i="7"/>
  <c r="I41" i="7"/>
  <c r="AB40" i="7"/>
  <c r="AB39" i="7"/>
  <c r="AY38" i="7"/>
  <c r="AX38" i="7"/>
  <c r="AW38" i="7"/>
  <c r="AV38" i="7"/>
  <c r="AU38" i="7"/>
  <c r="AT38" i="7"/>
  <c r="AS38" i="7"/>
  <c r="AR38" i="7"/>
  <c r="AQ38" i="7"/>
  <c r="AP38" i="7"/>
  <c r="AO38" i="7"/>
  <c r="AN38" i="7"/>
  <c r="AM38" i="7"/>
  <c r="AL38" i="7"/>
  <c r="AK38" i="7"/>
  <c r="AJ38" i="7"/>
  <c r="AI38" i="7"/>
  <c r="AH38" i="7"/>
  <c r="AG38" i="7"/>
  <c r="AF38" i="7"/>
  <c r="AE38" i="7"/>
  <c r="AB37" i="7"/>
  <c r="AB36" i="7"/>
  <c r="AY35" i="7"/>
  <c r="AX35" i="7"/>
  <c r="AW35" i="7"/>
  <c r="AV35" i="7"/>
  <c r="AU35" i="7"/>
  <c r="AT35" i="7"/>
  <c r="AS35" i="7"/>
  <c r="AR35" i="7"/>
  <c r="AQ35" i="7"/>
  <c r="AP35" i="7"/>
  <c r="AO35" i="7"/>
  <c r="AN35" i="7"/>
  <c r="AM35" i="7"/>
  <c r="AL35" i="7"/>
  <c r="AK35" i="7"/>
  <c r="AJ35" i="7"/>
  <c r="AI35" i="7"/>
  <c r="AH35" i="7"/>
  <c r="AG35" i="7"/>
  <c r="AF35" i="7"/>
  <c r="AE35" i="7"/>
  <c r="AB34" i="7"/>
  <c r="AB33" i="7"/>
  <c r="AY32" i="7"/>
  <c r="AX32" i="7"/>
  <c r="AX31" i="7" s="1"/>
  <c r="AX30" i="7" s="1"/>
  <c r="AW32" i="7"/>
  <c r="AV32" i="7"/>
  <c r="AV31" i="7" s="1"/>
  <c r="AV30" i="7" s="1"/>
  <c r="AU32" i="7"/>
  <c r="AT32" i="7"/>
  <c r="AT31" i="7" s="1"/>
  <c r="AT30" i="7" s="1"/>
  <c r="AS32" i="7"/>
  <c r="AR32" i="7"/>
  <c r="AR31" i="7" s="1"/>
  <c r="AR30" i="7" s="1"/>
  <c r="AQ32" i="7"/>
  <c r="AP32" i="7"/>
  <c r="AP31" i="7" s="1"/>
  <c r="AP30" i="7" s="1"/>
  <c r="AO32" i="7"/>
  <c r="AN32" i="7"/>
  <c r="AN31" i="7" s="1"/>
  <c r="AN30" i="7" s="1"/>
  <c r="AM32" i="7"/>
  <c r="AL32" i="7"/>
  <c r="AL31" i="7" s="1"/>
  <c r="AL30" i="7" s="1"/>
  <c r="AK32" i="7"/>
  <c r="AJ32" i="7"/>
  <c r="AJ31" i="7" s="1"/>
  <c r="AJ30" i="7" s="1"/>
  <c r="AI32" i="7"/>
  <c r="AH32" i="7"/>
  <c r="AH31" i="7" s="1"/>
  <c r="AH30" i="7" s="1"/>
  <c r="AG32" i="7"/>
  <c r="AF32" i="7"/>
  <c r="AF31" i="7" s="1"/>
  <c r="AF30" i="7" s="1"/>
  <c r="AE32" i="7"/>
  <c r="AY31" i="7"/>
  <c r="AY30" i="7" s="1"/>
  <c r="AW31" i="7"/>
  <c r="AW30" i="7" s="1"/>
  <c r="AU31" i="7"/>
  <c r="AU30" i="7" s="1"/>
  <c r="AS31" i="7"/>
  <c r="AS30" i="7" s="1"/>
  <c r="AQ31" i="7"/>
  <c r="AQ30" i="7" s="1"/>
  <c r="AO31" i="7"/>
  <c r="AO30" i="7" s="1"/>
  <c r="AM31" i="7"/>
  <c r="AM30" i="7" s="1"/>
  <c r="AK31" i="7"/>
  <c r="AK30" i="7" s="1"/>
  <c r="AI31" i="7"/>
  <c r="AI30" i="7" s="1"/>
  <c r="AG31" i="7"/>
  <c r="AG30" i="7" s="1"/>
  <c r="AE31" i="7"/>
  <c r="AE30" i="7" s="1"/>
  <c r="I29" i="7"/>
  <c r="AY28" i="7"/>
  <c r="AX28" i="7"/>
  <c r="AW28" i="7"/>
  <c r="AV28" i="7"/>
  <c r="AU28" i="7"/>
  <c r="AT28" i="7"/>
  <c r="AS28" i="7"/>
  <c r="AR28" i="7"/>
  <c r="AQ28" i="7"/>
  <c r="AP28" i="7"/>
  <c r="AO28" i="7"/>
  <c r="AN28" i="7"/>
  <c r="AM28" i="7"/>
  <c r="AL28" i="7"/>
  <c r="AK28" i="7"/>
  <c r="AJ28" i="7"/>
  <c r="AI28" i="7"/>
  <c r="AH28" i="7"/>
  <c r="AG28" i="7"/>
  <c r="AF28" i="7"/>
  <c r="AE28" i="7"/>
  <c r="I28" i="7"/>
  <c r="F28" i="7"/>
  <c r="F29" i="7" s="1"/>
  <c r="F30" i="7" s="1"/>
  <c r="F31" i="7" s="1"/>
  <c r="F32" i="7" s="1"/>
  <c r="F33" i="7" s="1"/>
  <c r="F34" i="7" s="1"/>
  <c r="F35" i="7" s="1"/>
  <c r="F36" i="7" s="1"/>
  <c r="F37" i="7" s="1"/>
  <c r="F38" i="7" s="1"/>
  <c r="F39" i="7" s="1"/>
  <c r="F40" i="7" s="1"/>
  <c r="F41" i="7" s="1"/>
  <c r="F42" i="7" s="1"/>
  <c r="F43" i="7" s="1"/>
  <c r="F44" i="7" s="1"/>
  <c r="F45" i="7" s="1"/>
  <c r="F46" i="7" s="1"/>
  <c r="U27" i="7"/>
  <c r="U28" i="7" s="1"/>
  <c r="U29" i="7" s="1"/>
  <c r="U30" i="7" s="1"/>
  <c r="U31" i="7" s="1"/>
  <c r="U32" i="7" s="1"/>
  <c r="U33" i="7" s="1"/>
  <c r="U34" i="7" s="1"/>
  <c r="U35" i="7" s="1"/>
  <c r="U36" i="7" s="1"/>
  <c r="U37" i="7" s="1"/>
  <c r="U38" i="7" s="1"/>
  <c r="U39" i="7" s="1"/>
  <c r="U40" i="7" s="1"/>
  <c r="U41" i="7" s="1"/>
  <c r="U42" i="7" s="1"/>
  <c r="U43" i="7" s="1"/>
  <c r="U44" i="7" s="1"/>
  <c r="U45" i="7" s="1"/>
  <c r="U46" i="7" s="1"/>
  <c r="F27" i="7"/>
  <c r="AY24" i="7"/>
  <c r="AX24" i="7"/>
  <c r="AW24" i="7"/>
  <c r="AV24" i="7"/>
  <c r="AU24" i="7"/>
  <c r="AT24" i="7"/>
  <c r="AS24" i="7"/>
  <c r="AR24" i="7"/>
  <c r="AQ24" i="7"/>
  <c r="AP24" i="7"/>
  <c r="AO24" i="7"/>
  <c r="AN24" i="7"/>
  <c r="AM24" i="7"/>
  <c r="AL24" i="7"/>
  <c r="AK24" i="7"/>
  <c r="AJ24" i="7"/>
  <c r="AI24" i="7"/>
  <c r="AH24" i="7"/>
  <c r="AG24" i="7"/>
  <c r="AF24" i="7"/>
  <c r="AE24" i="7"/>
  <c r="AZ11" i="7"/>
  <c r="AY10" i="7"/>
  <c r="AX10" i="7"/>
  <c r="AW10" i="7"/>
  <c r="AV10" i="7"/>
  <c r="AU10" i="7"/>
  <c r="AT10" i="7"/>
  <c r="AS10" i="7"/>
  <c r="AR10" i="7"/>
  <c r="AQ10" i="7"/>
  <c r="AP10" i="7"/>
  <c r="AO10" i="7"/>
  <c r="AN10" i="7"/>
  <c r="AM10" i="7"/>
  <c r="AL10" i="7"/>
  <c r="AK10" i="7"/>
  <c r="AJ10" i="7"/>
  <c r="AI10" i="7"/>
  <c r="AH10" i="7"/>
  <c r="AG10" i="7"/>
  <c r="AF10" i="7"/>
  <c r="AE10" i="7"/>
  <c r="AY9" i="7"/>
  <c r="AX9" i="7"/>
  <c r="AW9" i="7"/>
  <c r="AV9" i="7"/>
  <c r="AU9" i="7"/>
  <c r="AT9" i="7"/>
  <c r="AS9" i="7"/>
  <c r="AR9" i="7"/>
  <c r="AQ9" i="7"/>
  <c r="AP9" i="7"/>
  <c r="AO9" i="7"/>
  <c r="AN9" i="7"/>
  <c r="AM9" i="7"/>
  <c r="AL9" i="7"/>
  <c r="AK9" i="7"/>
  <c r="AJ9" i="7"/>
  <c r="AI9" i="7"/>
  <c r="AH9" i="7"/>
  <c r="AG9" i="7"/>
  <c r="AF9" i="7"/>
  <c r="AE9" i="7"/>
  <c r="AV8" i="7"/>
  <c r="AR8" i="7"/>
  <c r="AN8" i="7"/>
  <c r="AJ8" i="7"/>
  <c r="AF8" i="7"/>
  <c r="AY7" i="7"/>
  <c r="AY8" i="7" s="1"/>
  <c r="AX7" i="7"/>
  <c r="AW7" i="7"/>
  <c r="AV7" i="7"/>
  <c r="AU7" i="7"/>
  <c r="AU8" i="7" s="1"/>
  <c r="AT7" i="7"/>
  <c r="AS7" i="7"/>
  <c r="AR7" i="7"/>
  <c r="AQ7" i="7"/>
  <c r="AQ8" i="7" s="1"/>
  <c r="AP7" i="7"/>
  <c r="AO7" i="7"/>
  <c r="AN7" i="7"/>
  <c r="AM7" i="7"/>
  <c r="AM8" i="7" s="1"/>
  <c r="AL7" i="7"/>
  <c r="AK7" i="7"/>
  <c r="AJ7" i="7"/>
  <c r="AI7" i="7"/>
  <c r="AI8" i="7" s="1"/>
  <c r="AH7" i="7"/>
  <c r="AG7" i="7"/>
  <c r="AF7" i="7"/>
  <c r="AE7" i="7"/>
  <c r="AE8" i="7" s="1"/>
  <c r="AY6" i="7"/>
  <c r="AX6" i="7"/>
  <c r="AX8" i="7" s="1"/>
  <c r="AW6" i="7"/>
  <c r="AW8" i="7" s="1"/>
  <c r="AV6" i="7"/>
  <c r="AV2" i="7" s="1"/>
  <c r="AU6" i="7"/>
  <c r="AT6" i="7"/>
  <c r="AT8" i="7" s="1"/>
  <c r="AS6" i="7"/>
  <c r="AS8" i="7" s="1"/>
  <c r="AR6" i="7"/>
  <c r="AR2" i="7" s="1"/>
  <c r="AQ6" i="7"/>
  <c r="AP6" i="7"/>
  <c r="AP8" i="7" s="1"/>
  <c r="AO6" i="7"/>
  <c r="AO8" i="7" s="1"/>
  <c r="AN6" i="7"/>
  <c r="AN2" i="7" s="1"/>
  <c r="AM6" i="7"/>
  <c r="AL6" i="7"/>
  <c r="AL8" i="7" s="1"/>
  <c r="AK6" i="7"/>
  <c r="AK8" i="7" s="1"/>
  <c r="AJ6" i="7"/>
  <c r="AJ2" i="7" s="1"/>
  <c r="AI6" i="7"/>
  <c r="AH6" i="7"/>
  <c r="AH8" i="7" s="1"/>
  <c r="AG6" i="7"/>
  <c r="AG8" i="7" s="1"/>
  <c r="AF6" i="7"/>
  <c r="AF2" i="7" s="1"/>
  <c r="AE6" i="7"/>
  <c r="AQ33" i="6"/>
  <c r="AP33" i="6"/>
  <c r="AO33" i="6"/>
  <c r="AN33" i="6"/>
  <c r="AM33" i="6"/>
  <c r="AC33" i="6"/>
  <c r="AQ32" i="6"/>
  <c r="AP32" i="6"/>
  <c r="AO32" i="6"/>
  <c r="AN32" i="6"/>
  <c r="AM32" i="6"/>
  <c r="AC32" i="6"/>
  <c r="U30" i="6"/>
  <c r="F30" i="6"/>
  <c r="F31" i="6" s="1"/>
  <c r="F32" i="6" s="1"/>
  <c r="AQ28" i="6"/>
  <c r="AP28" i="6"/>
  <c r="AO28" i="6"/>
  <c r="AN28" i="6"/>
  <c r="AC28" i="6"/>
  <c r="AM28" i="6" s="1"/>
  <c r="U26" i="6"/>
  <c r="F26" i="6"/>
  <c r="F27" i="6" s="1"/>
  <c r="F28" i="6" s="1"/>
  <c r="AH9" i="6"/>
  <c r="AH6" i="6"/>
  <c r="AG6" i="6"/>
  <c r="AF6" i="6"/>
  <c r="AE6" i="6"/>
  <c r="AN31" i="5"/>
  <c r="AM31" i="5"/>
  <c r="AL31" i="5"/>
  <c r="AN30" i="5"/>
  <c r="AM30" i="5"/>
  <c r="AL30" i="5"/>
  <c r="U29" i="5"/>
  <c r="U32" i="5" s="1"/>
  <c r="U31" i="5" s="1"/>
  <c r="U30" i="5" s="1"/>
  <c r="F29" i="5"/>
  <c r="F30" i="5" s="1"/>
  <c r="F31" i="5" s="1"/>
  <c r="F32" i="5" s="1"/>
  <c r="AN27" i="5"/>
  <c r="AM27" i="5"/>
  <c r="AL27" i="5"/>
  <c r="U26" i="5"/>
  <c r="U28" i="5" s="1"/>
  <c r="U27" i="5" s="1"/>
  <c r="F26" i="5"/>
  <c r="F27" i="5" s="1"/>
  <c r="F28" i="5" s="1"/>
  <c r="AG9" i="5"/>
  <c r="AF9" i="5"/>
  <c r="AE213" i="4"/>
  <c r="AE212" i="4"/>
  <c r="AE211" i="4"/>
  <c r="AE210" i="4"/>
  <c r="W208" i="4"/>
  <c r="AE201" i="4"/>
  <c r="B201" i="4"/>
  <c r="AE200" i="4"/>
  <c r="AD200" i="4"/>
  <c r="AE199" i="4"/>
  <c r="AE198" i="4"/>
  <c r="B197" i="4"/>
  <c r="B195" i="4"/>
  <c r="W187" i="4"/>
  <c r="W188" i="4" s="1"/>
  <c r="W189" i="4" s="1"/>
  <c r="W190" i="4" s="1"/>
  <c r="W191" i="4" s="1"/>
  <c r="W192" i="4" s="1"/>
  <c r="W193" i="4" s="1"/>
  <c r="W194" i="4" s="1"/>
  <c r="W195" i="4" s="1"/>
  <c r="W196" i="4" s="1"/>
  <c r="W197" i="4" s="1"/>
  <c r="N187" i="4"/>
  <c r="AL186" i="4"/>
  <c r="AK186" i="4"/>
  <c r="AJ186" i="4"/>
  <c r="M37" i="22" s="1"/>
  <c r="AI186" i="4"/>
  <c r="AH186" i="4"/>
  <c r="I139" i="11" s="1"/>
  <c r="AD186" i="4"/>
  <c r="AG186" i="4" s="1"/>
  <c r="W186" i="4"/>
  <c r="G186" i="4"/>
  <c r="G187" i="4" s="1"/>
  <c r="G188" i="4" s="1"/>
  <c r="G189" i="4" s="1"/>
  <c r="G190" i="4" s="1"/>
  <c r="G191" i="4" s="1"/>
  <c r="G192" i="4" s="1"/>
  <c r="G193" i="4" s="1"/>
  <c r="G194" i="4" s="1"/>
  <c r="G195" i="4" s="1"/>
  <c r="G196" i="4" s="1"/>
  <c r="G197" i="4" s="1"/>
  <c r="AE185" i="4"/>
  <c r="B185" i="4"/>
  <c r="AE184" i="4"/>
  <c r="AE183" i="4"/>
  <c r="AD184" i="4" s="1"/>
  <c r="AE182" i="4"/>
  <c r="AE163" i="4" s="1"/>
  <c r="B181" i="4"/>
  <c r="B179" i="4"/>
  <c r="N171" i="4"/>
  <c r="AL170" i="4"/>
  <c r="AK170" i="4"/>
  <c r="AJ170" i="4"/>
  <c r="AI170" i="4"/>
  <c r="L27" i="22" s="1"/>
  <c r="AH170" i="4"/>
  <c r="I28" i="11" s="1"/>
  <c r="AD170" i="4"/>
  <c r="AG170" i="4" s="1"/>
  <c r="W170" i="4"/>
  <c r="W171" i="4" s="1"/>
  <c r="W172" i="4" s="1"/>
  <c r="W173" i="4" s="1"/>
  <c r="W174" i="4" s="1"/>
  <c r="W175" i="4" s="1"/>
  <c r="W176" i="4" s="1"/>
  <c r="W177" i="4" s="1"/>
  <c r="W178" i="4" s="1"/>
  <c r="W179" i="4" s="1"/>
  <c r="W180" i="4" s="1"/>
  <c r="W181" i="4" s="1"/>
  <c r="G170" i="4"/>
  <c r="G171" i="4" s="1"/>
  <c r="G172" i="4" s="1"/>
  <c r="G173" i="4" s="1"/>
  <c r="G174" i="4" s="1"/>
  <c r="G175" i="4" s="1"/>
  <c r="G176" i="4" s="1"/>
  <c r="G177" i="4" s="1"/>
  <c r="G178" i="4" s="1"/>
  <c r="G179" i="4" s="1"/>
  <c r="G180" i="4" s="1"/>
  <c r="G181" i="4" s="1"/>
  <c r="AB169" i="4"/>
  <c r="B196" i="4" s="1"/>
  <c r="B168" i="4"/>
  <c r="B167" i="4"/>
  <c r="B166" i="4"/>
  <c r="AF163" i="4"/>
  <c r="AD163" i="4"/>
  <c r="B137" i="4"/>
  <c r="B136" i="4"/>
  <c r="B135" i="4"/>
  <c r="B134" i="4"/>
  <c r="B133" i="4"/>
  <c r="B132" i="4"/>
  <c r="W131" i="4"/>
  <c r="W132" i="4" s="1"/>
  <c r="W133" i="4" s="1"/>
  <c r="W134" i="4" s="1"/>
  <c r="W135" i="4" s="1"/>
  <c r="W136" i="4" s="1"/>
  <c r="B131" i="4"/>
  <c r="B130" i="4"/>
  <c r="B129" i="4"/>
  <c r="B128" i="4"/>
  <c r="B127" i="4"/>
  <c r="B126" i="4"/>
  <c r="B125" i="4"/>
  <c r="AB124" i="4"/>
  <c r="B123" i="4"/>
  <c r="B122" i="4"/>
  <c r="B121" i="4"/>
  <c r="B120" i="4"/>
  <c r="B119" i="4"/>
  <c r="B118" i="4"/>
  <c r="W117" i="4"/>
  <c r="W118" i="4" s="1"/>
  <c r="W119" i="4" s="1"/>
  <c r="W120" i="4" s="1"/>
  <c r="W121" i="4" s="1"/>
  <c r="W122" i="4" s="1"/>
  <c r="B117" i="4"/>
  <c r="B116" i="4"/>
  <c r="B115" i="4"/>
  <c r="B114" i="4"/>
  <c r="B113" i="4"/>
  <c r="B112" i="4"/>
  <c r="B111" i="4"/>
  <c r="AB110" i="4"/>
  <c r="B109" i="4"/>
  <c r="B108" i="4"/>
  <c r="B107" i="4"/>
  <c r="B106" i="4"/>
  <c r="B105" i="4"/>
  <c r="B104" i="4"/>
  <c r="W103" i="4"/>
  <c r="W104" i="4" s="1"/>
  <c r="W105" i="4" s="1"/>
  <c r="W106" i="4" s="1"/>
  <c r="W107" i="4" s="1"/>
  <c r="W108" i="4" s="1"/>
  <c r="B103" i="4"/>
  <c r="B102" i="4"/>
  <c r="B101" i="4"/>
  <c r="B100" i="4"/>
  <c r="B99" i="4"/>
  <c r="B98" i="4"/>
  <c r="B97" i="4"/>
  <c r="AB96" i="4"/>
  <c r="B95" i="4"/>
  <c r="B94" i="4"/>
  <c r="B93" i="4"/>
  <c r="B92" i="4"/>
  <c r="W91" i="4"/>
  <c r="W92" i="4" s="1"/>
  <c r="W93" i="4" s="1"/>
  <c r="W94" i="4" s="1"/>
  <c r="B91" i="4"/>
  <c r="W90" i="4"/>
  <c r="B90" i="4"/>
  <c r="B89" i="4"/>
  <c r="B88" i="4"/>
  <c r="B87" i="4"/>
  <c r="B86" i="4"/>
  <c r="B85" i="4"/>
  <c r="B83" i="4"/>
  <c r="B82" i="4"/>
  <c r="B81" i="4"/>
  <c r="B80" i="4"/>
  <c r="W79" i="4"/>
  <c r="W80" i="4" s="1"/>
  <c r="W81" i="4" s="1"/>
  <c r="W82" i="4" s="1"/>
  <c r="B79" i="4"/>
  <c r="W78" i="4"/>
  <c r="B78" i="4"/>
  <c r="B77" i="4"/>
  <c r="B76" i="4"/>
  <c r="B75" i="4"/>
  <c r="B74" i="4"/>
  <c r="B73" i="4"/>
  <c r="B55" i="4"/>
  <c r="B54" i="4"/>
  <c r="AB34" i="4"/>
  <c r="AE27" i="4"/>
  <c r="B26" i="4"/>
  <c r="AG25" i="4"/>
  <c r="AY2" i="10" s="1"/>
  <c r="AF25" i="4"/>
  <c r="AB35" i="4" s="1"/>
  <c r="B25" i="4"/>
  <c r="AH23" i="4"/>
  <c r="AF22" i="4"/>
  <c r="B50" i="2"/>
  <c r="B49" i="2"/>
  <c r="B48" i="2"/>
  <c r="B47" i="2"/>
  <c r="B46" i="2"/>
  <c r="B45" i="2"/>
  <c r="B44" i="2"/>
  <c r="B43" i="2"/>
  <c r="B42" i="2"/>
  <c r="B41" i="2"/>
  <c r="B40" i="2"/>
  <c r="B39" i="2"/>
  <c r="B38" i="2"/>
  <c r="B37" i="2"/>
  <c r="B36" i="2"/>
  <c r="B35" i="2"/>
  <c r="B34" i="2"/>
  <c r="B33" i="2"/>
  <c r="B32" i="2"/>
  <c r="B31" i="2"/>
  <c r="B29" i="2"/>
  <c r="B28" i="2"/>
  <c r="B27" i="2"/>
  <c r="H26" i="2"/>
  <c r="H27" i="2" s="1"/>
  <c r="H28" i="2" s="1"/>
  <c r="H29" i="2" s="1"/>
  <c r="H25" i="2"/>
  <c r="AN51" i="11" l="1"/>
  <c r="AN55" i="11" s="1"/>
  <c r="AN52" i="11"/>
  <c r="AZ51" i="11"/>
  <c r="AZ55" i="11" s="1"/>
  <c r="AZ52" i="11"/>
  <c r="BL51" i="11"/>
  <c r="BL55" i="11" s="1"/>
  <c r="BL52" i="11"/>
  <c r="BX51" i="11"/>
  <c r="BX55" i="11" s="1"/>
  <c r="BX52" i="11"/>
  <c r="CJ51" i="11"/>
  <c r="CJ55" i="11" s="1"/>
  <c r="CJ52" i="11"/>
  <c r="AB29" i="31"/>
  <c r="AB27" i="29"/>
  <c r="AB27" i="27"/>
  <c r="AB27" i="17"/>
  <c r="AB27" i="15"/>
  <c r="AB27" i="13"/>
  <c r="AB26" i="6"/>
  <c r="AB26" i="5"/>
  <c r="AB28" i="8"/>
  <c r="AB27" i="7"/>
  <c r="F29" i="6"/>
  <c r="U29" i="6" s="1"/>
  <c r="U28" i="6"/>
  <c r="U29" i="8"/>
  <c r="F30" i="8"/>
  <c r="H30" i="2"/>
  <c r="H31" i="2" s="1"/>
  <c r="G183" i="4"/>
  <c r="G184" i="4" s="1"/>
  <c r="G185" i="4" s="1"/>
  <c r="G182" i="4"/>
  <c r="G199" i="4"/>
  <c r="G200" i="4" s="1"/>
  <c r="G201" i="4" s="1"/>
  <c r="G198" i="4"/>
  <c r="BA40" i="11"/>
  <c r="BA39" i="11"/>
  <c r="BM40" i="11"/>
  <c r="BM39" i="11"/>
  <c r="AB29" i="5"/>
  <c r="W29" i="5"/>
  <c r="F33" i="6"/>
  <c r="U32" i="6"/>
  <c r="AB28" i="9"/>
  <c r="H32" i="2"/>
  <c r="H33" i="2" s="1"/>
  <c r="H34" i="2" s="1"/>
  <c r="H35" i="2" s="1"/>
  <c r="H36" i="2" s="1"/>
  <c r="H37" i="2" s="1"/>
  <c r="H38" i="2" s="1"/>
  <c r="H39" i="2" s="1"/>
  <c r="H40" i="2" s="1"/>
  <c r="H41" i="2" s="1"/>
  <c r="H42" i="2" s="1"/>
  <c r="H43" i="2" s="1"/>
  <c r="H44" i="2" s="1"/>
  <c r="W183" i="4"/>
  <c r="W184" i="4" s="1"/>
  <c r="W185" i="4" s="1"/>
  <c r="W182" i="4"/>
  <c r="W199" i="4"/>
  <c r="W200" i="4" s="1"/>
  <c r="W201" i="4" s="1"/>
  <c r="W198" i="4"/>
  <c r="U56" i="8"/>
  <c r="F57" i="8"/>
  <c r="F37" i="9"/>
  <c r="U36" i="9"/>
  <c r="F44" i="10"/>
  <c r="T43" i="10"/>
  <c r="AO40" i="11"/>
  <c r="AO39" i="11"/>
  <c r="CK40" i="11"/>
  <c r="CK39" i="11"/>
  <c r="F32" i="9"/>
  <c r="U31" i="9"/>
  <c r="AK63" i="10"/>
  <c r="AK52" i="10"/>
  <c r="AK61" i="10" s="1"/>
  <c r="AS63" i="10"/>
  <c r="AS52" i="10"/>
  <c r="AS61" i="10" s="1"/>
  <c r="BA63" i="10"/>
  <c r="BA52" i="10"/>
  <c r="BA61" i="10" s="1"/>
  <c r="K27" i="27"/>
  <c r="K27" i="29"/>
  <c r="K27" i="26"/>
  <c r="K27" i="28"/>
  <c r="K27" i="12"/>
  <c r="K54" i="29"/>
  <c r="K51" i="28"/>
  <c r="K41" i="27"/>
  <c r="K65" i="26"/>
  <c r="K71" i="25"/>
  <c r="AQ2" i="7"/>
  <c r="AY2" i="7"/>
  <c r="AH2" i="8"/>
  <c r="AP2" i="8"/>
  <c r="AL2" i="9"/>
  <c r="AQ62" i="10"/>
  <c r="AQ52" i="10"/>
  <c r="AQ61" i="10" s="1"/>
  <c r="F65" i="10"/>
  <c r="F66" i="10" s="1"/>
  <c r="F67" i="10" s="1"/>
  <c r="F68" i="10" s="1"/>
  <c r="F69" i="10" s="1"/>
  <c r="F70" i="10" s="1"/>
  <c r="F71" i="10" s="1"/>
  <c r="F72" i="10" s="1"/>
  <c r="F73" i="10" s="1"/>
  <c r="F74" i="10" s="1"/>
  <c r="F75" i="10" s="1"/>
  <c r="F76" i="10" s="1"/>
  <c r="F77" i="10" s="1"/>
  <c r="F78" i="10" s="1"/>
  <c r="F79" i="10" s="1"/>
  <c r="H64" i="10"/>
  <c r="AG89" i="10"/>
  <c r="BF2" i="11"/>
  <c r="BT11" i="11"/>
  <c r="BT7" i="11"/>
  <c r="AV39" i="11"/>
  <c r="AV40" i="11"/>
  <c r="AV37" i="11"/>
  <c r="CR39" i="11"/>
  <c r="CR40" i="11"/>
  <c r="CR37" i="11"/>
  <c r="CG40" i="11"/>
  <c r="CG37" i="11"/>
  <c r="BB51" i="11"/>
  <c r="BN51" i="11"/>
  <c r="BN52" i="11" s="1"/>
  <c r="BZ50" i="11"/>
  <c r="CL51" i="11"/>
  <c r="AL33" i="4"/>
  <c r="AG163" i="4"/>
  <c r="R28" i="30"/>
  <c r="G27" i="29"/>
  <c r="G27" i="28"/>
  <c r="G27" i="27"/>
  <c r="G27" i="22"/>
  <c r="T32" i="22" s="1"/>
  <c r="T36" i="22" s="1"/>
  <c r="G27" i="19"/>
  <c r="B182" i="4"/>
  <c r="B183" i="4"/>
  <c r="B184" i="4"/>
  <c r="R74" i="30"/>
  <c r="G41" i="27"/>
  <c r="G51" i="28"/>
  <c r="G71" i="25"/>
  <c r="L68" i="12"/>
  <c r="H139" i="11"/>
  <c r="B198" i="4"/>
  <c r="B199" i="4"/>
  <c r="B200" i="4"/>
  <c r="AH2" i="7"/>
  <c r="AL2" i="7"/>
  <c r="AP2" i="7"/>
  <c r="AT2" i="7"/>
  <c r="AX2" i="7"/>
  <c r="AG2" i="8"/>
  <c r="AK2" i="8"/>
  <c r="AO2" i="8"/>
  <c r="AS2" i="8"/>
  <c r="AW2" i="8"/>
  <c r="U28" i="8"/>
  <c r="U55" i="8"/>
  <c r="AG2" i="9"/>
  <c r="AK2" i="9"/>
  <c r="AO2" i="9"/>
  <c r="AS2" i="9"/>
  <c r="AW2" i="9"/>
  <c r="U35" i="9"/>
  <c r="AI2" i="10"/>
  <c r="AQ2" i="10"/>
  <c r="G28" i="10"/>
  <c r="T28" i="10" s="1"/>
  <c r="T29" i="10" s="1"/>
  <c r="T30" i="10" s="1"/>
  <c r="T31" i="10" s="1"/>
  <c r="T32" i="10" s="1"/>
  <c r="T33" i="10" s="1"/>
  <c r="T34" i="10" s="1"/>
  <c r="T35" i="10" s="1"/>
  <c r="T36" i="10" s="1"/>
  <c r="T37" i="10" s="1"/>
  <c r="T38" i="10" s="1"/>
  <c r="T39" i="10" s="1"/>
  <c r="T40" i="10" s="1"/>
  <c r="T41" i="10" s="1"/>
  <c r="AH52" i="10"/>
  <c r="AH61" i="10" s="1"/>
  <c r="AP52" i="10"/>
  <c r="AP61" i="10" s="1"/>
  <c r="AX52" i="10"/>
  <c r="AX61" i="10" s="1"/>
  <c r="AF53" i="10"/>
  <c r="AN53" i="10"/>
  <c r="AV53" i="10"/>
  <c r="AL54" i="10"/>
  <c r="AL63" i="10" s="1"/>
  <c r="AT54" i="10"/>
  <c r="AT63" i="10" s="1"/>
  <c r="BB54" i="10"/>
  <c r="BB63" i="10" s="1"/>
  <c r="AL62" i="10"/>
  <c r="AT62" i="10"/>
  <c r="BB62" i="10"/>
  <c r="AV98" i="10"/>
  <c r="AV88" i="10"/>
  <c r="AV97" i="10" s="1"/>
  <c r="AZ98" i="10"/>
  <c r="AZ88" i="10"/>
  <c r="AZ97" i="10" s="1"/>
  <c r="AS89" i="10"/>
  <c r="AJ39" i="11"/>
  <c r="AJ40" i="11"/>
  <c r="AJ37" i="11"/>
  <c r="AZ39" i="11"/>
  <c r="AZ40" i="11"/>
  <c r="AZ37" i="11"/>
  <c r="BK39" i="11"/>
  <c r="BK40" i="11"/>
  <c r="CA39" i="11"/>
  <c r="CA40" i="11"/>
  <c r="CF39" i="11"/>
  <c r="CF40" i="11"/>
  <c r="CF37" i="11"/>
  <c r="AS40" i="11"/>
  <c r="AS37" i="11"/>
  <c r="BU40" i="11"/>
  <c r="BU37" i="11"/>
  <c r="CO40" i="11"/>
  <c r="CO37" i="11"/>
  <c r="AO37" i="11"/>
  <c r="BA37" i="11"/>
  <c r="BM37" i="11"/>
  <c r="BY37" i="11"/>
  <c r="CK37" i="11"/>
  <c r="AS39" i="11"/>
  <c r="BY39" i="11"/>
  <c r="CO39" i="11"/>
  <c r="BV40" i="11"/>
  <c r="AQ48" i="11"/>
  <c r="AQ44" i="11"/>
  <c r="BC48" i="11"/>
  <c r="BC44" i="11"/>
  <c r="BO48" i="11"/>
  <c r="BO44" i="11"/>
  <c r="CA48" i="11"/>
  <c r="CA44" i="11"/>
  <c r="CM48" i="11"/>
  <c r="CM44" i="11"/>
  <c r="AH133" i="11"/>
  <c r="AH64" i="11"/>
  <c r="AH53" i="11"/>
  <c r="AH131" i="11" s="1"/>
  <c r="AT50" i="11"/>
  <c r="BF53" i="11"/>
  <c r="BF64" i="11"/>
  <c r="BR50" i="11"/>
  <c r="CD50" i="11"/>
  <c r="CP50" i="11"/>
  <c r="CC51" i="11"/>
  <c r="FN2" i="30"/>
  <c r="EX2" i="30"/>
  <c r="EH2" i="30"/>
  <c r="DR2" i="30"/>
  <c r="DB2" i="30"/>
  <c r="CL2" i="30"/>
  <c r="BV2" i="30"/>
  <c r="BF2" i="30"/>
  <c r="AU2" i="29"/>
  <c r="AQ2" i="29"/>
  <c r="AM2" i="29"/>
  <c r="AI2" i="29"/>
  <c r="AE2" i="29"/>
  <c r="AK2" i="26"/>
  <c r="FR2" i="30"/>
  <c r="EP2" i="30"/>
  <c r="DN2" i="30"/>
  <c r="DF2" i="30"/>
  <c r="CD2" i="30"/>
  <c r="BB2" i="30"/>
  <c r="AL2" i="30"/>
  <c r="AV2" i="29"/>
  <c r="AF2" i="29"/>
  <c r="FQ2" i="30"/>
  <c r="FJ2" i="30"/>
  <c r="FB2" i="30"/>
  <c r="EO2" i="30"/>
  <c r="EG2" i="30"/>
  <c r="DZ2" i="30"/>
  <c r="DE2" i="30"/>
  <c r="CX2" i="30"/>
  <c r="CP2" i="30"/>
  <c r="CC2" i="30"/>
  <c r="BU2" i="30"/>
  <c r="BN2" i="30"/>
  <c r="AP2" i="30"/>
  <c r="FU2" i="30"/>
  <c r="FF2" i="30"/>
  <c r="ED2" i="30"/>
  <c r="DA2" i="30"/>
  <c r="BY2" i="30"/>
  <c r="BJ2" i="30"/>
  <c r="AX2" i="30"/>
  <c r="AJ2" i="29"/>
  <c r="FM2" i="30"/>
  <c r="EY2" i="30"/>
  <c r="EK2" i="30"/>
  <c r="DV2" i="30"/>
  <c r="DI2" i="30"/>
  <c r="CT2" i="30"/>
  <c r="BR2" i="30"/>
  <c r="AR2" i="30"/>
  <c r="AH2" i="30"/>
  <c r="AX2" i="29"/>
  <c r="AN2" i="29"/>
  <c r="FV2" i="30"/>
  <c r="ET2" i="30"/>
  <c r="DQ2" i="30"/>
  <c r="CO2" i="30"/>
  <c r="BM2" i="30"/>
  <c r="AN2" i="30"/>
  <c r="AL2" i="29"/>
  <c r="FO2" i="30"/>
  <c r="EL2" i="30"/>
  <c r="DJ2" i="30"/>
  <c r="CH2" i="30"/>
  <c r="BE2" i="30"/>
  <c r="AH2" i="29"/>
  <c r="AL2" i="26"/>
  <c r="FG2" i="30"/>
  <c r="EE2" i="30"/>
  <c r="DC2" i="30"/>
  <c r="BZ2" i="30"/>
  <c r="AY2" i="30"/>
  <c r="AJ2" i="26"/>
  <c r="FA2" i="30"/>
  <c r="DY2" i="30"/>
  <c r="CU2" i="30"/>
  <c r="BS2" i="30"/>
  <c r="AT2" i="30"/>
  <c r="AR2" i="29"/>
  <c r="BJ2" i="25"/>
  <c r="BF2" i="25"/>
  <c r="BB2" i="25"/>
  <c r="AX2" i="25"/>
  <c r="AT2" i="25"/>
  <c r="AP2" i="25"/>
  <c r="AL2" i="25"/>
  <c r="BL2" i="25"/>
  <c r="BH2" i="25"/>
  <c r="BD2" i="25"/>
  <c r="AZ2" i="25"/>
  <c r="AV2" i="25"/>
  <c r="AR2" i="25"/>
  <c r="AN2" i="25"/>
  <c r="AJ2" i="25"/>
  <c r="BK2" i="25"/>
  <c r="BG2" i="25"/>
  <c r="BC2" i="25"/>
  <c r="AY2" i="25"/>
  <c r="AU2" i="25"/>
  <c r="AQ2" i="25"/>
  <c r="AM2" i="25"/>
  <c r="AS2" i="23"/>
  <c r="AO2" i="23"/>
  <c r="AJ2" i="23"/>
  <c r="AQ2" i="23"/>
  <c r="AL2" i="23"/>
  <c r="AH2" i="23"/>
  <c r="AT2" i="23"/>
  <c r="AP2" i="23"/>
  <c r="AK2" i="23"/>
  <c r="BM2" i="22"/>
  <c r="BI2" i="22"/>
  <c r="BE2" i="22"/>
  <c r="BA2" i="22"/>
  <c r="AW2" i="22"/>
  <c r="AS2" i="22"/>
  <c r="AO2" i="22"/>
  <c r="AK2" i="22"/>
  <c r="BM2" i="21"/>
  <c r="BI2" i="21"/>
  <c r="BE2" i="21"/>
  <c r="BA2" i="21"/>
  <c r="AW2" i="21"/>
  <c r="AS2" i="21"/>
  <c r="AO2" i="21"/>
  <c r="AK2" i="21"/>
  <c r="BL2" i="22"/>
  <c r="BH2" i="22"/>
  <c r="BD2" i="22"/>
  <c r="AZ2" i="22"/>
  <c r="AV2" i="22"/>
  <c r="AR2" i="22"/>
  <c r="AN2" i="22"/>
  <c r="AJ2" i="22"/>
  <c r="BL2" i="21"/>
  <c r="BH2" i="21"/>
  <c r="BD2" i="21"/>
  <c r="AZ2" i="21"/>
  <c r="AV2" i="21"/>
  <c r="AR2" i="21"/>
  <c r="AN2" i="21"/>
  <c r="AJ2" i="21"/>
  <c r="BK2" i="22"/>
  <c r="BG2" i="22"/>
  <c r="BC2" i="22"/>
  <c r="AY2" i="22"/>
  <c r="AU2" i="22"/>
  <c r="AQ2" i="22"/>
  <c r="AM2" i="22"/>
  <c r="BK2" i="21"/>
  <c r="BG2" i="21"/>
  <c r="BC2" i="21"/>
  <c r="AY2" i="21"/>
  <c r="AU2" i="21"/>
  <c r="AQ2" i="21"/>
  <c r="AM2" i="21"/>
  <c r="BJ2" i="21"/>
  <c r="BF2" i="21"/>
  <c r="BB2" i="21"/>
  <c r="AX2" i="21"/>
  <c r="AT2" i="21"/>
  <c r="AP2" i="21"/>
  <c r="AL2" i="21"/>
  <c r="BK2" i="20"/>
  <c r="BG2" i="20"/>
  <c r="BC2" i="20"/>
  <c r="AY2" i="20"/>
  <c r="AU2" i="20"/>
  <c r="AQ2" i="20"/>
  <c r="AM2" i="20"/>
  <c r="AY2" i="18"/>
  <c r="AU2" i="18"/>
  <c r="AQ2" i="18"/>
  <c r="AM2" i="18"/>
  <c r="AI2" i="18"/>
  <c r="AY2" i="16"/>
  <c r="AU2" i="16"/>
  <c r="AQ2" i="16"/>
  <c r="AM2" i="16"/>
  <c r="AI2" i="16"/>
  <c r="BA2" i="15"/>
  <c r="AW2" i="15"/>
  <c r="AS2" i="15"/>
  <c r="AO2" i="15"/>
  <c r="AK2" i="15"/>
  <c r="BJ2" i="20"/>
  <c r="BF2" i="20"/>
  <c r="BB2" i="20"/>
  <c r="AX2" i="20"/>
  <c r="AT2" i="20"/>
  <c r="AP2" i="20"/>
  <c r="AL2" i="20"/>
  <c r="BB2" i="18"/>
  <c r="AX2" i="18"/>
  <c r="AT2" i="18"/>
  <c r="AP2" i="18"/>
  <c r="AL2" i="18"/>
  <c r="BB2" i="16"/>
  <c r="AX2" i="16"/>
  <c r="AT2" i="16"/>
  <c r="AP2" i="16"/>
  <c r="AL2" i="16"/>
  <c r="AZ2" i="15"/>
  <c r="AV2" i="15"/>
  <c r="AR2" i="15"/>
  <c r="AN2" i="15"/>
  <c r="AJ2" i="15"/>
  <c r="BM2" i="20"/>
  <c r="BI2" i="20"/>
  <c r="BE2" i="20"/>
  <c r="BA2" i="20"/>
  <c r="AW2" i="20"/>
  <c r="AS2" i="20"/>
  <c r="AO2" i="20"/>
  <c r="AK2" i="20"/>
  <c r="BA2" i="18"/>
  <c r="AW2" i="18"/>
  <c r="AS2" i="18"/>
  <c r="AO2" i="18"/>
  <c r="AK2" i="18"/>
  <c r="BA2" i="16"/>
  <c r="AW2" i="16"/>
  <c r="AS2" i="16"/>
  <c r="AO2" i="16"/>
  <c r="AK2" i="16"/>
  <c r="AY2" i="15"/>
  <c r="AU2" i="15"/>
  <c r="AQ2" i="15"/>
  <c r="AM2" i="15"/>
  <c r="AI2" i="15"/>
  <c r="BL2" i="20"/>
  <c r="BH2" i="20"/>
  <c r="BD2" i="20"/>
  <c r="AZ2" i="20"/>
  <c r="AV2" i="20"/>
  <c r="AR2" i="20"/>
  <c r="AN2" i="20"/>
  <c r="AJ2" i="20"/>
  <c r="AZ2" i="18"/>
  <c r="AV2" i="18"/>
  <c r="AR2" i="18"/>
  <c r="AN2" i="18"/>
  <c r="AJ2" i="18"/>
  <c r="AJ2" i="17"/>
  <c r="AZ2" i="16"/>
  <c r="AV2" i="16"/>
  <c r="AR2" i="16"/>
  <c r="AN2" i="16"/>
  <c r="AJ2" i="16"/>
  <c r="BB2" i="15"/>
  <c r="AX2" i="15"/>
  <c r="AT2" i="15"/>
  <c r="AP2" i="15"/>
  <c r="AL2" i="15"/>
  <c r="BA2" i="14"/>
  <c r="AW2" i="14"/>
  <c r="AS2" i="14"/>
  <c r="AO2" i="14"/>
  <c r="AK2" i="14"/>
  <c r="BB2" i="13"/>
  <c r="AX2" i="13"/>
  <c r="AT2" i="13"/>
  <c r="AP2" i="13"/>
  <c r="AL2" i="13"/>
  <c r="AZ2" i="14"/>
  <c r="AV2" i="14"/>
  <c r="AR2" i="14"/>
  <c r="AN2" i="14"/>
  <c r="AJ2" i="14"/>
  <c r="BA2" i="13"/>
  <c r="AW2" i="13"/>
  <c r="AS2" i="13"/>
  <c r="AO2" i="13"/>
  <c r="AK2" i="13"/>
  <c r="AY2" i="12"/>
  <c r="AU2" i="12"/>
  <c r="AQ2" i="12"/>
  <c r="AM2" i="12"/>
  <c r="AI2" i="12"/>
  <c r="AY2" i="14"/>
  <c r="AU2" i="14"/>
  <c r="AQ2" i="14"/>
  <c r="AM2" i="14"/>
  <c r="AI2" i="14"/>
  <c r="AZ2" i="13"/>
  <c r="AV2" i="13"/>
  <c r="AR2" i="13"/>
  <c r="AN2" i="13"/>
  <c r="AJ2" i="13"/>
  <c r="BB2" i="14"/>
  <c r="AX2" i="14"/>
  <c r="AT2" i="14"/>
  <c r="AP2" i="14"/>
  <c r="AL2" i="14"/>
  <c r="AY2" i="13"/>
  <c r="AU2" i="13"/>
  <c r="AQ2" i="13"/>
  <c r="AM2" i="13"/>
  <c r="AI2" i="13"/>
  <c r="BA2" i="12"/>
  <c r="AW2" i="12"/>
  <c r="AS2" i="12"/>
  <c r="AO2" i="12"/>
  <c r="AK2" i="12"/>
  <c r="AX2" i="12"/>
  <c r="AP2" i="12"/>
  <c r="AV2" i="12"/>
  <c r="AN2" i="12"/>
  <c r="BB2" i="12"/>
  <c r="AT2" i="12"/>
  <c r="AL2" i="12"/>
  <c r="AZ2" i="12"/>
  <c r="AR2" i="12"/>
  <c r="AJ2" i="12"/>
  <c r="CS2" i="11"/>
  <c r="CO2" i="11"/>
  <c r="CK2" i="11"/>
  <c r="CG2" i="11"/>
  <c r="CC2" i="11"/>
  <c r="BY2" i="11"/>
  <c r="BU2" i="11"/>
  <c r="BQ2" i="11"/>
  <c r="BM2" i="11"/>
  <c r="BI2" i="11"/>
  <c r="BE2" i="11"/>
  <c r="BA2" i="11"/>
  <c r="AW2" i="11"/>
  <c r="AS2" i="11"/>
  <c r="AO2" i="11"/>
  <c r="BA2" i="10"/>
  <c r="AW2" i="10"/>
  <c r="AS2" i="10"/>
  <c r="AO2" i="10"/>
  <c r="AK2" i="10"/>
  <c r="CR2" i="11"/>
  <c r="CN2" i="11"/>
  <c r="CJ2" i="11"/>
  <c r="CF2" i="11"/>
  <c r="CB2" i="11"/>
  <c r="BX2" i="11"/>
  <c r="BT2" i="11"/>
  <c r="BP2" i="11"/>
  <c r="BL2" i="11"/>
  <c r="BH2" i="11"/>
  <c r="BD2" i="11"/>
  <c r="AZ2" i="11"/>
  <c r="AV2" i="11"/>
  <c r="AR2" i="11"/>
  <c r="AZ2" i="10"/>
  <c r="AV2" i="10"/>
  <c r="AR2" i="10"/>
  <c r="AN2" i="10"/>
  <c r="AJ2" i="10"/>
  <c r="CQ2" i="11"/>
  <c r="CM2" i="11"/>
  <c r="CI2" i="11"/>
  <c r="CE2" i="11"/>
  <c r="CA2" i="11"/>
  <c r="BW2" i="11"/>
  <c r="BS2" i="11"/>
  <c r="BO2" i="11"/>
  <c r="BK2" i="11"/>
  <c r="BG2" i="11"/>
  <c r="BC2" i="11"/>
  <c r="AY2" i="11"/>
  <c r="AU2" i="11"/>
  <c r="AQ2" i="11"/>
  <c r="AM2" i="7"/>
  <c r="AT2" i="8"/>
  <c r="AT2" i="9"/>
  <c r="AL2" i="10"/>
  <c r="AY62" i="10"/>
  <c r="AY52" i="10"/>
  <c r="AY61" i="10" s="1"/>
  <c r="CL2" i="11"/>
  <c r="BL39" i="11"/>
  <c r="BL40" i="11"/>
  <c r="BL37" i="11"/>
  <c r="AJ53" i="11"/>
  <c r="AJ54" i="11" s="1"/>
  <c r="AW64" i="11"/>
  <c r="CS64" i="11"/>
  <c r="AW164" i="11"/>
  <c r="AW175" i="11"/>
  <c r="S25" i="30"/>
  <c r="S26" i="30"/>
  <c r="S24" i="30"/>
  <c r="AU2" i="7"/>
  <c r="AH2" i="9"/>
  <c r="AX2" i="9"/>
  <c r="AT2" i="10"/>
  <c r="BV2" i="11"/>
  <c r="B180" i="4"/>
  <c r="AI2" i="8"/>
  <c r="AM2" i="8"/>
  <c r="AQ2" i="8"/>
  <c r="AU2" i="8"/>
  <c r="AI2" i="9"/>
  <c r="AM2" i="9"/>
  <c r="AQ2" i="9"/>
  <c r="AU2" i="9"/>
  <c r="AY2" i="9"/>
  <c r="U30" i="9"/>
  <c r="AM2" i="10"/>
  <c r="AU2" i="10"/>
  <c r="AG40" i="10"/>
  <c r="AK40" i="10"/>
  <c r="AO40" i="10"/>
  <c r="AS40" i="10"/>
  <c r="AW40" i="10"/>
  <c r="BA40" i="10"/>
  <c r="AJ53" i="10"/>
  <c r="AR53" i="10"/>
  <c r="AZ53" i="10"/>
  <c r="G64" i="10"/>
  <c r="T64" i="10" s="1"/>
  <c r="T65" i="10" s="1"/>
  <c r="T66" i="10" s="1"/>
  <c r="T67" i="10" s="1"/>
  <c r="T68" i="10" s="1"/>
  <c r="T69" i="10" s="1"/>
  <c r="T70" i="10" s="1"/>
  <c r="T71" i="10" s="1"/>
  <c r="T72" i="10" s="1"/>
  <c r="T73" i="10" s="1"/>
  <c r="T74" i="10" s="1"/>
  <c r="T75" i="10" s="1"/>
  <c r="T76" i="10" s="1"/>
  <c r="T77" i="10" s="1"/>
  <c r="AF65" i="10"/>
  <c r="AN65" i="10"/>
  <c r="AV65" i="10"/>
  <c r="AH65" i="10"/>
  <c r="AH89" i="10"/>
  <c r="AL65" i="10"/>
  <c r="AL89" i="10"/>
  <c r="AP65" i="10"/>
  <c r="AP89" i="10"/>
  <c r="AT65" i="10"/>
  <c r="AT89" i="10"/>
  <c r="AX65" i="10"/>
  <c r="AX89" i="10"/>
  <c r="BB65" i="10"/>
  <c r="BB89" i="10"/>
  <c r="AK89" i="10"/>
  <c r="BA89" i="10"/>
  <c r="S29" i="11"/>
  <c r="U28" i="11"/>
  <c r="AM39" i="11"/>
  <c r="AM40" i="11"/>
  <c r="BC39" i="11"/>
  <c r="BC40" i="11"/>
  <c r="BH39" i="11"/>
  <c r="BH40" i="11"/>
  <c r="BH37" i="11"/>
  <c r="BX39" i="11"/>
  <c r="BX40" i="11"/>
  <c r="BX37" i="11"/>
  <c r="CI39" i="11"/>
  <c r="CI40" i="11"/>
  <c r="AW40" i="11"/>
  <c r="AW37" i="11"/>
  <c r="BQ40" i="11"/>
  <c r="BQ37" i="11"/>
  <c r="CS40" i="11"/>
  <c r="CS37" i="11"/>
  <c r="BQ39" i="11"/>
  <c r="CG39" i="11"/>
  <c r="AX40" i="11"/>
  <c r="AW52" i="11"/>
  <c r="BI52" i="11"/>
  <c r="CG52" i="11"/>
  <c r="CS52" i="11"/>
  <c r="BR44" i="11"/>
  <c r="AJ119" i="11"/>
  <c r="AJ112" i="11"/>
  <c r="AJ123" i="11"/>
  <c r="AJ122" i="11" s="1"/>
  <c r="AJ116" i="11"/>
  <c r="AJ115" i="11" s="1"/>
  <c r="AJ99" i="11"/>
  <c r="AJ86" i="11"/>
  <c r="AJ103" i="11"/>
  <c r="AJ102" i="11" s="1"/>
  <c r="AJ73" i="11"/>
  <c r="AJ90" i="11"/>
  <c r="AJ89" i="11" s="1"/>
  <c r="CE47" i="11"/>
  <c r="CE46" i="11" s="1"/>
  <c r="AQ50" i="11"/>
  <c r="BC50" i="11"/>
  <c r="BO50" i="11"/>
  <c r="BM50" i="11" s="1"/>
  <c r="CA50" i="11"/>
  <c r="CM50" i="11"/>
  <c r="CC52" i="11"/>
  <c r="BE51" i="11"/>
  <c r="BU51" i="11"/>
  <c r="BU55" i="11" s="1"/>
  <c r="BB52" i="11"/>
  <c r="CG64" i="11"/>
  <c r="BU166" i="11"/>
  <c r="BU163" i="11"/>
  <c r="CS163" i="11"/>
  <c r="AI2" i="7"/>
  <c r="AL2" i="8"/>
  <c r="AX2" i="8"/>
  <c r="AP2" i="9"/>
  <c r="BB2" i="10"/>
  <c r="AI62" i="10"/>
  <c r="AI52" i="10"/>
  <c r="AI61" i="10" s="1"/>
  <c r="AW89" i="10"/>
  <c r="AP2" i="11"/>
  <c r="AQ39" i="11"/>
  <c r="AQ40" i="11"/>
  <c r="BW39" i="11"/>
  <c r="BW40" i="11"/>
  <c r="CM39" i="11"/>
  <c r="CM40" i="11"/>
  <c r="AK40" i="11"/>
  <c r="AK37" i="11"/>
  <c r="BE40" i="11"/>
  <c r="BE37" i="11"/>
  <c r="AI126" i="11"/>
  <c r="AI103" i="11"/>
  <c r="AI102" i="11" s="1"/>
  <c r="AI119" i="11"/>
  <c r="AI112" i="11"/>
  <c r="AI90" i="11"/>
  <c r="AI89" i="11" s="1"/>
  <c r="AI99" i="11"/>
  <c r="AI77" i="11"/>
  <c r="AI76" i="11" s="1"/>
  <c r="AI54" i="11"/>
  <c r="AI116" i="11"/>
  <c r="AI115" i="11" s="1"/>
  <c r="AI86" i="11"/>
  <c r="AI123" i="11"/>
  <c r="AI122" i="11" s="1"/>
  <c r="AI73" i="11"/>
  <c r="AP51" i="11"/>
  <c r="AK52" i="11"/>
  <c r="AK55" i="11"/>
  <c r="BQ51" i="11"/>
  <c r="AH123" i="11"/>
  <c r="AH122" i="11" s="1"/>
  <c r="AH116" i="11"/>
  <c r="AH115" i="11" s="1"/>
  <c r="AH126" i="11"/>
  <c r="AH103" i="11"/>
  <c r="AH102" i="11" s="1"/>
  <c r="AH119" i="11"/>
  <c r="AH112" i="11"/>
  <c r="AH90" i="11"/>
  <c r="AH89" i="11" s="1"/>
  <c r="AH99" i="11"/>
  <c r="AH77" i="11"/>
  <c r="AH76" i="11" s="1"/>
  <c r="AH54" i="11"/>
  <c r="AH86" i="11"/>
  <c r="M27" i="22"/>
  <c r="K28" i="11"/>
  <c r="AG2" i="7"/>
  <c r="AK2" i="7"/>
  <c r="AO2" i="7"/>
  <c r="AS2" i="7"/>
  <c r="AW2" i="7"/>
  <c r="AF2" i="8"/>
  <c r="AJ2" i="8"/>
  <c r="AN2" i="8"/>
  <c r="AR2" i="8"/>
  <c r="AV2" i="8"/>
  <c r="AJ2" i="9"/>
  <c r="AN2" i="9"/>
  <c r="AR2" i="9"/>
  <c r="AV2" i="9"/>
  <c r="AP2" i="10"/>
  <c r="AX2" i="10"/>
  <c r="AB28" i="10"/>
  <c r="AG52" i="10"/>
  <c r="AG61" i="10" s="1"/>
  <c r="AO52" i="10"/>
  <c r="AO61" i="10" s="1"/>
  <c r="AW52" i="10"/>
  <c r="AW61" i="10" s="1"/>
  <c r="AE62" i="10"/>
  <c r="AE52" i="10"/>
  <c r="AE61" i="10" s="1"/>
  <c r="AM62" i="10"/>
  <c r="AM52" i="10"/>
  <c r="AM61" i="10" s="1"/>
  <c r="AU62" i="10"/>
  <c r="AU52" i="10"/>
  <c r="AU61" i="10" s="1"/>
  <c r="AE89" i="10"/>
  <c r="AI89" i="10"/>
  <c r="AM89" i="10"/>
  <c r="AQ89" i="10"/>
  <c r="AU89" i="10"/>
  <c r="AY89" i="10"/>
  <c r="AO89" i="10"/>
  <c r="AX2" i="11"/>
  <c r="BN2" i="11"/>
  <c r="CD2" i="11"/>
  <c r="AB28" i="11"/>
  <c r="AR40" i="11"/>
  <c r="AR37" i="11"/>
  <c r="BD40" i="11"/>
  <c r="BD37" i="11"/>
  <c r="BP40" i="11"/>
  <c r="BP37" i="11"/>
  <c r="CB35" i="11"/>
  <c r="CN40" i="11"/>
  <c r="CN37" i="11"/>
  <c r="AI39" i="11"/>
  <c r="AI40" i="11"/>
  <c r="AN39" i="11"/>
  <c r="AN40" i="11"/>
  <c r="AN37" i="11"/>
  <c r="AY39" i="11"/>
  <c r="AY40" i="11"/>
  <c r="BO39" i="11"/>
  <c r="BO40" i="11"/>
  <c r="BT39" i="11"/>
  <c r="BT40" i="11"/>
  <c r="BT37" i="11"/>
  <c r="CJ39" i="11"/>
  <c r="CJ40" i="11"/>
  <c r="CJ37" i="11"/>
  <c r="AU30" i="11"/>
  <c r="AU35" i="11" s="1"/>
  <c r="AU32" i="11"/>
  <c r="BG30" i="11"/>
  <c r="BG35" i="11" s="1"/>
  <c r="BG32" i="11"/>
  <c r="BS30" i="11"/>
  <c r="BS35" i="11" s="1"/>
  <c r="BS32" i="11"/>
  <c r="CE30" i="11"/>
  <c r="CE35" i="11" s="1"/>
  <c r="CE32" i="11"/>
  <c r="CQ30" i="11"/>
  <c r="CQ35" i="11" s="1"/>
  <c r="CQ32" i="11"/>
  <c r="BI40" i="11"/>
  <c r="BI37" i="11"/>
  <c r="CC40" i="11"/>
  <c r="CC37" i="11"/>
  <c r="AR39" i="11"/>
  <c r="BD39" i="11"/>
  <c r="BP39" i="11"/>
  <c r="CN39" i="11"/>
  <c r="BE39" i="11"/>
  <c r="AL40" i="11"/>
  <c r="CH40" i="11"/>
  <c r="AM51" i="11"/>
  <c r="AL50" i="11"/>
  <c r="AY51" i="11"/>
  <c r="AY52" i="11" s="1"/>
  <c r="AX50" i="11"/>
  <c r="BK51" i="11"/>
  <c r="BJ50" i="11"/>
  <c r="BK52" i="11"/>
  <c r="BW51" i="11"/>
  <c r="BV50" i="11"/>
  <c r="BW52" i="11"/>
  <c r="CI51" i="11"/>
  <c r="CH50" i="11"/>
  <c r="AV51" i="11"/>
  <c r="AV52" i="11" s="1"/>
  <c r="AU50" i="11"/>
  <c r="BH51" i="11"/>
  <c r="BG50" i="11"/>
  <c r="BH52" i="11"/>
  <c r="BT51" i="11"/>
  <c r="BS50" i="11"/>
  <c r="BT52" i="11"/>
  <c r="CF51" i="11"/>
  <c r="CE50" i="11"/>
  <c r="CR51" i="11"/>
  <c r="CR52" i="11" s="1"/>
  <c r="CQ50" i="11"/>
  <c r="AS51" i="11"/>
  <c r="AS52" i="11" s="1"/>
  <c r="BI51" i="11"/>
  <c r="BI55" i="11" s="1"/>
  <c r="CO51" i="11"/>
  <c r="CO52" i="11" s="1"/>
  <c r="AP52" i="11"/>
  <c r="BF123" i="11"/>
  <c r="BF122" i="11" s="1"/>
  <c r="BF119" i="11"/>
  <c r="BF54" i="11"/>
  <c r="CL52" i="11"/>
  <c r="AH73" i="11"/>
  <c r="AK166" i="11"/>
  <c r="AK163" i="11"/>
  <c r="CS164" i="11"/>
  <c r="CS175" i="11"/>
  <c r="AS166" i="11"/>
  <c r="CO166" i="11"/>
  <c r="AH39" i="11"/>
  <c r="AP39" i="11"/>
  <c r="AT39" i="11"/>
  <c r="BB39" i="11"/>
  <c r="BF39" i="11"/>
  <c r="BN39" i="11"/>
  <c r="BR39" i="11"/>
  <c r="BZ39" i="11"/>
  <c r="CD39" i="11"/>
  <c r="CL39" i="11"/>
  <c r="CP39" i="11"/>
  <c r="AI131" i="11"/>
  <c r="K139" i="11"/>
  <c r="AI150" i="11"/>
  <c r="AI151" i="11"/>
  <c r="AN150" i="11"/>
  <c r="AN151" i="11"/>
  <c r="AN148" i="11"/>
  <c r="AY150" i="11"/>
  <c r="AY151" i="11"/>
  <c r="BO150" i="11"/>
  <c r="BO151" i="11"/>
  <c r="BT150" i="11"/>
  <c r="BT151" i="11"/>
  <c r="BT148" i="11"/>
  <c r="BZ148" i="11"/>
  <c r="BZ150" i="11"/>
  <c r="CD148" i="11"/>
  <c r="CD150" i="11"/>
  <c r="CJ150" i="11"/>
  <c r="CJ151" i="11"/>
  <c r="CJ148" i="11"/>
  <c r="AU141" i="11"/>
  <c r="AU143" i="11"/>
  <c r="BG141" i="11"/>
  <c r="BG146" i="11" s="1"/>
  <c r="BG143" i="11"/>
  <c r="BS141" i="11"/>
  <c r="BS143" i="11"/>
  <c r="CE141" i="11"/>
  <c r="CE146" i="11" s="1"/>
  <c r="CE143" i="11"/>
  <c r="CQ141" i="11"/>
  <c r="CQ143" i="11"/>
  <c r="AW151" i="11"/>
  <c r="AW148" i="11"/>
  <c r="BM146" i="11"/>
  <c r="CC151" i="11"/>
  <c r="CC148" i="11"/>
  <c r="CS151" i="11"/>
  <c r="CS148" i="11"/>
  <c r="AX151" i="11"/>
  <c r="CD151" i="11"/>
  <c r="BF155" i="11"/>
  <c r="CD155" i="11"/>
  <c r="AI210" i="11"/>
  <c r="AI188" i="11"/>
  <c r="AI187" i="11" s="1"/>
  <c r="AI234" i="11"/>
  <c r="AI233" i="11" s="1"/>
  <c r="AI227" i="11"/>
  <c r="AI226" i="11" s="1"/>
  <c r="AI197" i="11"/>
  <c r="AI237" i="11"/>
  <c r="AI214" i="11"/>
  <c r="AI213" i="11" s="1"/>
  <c r="AI184" i="11"/>
  <c r="AI230" i="11"/>
  <c r="AI223" i="11"/>
  <c r="AI201" i="11"/>
  <c r="AI200" i="11" s="1"/>
  <c r="BD158" i="11"/>
  <c r="BD157" i="11" s="1"/>
  <c r="CB158" i="11"/>
  <c r="CB157" i="11" s="1"/>
  <c r="AW163" i="11"/>
  <c r="AV162" i="11"/>
  <c r="AV163" i="11" s="1"/>
  <c r="AU161" i="11"/>
  <c r="CR162" i="11"/>
  <c r="CQ161" i="11"/>
  <c r="BI162" i="11"/>
  <c r="BI166" i="11" s="1"/>
  <c r="J28" i="11"/>
  <c r="AN44" i="11"/>
  <c r="AZ44" i="11"/>
  <c r="BL44" i="11"/>
  <c r="BX44" i="11"/>
  <c r="CJ44" i="11"/>
  <c r="AJ125" i="11"/>
  <c r="AJ126" i="11" s="1"/>
  <c r="AJ133" i="11"/>
  <c r="AJ136" i="11"/>
  <c r="AU146" i="11"/>
  <c r="BS146" i="11"/>
  <c r="CQ146" i="11"/>
  <c r="AJ150" i="11"/>
  <c r="AJ151" i="11"/>
  <c r="AJ148" i="11"/>
  <c r="AP148" i="11"/>
  <c r="AP150" i="11"/>
  <c r="AT148" i="11"/>
  <c r="AT150" i="11"/>
  <c r="AZ150" i="11"/>
  <c r="AZ151" i="11"/>
  <c r="AZ148" i="11"/>
  <c r="BK150" i="11"/>
  <c r="BK151" i="11"/>
  <c r="CA150" i="11"/>
  <c r="CA151" i="11"/>
  <c r="CF150" i="11"/>
  <c r="CF151" i="11"/>
  <c r="CF148" i="11"/>
  <c r="CL148" i="11"/>
  <c r="CL150" i="11"/>
  <c r="CP148" i="11"/>
  <c r="CP150" i="11"/>
  <c r="AK151" i="11"/>
  <c r="AK148" i="11"/>
  <c r="BA146" i="11"/>
  <c r="BQ151" i="11"/>
  <c r="BQ148" i="11"/>
  <c r="CG151" i="11"/>
  <c r="CG148" i="11"/>
  <c r="BK148" i="11"/>
  <c r="CA148" i="11"/>
  <c r="AR150" i="11"/>
  <c r="BD150" i="11"/>
  <c r="BP150" i="11"/>
  <c r="CN150" i="11"/>
  <c r="AL151" i="11"/>
  <c r="CH151" i="11"/>
  <c r="AJ234" i="11"/>
  <c r="AJ233" i="11" s="1"/>
  <c r="AJ227" i="11"/>
  <c r="AJ226" i="11" s="1"/>
  <c r="AJ197" i="11"/>
  <c r="AJ214" i="11"/>
  <c r="AJ213" i="11" s="1"/>
  <c r="AJ184" i="11"/>
  <c r="AJ230" i="11"/>
  <c r="AJ223" i="11"/>
  <c r="AJ201" i="11"/>
  <c r="AJ200" i="11" s="1"/>
  <c r="AJ188" i="11"/>
  <c r="AJ187" i="11" s="1"/>
  <c r="AJ210" i="11"/>
  <c r="AM162" i="11"/>
  <c r="AM163" i="11" s="1"/>
  <c r="AS163" i="11"/>
  <c r="AY162" i="11"/>
  <c r="AY163" i="11" s="1"/>
  <c r="AX161" i="11"/>
  <c r="BK162" i="11"/>
  <c r="BJ161" i="11"/>
  <c r="BW162" i="11"/>
  <c r="BV161" i="11"/>
  <c r="CI162" i="11"/>
  <c r="CI163" i="11" s="1"/>
  <c r="CO163" i="11"/>
  <c r="CF162" i="11"/>
  <c r="CE161" i="11"/>
  <c r="CC162" i="11"/>
  <c r="AH194" i="11"/>
  <c r="AH181" i="11"/>
  <c r="AH220" i="11"/>
  <c r="AH207" i="11"/>
  <c r="BU7" i="11"/>
  <c r="AW44" i="11"/>
  <c r="BI44" i="11"/>
  <c r="BU44" i="11"/>
  <c r="CG44" i="11"/>
  <c r="CS44" i="11"/>
  <c r="S141" i="11"/>
  <c r="AQ150" i="11"/>
  <c r="AQ151" i="11"/>
  <c r="AV150" i="11"/>
  <c r="AV151" i="11"/>
  <c r="AV148" i="11"/>
  <c r="BB148" i="11"/>
  <c r="BB150" i="11"/>
  <c r="BF148" i="11"/>
  <c r="BF150" i="11"/>
  <c r="BL150" i="11"/>
  <c r="BL151" i="11"/>
  <c r="BL148" i="11"/>
  <c r="BW150" i="11"/>
  <c r="BW151" i="11"/>
  <c r="CB151" i="11"/>
  <c r="CM150" i="11"/>
  <c r="CM151" i="11"/>
  <c r="CR150" i="11"/>
  <c r="CR151" i="11"/>
  <c r="CR148" i="11"/>
  <c r="AO146" i="11"/>
  <c r="BE151" i="11"/>
  <c r="BE148" i="11"/>
  <c r="BU151" i="11"/>
  <c r="BU148" i="11"/>
  <c r="CK146" i="11"/>
  <c r="CK148" i="11" s="1"/>
  <c r="AO148" i="11"/>
  <c r="BA148" i="11"/>
  <c r="BM148" i="11"/>
  <c r="AI148" i="11"/>
  <c r="AY148" i="11"/>
  <c r="BO148" i="11"/>
  <c r="AU150" i="11"/>
  <c r="CQ150" i="11"/>
  <c r="AP151" i="11"/>
  <c r="BF151" i="11"/>
  <c r="CL151" i="11"/>
  <c r="AQ159" i="11"/>
  <c r="AQ161" i="11" s="1"/>
  <c r="AQ155" i="11"/>
  <c r="BC159" i="11"/>
  <c r="BC161" i="11" s="1"/>
  <c r="BC155" i="11"/>
  <c r="BO159" i="11"/>
  <c r="BO161" i="11" s="1"/>
  <c r="BO155" i="11"/>
  <c r="CA159" i="11"/>
  <c r="CA161" i="11" s="1"/>
  <c r="CA155" i="11"/>
  <c r="CM159" i="11"/>
  <c r="CM161" i="11" s="1"/>
  <c r="CM155" i="11"/>
  <c r="AT155" i="11"/>
  <c r="BR155" i="11"/>
  <c r="CP155" i="11"/>
  <c r="AR158" i="11"/>
  <c r="AR157" i="11" s="1"/>
  <c r="BP158" i="11"/>
  <c r="BP157" i="11" s="1"/>
  <c r="CN158" i="11"/>
  <c r="CN157" i="11" s="1"/>
  <c r="AT161" i="11"/>
  <c r="BF161" i="11"/>
  <c r="BR161" i="11"/>
  <c r="CD161" i="11"/>
  <c r="CP161" i="11"/>
  <c r="BT162" i="11"/>
  <c r="BT163" i="11" s="1"/>
  <c r="BS161" i="11"/>
  <c r="BQ162" i="11"/>
  <c r="BQ163" i="11" s="1"/>
  <c r="CG162" i="11"/>
  <c r="CG166" i="11" s="1"/>
  <c r="AH163" i="11"/>
  <c r="AI165" i="11"/>
  <c r="AH136" i="11"/>
  <c r="AH148" i="11"/>
  <c r="AH150" i="11"/>
  <c r="AM150" i="11"/>
  <c r="AM151" i="11"/>
  <c r="BC150" i="11"/>
  <c r="BC151" i="11"/>
  <c r="BH150" i="11"/>
  <c r="BH151" i="11"/>
  <c r="BH148" i="11"/>
  <c r="BN148" i="11"/>
  <c r="BN150" i="11"/>
  <c r="BR148" i="11"/>
  <c r="BR150" i="11"/>
  <c r="BX150" i="11"/>
  <c r="BX151" i="11"/>
  <c r="BX148" i="11"/>
  <c r="CI150" i="11"/>
  <c r="CI151" i="11"/>
  <c r="AS151" i="11"/>
  <c r="AS148" i="11"/>
  <c r="BI151" i="11"/>
  <c r="BI148" i="11"/>
  <c r="BY146" i="11"/>
  <c r="CO151" i="11"/>
  <c r="CO148" i="11"/>
  <c r="AR148" i="11"/>
  <c r="BD148" i="11"/>
  <c r="BP148" i="11"/>
  <c r="CB148" i="11"/>
  <c r="CN148" i="11"/>
  <c r="AM148" i="11"/>
  <c r="BC148" i="11"/>
  <c r="CI148" i="11"/>
  <c r="AL150" i="11"/>
  <c r="AX150" i="11"/>
  <c r="BJ150" i="11"/>
  <c r="BV150" i="11"/>
  <c r="CH150" i="11"/>
  <c r="AW150" i="11"/>
  <c r="CC150" i="11"/>
  <c r="CS150" i="11"/>
  <c r="AT151" i="11"/>
  <c r="BZ151" i="11"/>
  <c r="CP151" i="11"/>
  <c r="AQ154" i="11"/>
  <c r="BC154" i="11"/>
  <c r="BO154" i="11"/>
  <c r="CA154" i="11"/>
  <c r="CM154" i="11"/>
  <c r="AU158" i="11"/>
  <c r="AU157" i="11" s="1"/>
  <c r="BS158" i="11"/>
  <c r="BS157" i="11" s="1"/>
  <c r="CQ158" i="11"/>
  <c r="CQ157" i="11" s="1"/>
  <c r="AP161" i="11"/>
  <c r="BB161" i="11"/>
  <c r="BN161" i="11"/>
  <c r="BZ161" i="11"/>
  <c r="CL161" i="11"/>
  <c r="AR161" i="11"/>
  <c r="BH163" i="11"/>
  <c r="BH162" i="11"/>
  <c r="BG161" i="11"/>
  <c r="CN161" i="11"/>
  <c r="BE162" i="11"/>
  <c r="BE163" i="11" s="1"/>
  <c r="AI133" i="11"/>
  <c r="J139" i="11"/>
  <c r="G139" i="11"/>
  <c r="AN155" i="11"/>
  <c r="AZ155" i="11"/>
  <c r="BL155" i="11"/>
  <c r="BX155" i="11"/>
  <c r="CJ155" i="11"/>
  <c r="AN159" i="11"/>
  <c r="AN161" i="11" s="1"/>
  <c r="AZ159" i="11"/>
  <c r="AZ161" i="11" s="1"/>
  <c r="BL159" i="11"/>
  <c r="BL161" i="11" s="1"/>
  <c r="BX159" i="11"/>
  <c r="BX161" i="11" s="1"/>
  <c r="CJ159" i="11"/>
  <c r="CJ161" i="11" s="1"/>
  <c r="AH242" i="11"/>
  <c r="AK244" i="11"/>
  <c r="AJ169" i="11"/>
  <c r="AJ168" i="11" s="1"/>
  <c r="AJ164" i="11"/>
  <c r="AJ165" i="11" s="1"/>
  <c r="AI242" i="11"/>
  <c r="AH244" i="11"/>
  <c r="AJ244" i="11"/>
  <c r="F113" i="14"/>
  <c r="F114" i="14" s="1"/>
  <c r="F115" i="14" s="1"/>
  <c r="F116" i="14" s="1"/>
  <c r="F117" i="14" s="1"/>
  <c r="F118" i="14" s="1"/>
  <c r="F119" i="14" s="1"/>
  <c r="F120" i="14" s="1"/>
  <c r="F121" i="14" s="1"/>
  <c r="F122" i="14" s="1"/>
  <c r="F123" i="14" s="1"/>
  <c r="F124" i="14" s="1"/>
  <c r="F125" i="14" s="1"/>
  <c r="K112" i="14"/>
  <c r="AJ236" i="11"/>
  <c r="AJ242" i="11" s="1"/>
  <c r="AH247" i="11"/>
  <c r="F31" i="12"/>
  <c r="F32" i="12" s="1"/>
  <c r="F33" i="12" s="1"/>
  <c r="F34" i="12" s="1"/>
  <c r="BH63" i="12"/>
  <c r="BH64" i="12" s="1"/>
  <c r="BH65" i="12" s="1"/>
  <c r="BH66" i="12" s="1"/>
  <c r="BH62" i="12"/>
  <c r="F49" i="13"/>
  <c r="F44" i="13"/>
  <c r="F43" i="13"/>
  <c r="BH55" i="12"/>
  <c r="BH56" i="12"/>
  <c r="F72" i="12"/>
  <c r="F73" i="12" s="1"/>
  <c r="F74" i="12" s="1"/>
  <c r="F75" i="12" s="1"/>
  <c r="BH103" i="12"/>
  <c r="BH104" i="12"/>
  <c r="BH105" i="12" s="1"/>
  <c r="BH106" i="12" s="1"/>
  <c r="BH107" i="12" s="1"/>
  <c r="L27" i="12"/>
  <c r="BH97" i="12"/>
  <c r="BH96" i="12"/>
  <c r="F31" i="13"/>
  <c r="F33" i="13"/>
  <c r="F30" i="13"/>
  <c r="K211" i="14"/>
  <c r="F212" i="14"/>
  <c r="F213" i="14" s="1"/>
  <c r="F214" i="14" s="1"/>
  <c r="F215" i="14" s="1"/>
  <c r="F216" i="14" s="1"/>
  <c r="F217" i="14" s="1"/>
  <c r="F218" i="14" s="1"/>
  <c r="F219" i="14" s="1"/>
  <c r="F220" i="14" s="1"/>
  <c r="F221" i="14" s="1"/>
  <c r="F222" i="14" s="1"/>
  <c r="F223" i="14" s="1"/>
  <c r="F224" i="14" s="1"/>
  <c r="AB27" i="12"/>
  <c r="H35" i="12"/>
  <c r="AB36" i="12"/>
  <c r="H40" i="12"/>
  <c r="AB41" i="12"/>
  <c r="AB43" i="12"/>
  <c r="H55" i="12"/>
  <c r="AB56" i="12"/>
  <c r="AB62" i="12"/>
  <c r="AB76" i="12"/>
  <c r="H77" i="12"/>
  <c r="AB81" i="12"/>
  <c r="H82" i="12"/>
  <c r="H83" i="12" s="1"/>
  <c r="H84" i="12" s="1"/>
  <c r="H85" i="12" s="1"/>
  <c r="AB83" i="12"/>
  <c r="AB85" i="12"/>
  <c r="AB96" i="12"/>
  <c r="H97" i="12"/>
  <c r="H103" i="12"/>
  <c r="H31" i="13"/>
  <c r="AB32" i="13"/>
  <c r="H37" i="13"/>
  <c r="AB38" i="13"/>
  <c r="BH45" i="13"/>
  <c r="H47" i="13"/>
  <c r="AB48" i="13"/>
  <c r="H53" i="13"/>
  <c r="AB54" i="13"/>
  <c r="AB49" i="14"/>
  <c r="AB64" i="14"/>
  <c r="AB75" i="14"/>
  <c r="AB79" i="14"/>
  <c r="AF84" i="14"/>
  <c r="AJ84" i="14"/>
  <c r="AV84" i="14"/>
  <c r="AZ84" i="14"/>
  <c r="AF88" i="14"/>
  <c r="AF102" i="14" s="1"/>
  <c r="AJ88" i="14"/>
  <c r="AJ102" i="14" s="1"/>
  <c r="AN88" i="14"/>
  <c r="AN102" i="14" s="1"/>
  <c r="AR88" i="14"/>
  <c r="AR102" i="14" s="1"/>
  <c r="AV88" i="14"/>
  <c r="AV102" i="14" s="1"/>
  <c r="AZ88" i="14"/>
  <c r="AZ102" i="14" s="1"/>
  <c r="AB90" i="14"/>
  <c r="AB105" i="14"/>
  <c r="AB118" i="14"/>
  <c r="K32" i="15"/>
  <c r="F33" i="15"/>
  <c r="F34" i="15" s="1"/>
  <c r="K44" i="15"/>
  <c r="F45" i="15"/>
  <c r="F46" i="15" s="1"/>
  <c r="AB63" i="12"/>
  <c r="AB64" i="12" s="1"/>
  <c r="AB106" i="12"/>
  <c r="AB107" i="12" s="1"/>
  <c r="AB27" i="14"/>
  <c r="AB48" i="14"/>
  <c r="AB78" i="14"/>
  <c r="AB93" i="14"/>
  <c r="AB104" i="14"/>
  <c r="F49" i="16"/>
  <c r="F52" i="16"/>
  <c r="F50" i="16"/>
  <c r="AV46" i="16"/>
  <c r="AZ46" i="16"/>
  <c r="AB27" i="18"/>
  <c r="F29" i="20"/>
  <c r="G36" i="20"/>
  <c r="AB40" i="12"/>
  <c r="AB42" i="12"/>
  <c r="H62" i="12"/>
  <c r="K68" i="12"/>
  <c r="AB82" i="12"/>
  <c r="AB103" i="12"/>
  <c r="AB47" i="14"/>
  <c r="AB51" i="14"/>
  <c r="AB77" i="14"/>
  <c r="AH84" i="14"/>
  <c r="AL84" i="14"/>
  <c r="AX84" i="14"/>
  <c r="BB84" i="14"/>
  <c r="AH88" i="14"/>
  <c r="AH102" i="14" s="1"/>
  <c r="AL88" i="14"/>
  <c r="AL102" i="14" s="1"/>
  <c r="AP88" i="14"/>
  <c r="AP102" i="14" s="1"/>
  <c r="AT88" i="14"/>
  <c r="AT102" i="14" s="1"/>
  <c r="AX88" i="14"/>
  <c r="AX102" i="14" s="1"/>
  <c r="BB88" i="14"/>
  <c r="BB102" i="14" s="1"/>
  <c r="AB92" i="14"/>
  <c r="AB103" i="14"/>
  <c r="AB107" i="14"/>
  <c r="AB27" i="16"/>
  <c r="T40" i="18"/>
  <c r="T39" i="18" s="1"/>
  <c r="T38" i="18"/>
  <c r="G51" i="19"/>
  <c r="AI2" i="17"/>
  <c r="T54" i="18"/>
  <c r="T53" i="18" s="1"/>
  <c r="T52" i="18"/>
  <c r="F32" i="19"/>
  <c r="F33" i="19" s="1"/>
  <c r="F34" i="19" s="1"/>
  <c r="F35" i="19" s="1"/>
  <c r="F36" i="19" s="1"/>
  <c r="F37" i="19" s="1"/>
  <c r="F38" i="19" s="1"/>
  <c r="F39" i="19" s="1"/>
  <c r="F40" i="19" s="1"/>
  <c r="F41" i="19" s="1"/>
  <c r="AB146" i="14"/>
  <c r="AB150" i="14"/>
  <c r="AB161" i="14"/>
  <c r="AB176" i="14"/>
  <c r="AB191" i="14"/>
  <c r="AB202" i="14"/>
  <c r="AB206" i="14"/>
  <c r="AB219" i="14"/>
  <c r="F28" i="16"/>
  <c r="F29" i="16" s="1"/>
  <c r="BI32" i="16"/>
  <c r="H51" i="16"/>
  <c r="F53" i="19"/>
  <c r="F54" i="19" s="1"/>
  <c r="F55" i="19" s="1"/>
  <c r="F38" i="20"/>
  <c r="T37" i="21"/>
  <c r="T38" i="21"/>
  <c r="T39" i="21" s="1"/>
  <c r="T40" i="21" s="1"/>
  <c r="T41" i="21" s="1"/>
  <c r="T42" i="21" s="1"/>
  <c r="T43" i="21" s="1"/>
  <c r="T44" i="21" s="1"/>
  <c r="T45" i="21" s="1"/>
  <c r="T57" i="21"/>
  <c r="T58" i="21" s="1"/>
  <c r="T59" i="21" s="1"/>
  <c r="T60" i="21" s="1"/>
  <c r="T61" i="21" s="1"/>
  <c r="T62" i="21" s="1"/>
  <c r="T63" i="21" s="1"/>
  <c r="T64" i="21" s="1"/>
  <c r="T56" i="21"/>
  <c r="BF2" i="22"/>
  <c r="BJ2" i="22"/>
  <c r="AB27" i="22"/>
  <c r="F30" i="22"/>
  <c r="AB149" i="14"/>
  <c r="AB160" i="14"/>
  <c r="AB164" i="14"/>
  <c r="AB175" i="14"/>
  <c r="AB190" i="14"/>
  <c r="AB205" i="14"/>
  <c r="AB218" i="14"/>
  <c r="H32" i="16"/>
  <c r="AB38" i="16"/>
  <c r="AB44" i="16"/>
  <c r="AB51" i="16"/>
  <c r="BH57" i="16"/>
  <c r="BH63" i="16"/>
  <c r="AI8" i="17"/>
  <c r="K28" i="17"/>
  <c r="K53" i="17"/>
  <c r="AB75" i="17"/>
  <c r="AT8" i="20"/>
  <c r="F29" i="21"/>
  <c r="K28" i="21"/>
  <c r="AB148" i="14"/>
  <c r="AB163" i="14"/>
  <c r="AB174" i="14"/>
  <c r="AB178" i="14"/>
  <c r="AB189" i="14"/>
  <c r="AB204" i="14"/>
  <c r="AB217" i="14"/>
  <c r="BH38" i="16"/>
  <c r="BH44" i="16"/>
  <c r="H57" i="16"/>
  <c r="BI57" i="16"/>
  <c r="H63" i="16"/>
  <c r="BI63" i="16"/>
  <c r="F29" i="17"/>
  <c r="F54" i="17"/>
  <c r="AB27" i="19"/>
  <c r="AB27" i="20"/>
  <c r="AB188" i="14"/>
  <c r="AB216" i="14"/>
  <c r="G27" i="20"/>
  <c r="K47" i="21"/>
  <c r="F48" i="21"/>
  <c r="I27" i="21"/>
  <c r="G46" i="21"/>
  <c r="AL2" i="22"/>
  <c r="AP2" i="22"/>
  <c r="AT2" i="22"/>
  <c r="AX2" i="22"/>
  <c r="BB2" i="22"/>
  <c r="L37" i="22"/>
  <c r="T62" i="23"/>
  <c r="T63" i="23" s="1"/>
  <c r="T64" i="23" s="1"/>
  <c r="T65" i="23" s="1"/>
  <c r="T66" i="23" s="1"/>
  <c r="T67" i="23" s="1"/>
  <c r="T68" i="23" s="1"/>
  <c r="T69" i="23" s="1"/>
  <c r="T70" i="23" s="1"/>
  <c r="T71" i="23" s="1"/>
  <c r="T72" i="23" s="1"/>
  <c r="T73" i="23" s="1"/>
  <c r="T74" i="23" s="1"/>
  <c r="T61" i="23"/>
  <c r="I46" i="21"/>
  <c r="J27" i="22"/>
  <c r="K28" i="22"/>
  <c r="AB27" i="21"/>
  <c r="K27" i="22"/>
  <c r="AI2" i="23"/>
  <c r="AN2" i="23"/>
  <c r="AR2" i="23"/>
  <c r="G27" i="21"/>
  <c r="F33" i="23"/>
  <c r="F34" i="23" s="1"/>
  <c r="T108" i="23"/>
  <c r="T109" i="23"/>
  <c r="T110" i="23" s="1"/>
  <c r="T111" i="23" s="1"/>
  <c r="T112" i="23" s="1"/>
  <c r="T113" i="23" s="1"/>
  <c r="T114" i="23" s="1"/>
  <c r="T115" i="23" s="1"/>
  <c r="T116" i="23" s="1"/>
  <c r="T117" i="23" s="1"/>
  <c r="T118" i="23" s="1"/>
  <c r="T119" i="23" s="1"/>
  <c r="T120" i="23" s="1"/>
  <c r="T121" i="23" s="1"/>
  <c r="AL49" i="24"/>
  <c r="AI50" i="24"/>
  <c r="AL50" i="24" s="1"/>
  <c r="J37" i="22"/>
  <c r="F38" i="22"/>
  <c r="AB28" i="23"/>
  <c r="K37" i="22"/>
  <c r="AK2" i="25"/>
  <c r="AO2" i="25"/>
  <c r="AS2" i="25"/>
  <c r="AW2" i="25"/>
  <c r="BA2" i="25"/>
  <c r="BE2" i="25"/>
  <c r="BI2" i="25"/>
  <c r="BM2" i="25"/>
  <c r="G37" i="22"/>
  <c r="T42" i="22" s="1"/>
  <c r="T46" i="22" s="1"/>
  <c r="F80" i="23"/>
  <c r="F81" i="23" s="1"/>
  <c r="F29" i="25"/>
  <c r="AL30" i="24"/>
  <c r="K27" i="25"/>
  <c r="F30" i="26"/>
  <c r="F31" i="26" s="1"/>
  <c r="F32" i="26" s="1"/>
  <c r="AK52" i="29"/>
  <c r="AK50" i="29"/>
  <c r="AK51" i="29" s="1"/>
  <c r="AB28" i="24"/>
  <c r="AE50" i="24"/>
  <c r="AH50" i="24" s="1"/>
  <c r="AK8" i="25"/>
  <c r="AO8" i="25"/>
  <c r="AS8" i="25"/>
  <c r="AW8" i="25"/>
  <c r="BA8" i="25"/>
  <c r="AI35" i="24"/>
  <c r="AL35" i="24" s="1"/>
  <c r="G27" i="25"/>
  <c r="AB27" i="25"/>
  <c r="I27" i="25"/>
  <c r="F68" i="26"/>
  <c r="F69" i="26" s="1"/>
  <c r="F70" i="26" s="1"/>
  <c r="AP79" i="29"/>
  <c r="AP77" i="29"/>
  <c r="AP78" i="29" s="1"/>
  <c r="AG8" i="29"/>
  <c r="AG2" i="29"/>
  <c r="AK2" i="29"/>
  <c r="AK8" i="29"/>
  <c r="AO2" i="29"/>
  <c r="AS8" i="29"/>
  <c r="AS2" i="29"/>
  <c r="AL52" i="29"/>
  <c r="AL50" i="29"/>
  <c r="AL51" i="29" s="1"/>
  <c r="AF79" i="29"/>
  <c r="AF77" i="29"/>
  <c r="AF78" i="29" s="1"/>
  <c r="AV79" i="29"/>
  <c r="AV77" i="29"/>
  <c r="AV78" i="29" s="1"/>
  <c r="AT55" i="29"/>
  <c r="F31" i="30"/>
  <c r="AD30" i="30"/>
  <c r="AW2" i="29"/>
  <c r="AO8" i="29"/>
  <c r="AI28" i="29"/>
  <c r="AM52" i="29"/>
  <c r="AM50" i="29"/>
  <c r="AM51" i="29" s="1"/>
  <c r="AQ52" i="29"/>
  <c r="AQ50" i="29"/>
  <c r="AQ51" i="29" s="1"/>
  <c r="F31" i="29"/>
  <c r="T30" i="29"/>
  <c r="AE50" i="29"/>
  <c r="AE51" i="29" s="1"/>
  <c r="AK79" i="29"/>
  <c r="AK77" i="29"/>
  <c r="AK78" i="29" s="1"/>
  <c r="AE55" i="29"/>
  <c r="AI55" i="29"/>
  <c r="AQ55" i="29"/>
  <c r="AM25" i="30"/>
  <c r="AM8" i="30"/>
  <c r="AM2" i="30"/>
  <c r="AQ2" i="30"/>
  <c r="AU8" i="30"/>
  <c r="AU2" i="30"/>
  <c r="AY25" i="30"/>
  <c r="AY8" i="30"/>
  <c r="BC8" i="30"/>
  <c r="BC2" i="30"/>
  <c r="BG8" i="30"/>
  <c r="BG2" i="30"/>
  <c r="BK25" i="30"/>
  <c r="BK8" i="30"/>
  <c r="BK2" i="30"/>
  <c r="BO8" i="30"/>
  <c r="BO2" i="30"/>
  <c r="BW25" i="30"/>
  <c r="BW8" i="30"/>
  <c r="BW2" i="30"/>
  <c r="CA8" i="30"/>
  <c r="CA2" i="30"/>
  <c r="CE8" i="30"/>
  <c r="CE2" i="30"/>
  <c r="CI25" i="30"/>
  <c r="CI8" i="30"/>
  <c r="CI2" i="30"/>
  <c r="CM2" i="30"/>
  <c r="CM8" i="30"/>
  <c r="CQ8" i="30"/>
  <c r="CQ2" i="30"/>
  <c r="CY8" i="30"/>
  <c r="CY2" i="30"/>
  <c r="DG25" i="30"/>
  <c r="DG8" i="30"/>
  <c r="DG2" i="30"/>
  <c r="DK8" i="30"/>
  <c r="DK2" i="30"/>
  <c r="DO2" i="30"/>
  <c r="DO8" i="30"/>
  <c r="DS25" i="30"/>
  <c r="DS8" i="30"/>
  <c r="DS2" i="30"/>
  <c r="DW8" i="30"/>
  <c r="DW2" i="30"/>
  <c r="EA8" i="30"/>
  <c r="EA2" i="30"/>
  <c r="EE25" i="30"/>
  <c r="EE8" i="30"/>
  <c r="EI8" i="30"/>
  <c r="EI2" i="30"/>
  <c r="EM8" i="30"/>
  <c r="EM2" i="30"/>
  <c r="EQ25" i="30"/>
  <c r="EQ2" i="30"/>
  <c r="EQ8" i="30"/>
  <c r="AQ8" i="30"/>
  <c r="F28" i="28"/>
  <c r="I27" i="28"/>
  <c r="T27" i="28"/>
  <c r="AB27" i="28"/>
  <c r="AJ79" i="29"/>
  <c r="AJ77" i="29"/>
  <c r="AJ78" i="29" s="1"/>
  <c r="AM79" i="29"/>
  <c r="AI2" i="30"/>
  <c r="CU8" i="30"/>
  <c r="F73" i="25"/>
  <c r="AP52" i="29"/>
  <c r="AP50" i="29"/>
  <c r="AP51" i="29" s="1"/>
  <c r="AT52" i="29"/>
  <c r="AT50" i="29"/>
  <c r="AT51" i="29" s="1"/>
  <c r="AG52" i="29"/>
  <c r="AG50" i="29"/>
  <c r="AG51" i="29" s="1"/>
  <c r="AW52" i="29"/>
  <c r="AW50" i="29"/>
  <c r="AW51" i="29" s="1"/>
  <c r="AO50" i="29"/>
  <c r="AO51" i="29" s="1"/>
  <c r="BI2" i="30"/>
  <c r="CS2" i="30"/>
  <c r="DU2" i="30"/>
  <c r="FE2" i="30"/>
  <c r="AP2" i="29"/>
  <c r="AP8" i="29"/>
  <c r="AT2" i="29"/>
  <c r="AJ28" i="29"/>
  <c r="AN28" i="29"/>
  <c r="AH52" i="29"/>
  <c r="AH50" i="29"/>
  <c r="AH51" i="29" s="1"/>
  <c r="AX52" i="29"/>
  <c r="AX50" i="29"/>
  <c r="AX51" i="29" s="1"/>
  <c r="AH55" i="29"/>
  <c r="AL55" i="29"/>
  <c r="AX55" i="29"/>
  <c r="AN41" i="31"/>
  <c r="B41" i="31"/>
  <c r="AB41" i="31"/>
  <c r="AN118" i="31"/>
  <c r="AB118" i="31"/>
  <c r="B118" i="31"/>
  <c r="EU8" i="30"/>
  <c r="EU2" i="30"/>
  <c r="FC25" i="30"/>
  <c r="FC8" i="30"/>
  <c r="FC2" i="30"/>
  <c r="FK8" i="30"/>
  <c r="FK2" i="30"/>
  <c r="FO25" i="30"/>
  <c r="FO8" i="30"/>
  <c r="FS8" i="30"/>
  <c r="FS2" i="30"/>
  <c r="FW2" i="30"/>
  <c r="AN55" i="31"/>
  <c r="B55" i="31"/>
  <c r="AB55" i="31"/>
  <c r="AH98" i="25"/>
  <c r="AB27" i="26"/>
  <c r="I51" i="28"/>
  <c r="T51" i="28"/>
  <c r="F52" i="28"/>
  <c r="AF35" i="29"/>
  <c r="AF28" i="29" s="1"/>
  <c r="AR35" i="29"/>
  <c r="AR28" i="29" s="1"/>
  <c r="AV35" i="29"/>
  <c r="AV28" i="29" s="1"/>
  <c r="AN55" i="29"/>
  <c r="AE62" i="29"/>
  <c r="AQ62" i="29"/>
  <c r="AU62" i="29"/>
  <c r="AU55" i="29" s="1"/>
  <c r="AO77" i="29"/>
  <c r="AO78" i="29" s="1"/>
  <c r="AJ25" i="30"/>
  <c r="AJ8" i="30"/>
  <c r="AJ2" i="30"/>
  <c r="AV2" i="30"/>
  <c r="AZ8" i="30"/>
  <c r="AZ2" i="30"/>
  <c r="BD2" i="30"/>
  <c r="BH2" i="30"/>
  <c r="BH8" i="30"/>
  <c r="BL2" i="30"/>
  <c r="BP2" i="30"/>
  <c r="BP8" i="30"/>
  <c r="BT2" i="30"/>
  <c r="BT25" i="30"/>
  <c r="BT8" i="30"/>
  <c r="BX2" i="30"/>
  <c r="CB2" i="30"/>
  <c r="CB8" i="30"/>
  <c r="CF2" i="30"/>
  <c r="CF25" i="30"/>
  <c r="CF8" i="30"/>
  <c r="CJ2" i="30"/>
  <c r="CJ8" i="30"/>
  <c r="CN2" i="30"/>
  <c r="CR2" i="30"/>
  <c r="CR8" i="30"/>
  <c r="CV2" i="30"/>
  <c r="CV8" i="30"/>
  <c r="CZ2" i="30"/>
  <c r="DD2" i="30"/>
  <c r="DD25" i="30"/>
  <c r="DD8" i="30"/>
  <c r="DH2" i="30"/>
  <c r="DL2" i="30"/>
  <c r="DL8" i="30"/>
  <c r="DP2" i="30"/>
  <c r="DT2" i="30"/>
  <c r="DT8" i="30"/>
  <c r="DX2" i="30"/>
  <c r="EB2" i="30"/>
  <c r="EB25" i="30"/>
  <c r="EB8" i="30"/>
  <c r="EF2" i="30"/>
  <c r="EF8" i="30"/>
  <c r="EJ2" i="30"/>
  <c r="EN2" i="30"/>
  <c r="EN8" i="30"/>
  <c r="ER2" i="30"/>
  <c r="ER8" i="30"/>
  <c r="EV2" i="30"/>
  <c r="EV8" i="30"/>
  <c r="EZ2" i="30"/>
  <c r="FD2" i="30"/>
  <c r="FD8" i="30"/>
  <c r="FH2" i="30"/>
  <c r="FH8" i="30"/>
  <c r="FL2" i="30"/>
  <c r="FL25" i="30"/>
  <c r="FP2" i="30"/>
  <c r="FT2" i="30"/>
  <c r="FT8" i="30"/>
  <c r="DH8" i="30"/>
  <c r="EJ8" i="30"/>
  <c r="FL8" i="30"/>
  <c r="DP25" i="30"/>
  <c r="EN25" i="30"/>
  <c r="AD77" i="30"/>
  <c r="F78" i="30"/>
  <c r="F79" i="30" s="1"/>
  <c r="F80" i="30" s="1"/>
  <c r="F81" i="30" s="1"/>
  <c r="F82" i="30" s="1"/>
  <c r="F83" i="30" s="1"/>
  <c r="F84" i="30" s="1"/>
  <c r="F85" i="30" s="1"/>
  <c r="F86" i="30" s="1"/>
  <c r="F87" i="30" s="1"/>
  <c r="F88" i="30" s="1"/>
  <c r="F89" i="30" s="1"/>
  <c r="F90" i="30" s="1"/>
  <c r="F91" i="30" s="1"/>
  <c r="G54" i="29"/>
  <c r="AG2" i="30"/>
  <c r="AG25" i="30"/>
  <c r="AK2" i="30"/>
  <c r="AO8" i="30"/>
  <c r="AO2" i="30"/>
  <c r="AS2" i="30"/>
  <c r="AW2" i="30"/>
  <c r="BA2" i="30"/>
  <c r="BE8" i="30"/>
  <c r="BQ25" i="30"/>
  <c r="BQ2" i="30"/>
  <c r="BU8" i="30"/>
  <c r="CG2" i="30"/>
  <c r="CK8" i="30"/>
  <c r="CW2" i="30"/>
  <c r="DA8" i="30"/>
  <c r="DM25" i="30"/>
  <c r="DM2" i="30"/>
  <c r="DQ8" i="30"/>
  <c r="EC2" i="30"/>
  <c r="EG8" i="30"/>
  <c r="ES2" i="30"/>
  <c r="EW8" i="30"/>
  <c r="FI25" i="30"/>
  <c r="FI2" i="30"/>
  <c r="FM8" i="30"/>
  <c r="FU8" i="30"/>
  <c r="AK8" i="30"/>
  <c r="CO8" i="30"/>
  <c r="CW8" i="30"/>
  <c r="DY8" i="30"/>
  <c r="FI8" i="30"/>
  <c r="AN65" i="31"/>
  <c r="B65" i="31"/>
  <c r="AB65" i="31"/>
  <c r="AN72" i="31"/>
  <c r="B72" i="31"/>
  <c r="AB72" i="31"/>
  <c r="AF70" i="28"/>
  <c r="AF73" i="28" s="1"/>
  <c r="T28" i="29"/>
  <c r="I54" i="29"/>
  <c r="F55" i="29"/>
  <c r="CK2" i="30"/>
  <c r="EW2" i="30"/>
  <c r="AS8" i="30"/>
  <c r="BA8" i="30"/>
  <c r="CC8" i="30"/>
  <c r="DM8" i="30"/>
  <c r="BE25" i="30"/>
  <c r="DA25" i="30"/>
  <c r="EW25" i="30"/>
  <c r="FU25" i="30"/>
  <c r="F36" i="31"/>
  <c r="F37" i="31" s="1"/>
  <c r="AJ35" i="31"/>
  <c r="AN63" i="31"/>
  <c r="B63" i="31"/>
  <c r="AB73" i="31"/>
  <c r="B73" i="31"/>
  <c r="AN73" i="31"/>
  <c r="AB84" i="31"/>
  <c r="B84" i="31"/>
  <c r="AN84" i="31"/>
  <c r="AB34" i="31"/>
  <c r="B34" i="31"/>
  <c r="AN34" i="31"/>
  <c r="AN58" i="31"/>
  <c r="AB58" i="31"/>
  <c r="B58" i="31"/>
  <c r="AD76" i="30"/>
  <c r="AN40" i="31"/>
  <c r="B40" i="31"/>
  <c r="AB40" i="31"/>
  <c r="AN48" i="31"/>
  <c r="B48" i="31"/>
  <c r="AB48" i="31"/>
  <c r="AN50" i="31"/>
  <c r="AB50" i="31"/>
  <c r="AN100" i="31"/>
  <c r="AB100" i="31"/>
  <c r="B100" i="31"/>
  <c r="AN122" i="31"/>
  <c r="AB122" i="31"/>
  <c r="B122" i="31"/>
  <c r="AN33" i="31"/>
  <c r="B33" i="31"/>
  <c r="B38" i="31"/>
  <c r="AB38" i="31"/>
  <c r="AN42" i="31"/>
  <c r="AB42" i="31"/>
  <c r="AN47" i="31"/>
  <c r="B47" i="31"/>
  <c r="AN57" i="31"/>
  <c r="B57" i="31"/>
  <c r="AB57" i="31"/>
  <c r="AN64" i="31"/>
  <c r="B64" i="31"/>
  <c r="AB64" i="31"/>
  <c r="AB75" i="31"/>
  <c r="B75" i="31"/>
  <c r="AN75" i="31"/>
  <c r="AD8" i="30"/>
  <c r="AH8" i="30"/>
  <c r="AL8" i="30"/>
  <c r="AP8" i="30"/>
  <c r="AT8" i="30"/>
  <c r="AX8" i="30"/>
  <c r="BB8" i="30"/>
  <c r="BF8" i="30"/>
  <c r="BJ8" i="30"/>
  <c r="BN8" i="30"/>
  <c r="BR8" i="30"/>
  <c r="BV8" i="30"/>
  <c r="BZ8" i="30"/>
  <c r="CD8" i="30"/>
  <c r="CH8" i="30"/>
  <c r="CL8" i="30"/>
  <c r="CP8" i="30"/>
  <c r="CT8" i="30"/>
  <c r="CX8" i="30"/>
  <c r="DB8" i="30"/>
  <c r="DF8" i="30"/>
  <c r="DJ8" i="30"/>
  <c r="DN8" i="30"/>
  <c r="DR8" i="30"/>
  <c r="DV8" i="30"/>
  <c r="DZ8" i="30"/>
  <c r="ED8" i="30"/>
  <c r="EH8" i="30"/>
  <c r="EL8" i="30"/>
  <c r="EP8" i="30"/>
  <c r="ET8" i="30"/>
  <c r="EX8" i="30"/>
  <c r="FB8" i="30"/>
  <c r="FF8" i="30"/>
  <c r="FJ8" i="30"/>
  <c r="FN8" i="30"/>
  <c r="FR8" i="30"/>
  <c r="FV8" i="30"/>
  <c r="AD31" i="31"/>
  <c r="AN31" i="31"/>
  <c r="B31" i="31"/>
  <c r="AB31" i="31"/>
  <c r="AB33" i="31"/>
  <c r="B36" i="31"/>
  <c r="AB36" i="31"/>
  <c r="AB47" i="31"/>
  <c r="AN49" i="31"/>
  <c r="B49" i="31"/>
  <c r="AB49" i="31"/>
  <c r="AN56" i="31"/>
  <c r="B56" i="31"/>
  <c r="AB56" i="31"/>
  <c r="AN66" i="31"/>
  <c r="AB66" i="31"/>
  <c r="AN71" i="31"/>
  <c r="B71" i="31"/>
  <c r="F87" i="31"/>
  <c r="AJ87" i="31" s="1"/>
  <c r="AN102" i="31"/>
  <c r="AB102" i="31"/>
  <c r="B102" i="31"/>
  <c r="AN106" i="31"/>
  <c r="AB106" i="31"/>
  <c r="B106" i="31"/>
  <c r="AN116" i="31"/>
  <c r="AB116" i="31"/>
  <c r="B116" i="31"/>
  <c r="AN35" i="31"/>
  <c r="AN37" i="31"/>
  <c r="AN39" i="31"/>
  <c r="AN94" i="31"/>
  <c r="AB94" i="31"/>
  <c r="B94" i="31"/>
  <c r="AN110" i="31"/>
  <c r="AB110" i="31"/>
  <c r="B110" i="31"/>
  <c r="AN126" i="31"/>
  <c r="AB126" i="31"/>
  <c r="B126" i="31"/>
  <c r="AB30" i="31"/>
  <c r="B30" i="31"/>
  <c r="AB77" i="31"/>
  <c r="B77" i="31"/>
  <c r="AB79" i="31"/>
  <c r="B79" i="31"/>
  <c r="AD82" i="31"/>
  <c r="AB83" i="31"/>
  <c r="B83" i="31"/>
  <c r="AN83" i="31"/>
  <c r="AN92" i="31"/>
  <c r="AB92" i="31"/>
  <c r="B92" i="31"/>
  <c r="AN98" i="31"/>
  <c r="AB98" i="31"/>
  <c r="B98" i="31"/>
  <c r="AN108" i="31"/>
  <c r="AB108" i="31"/>
  <c r="B108" i="31"/>
  <c r="AN114" i="31"/>
  <c r="AB114" i="31"/>
  <c r="B114" i="31"/>
  <c r="AN124" i="31"/>
  <c r="AB124" i="31"/>
  <c r="B124" i="31"/>
  <c r="AN130" i="31"/>
  <c r="AB130" i="31"/>
  <c r="B130" i="31"/>
  <c r="AN96" i="31"/>
  <c r="AB96" i="31"/>
  <c r="B96" i="31"/>
  <c r="AN104" i="31"/>
  <c r="AB104" i="31"/>
  <c r="B104" i="31"/>
  <c r="AN112" i="31"/>
  <c r="AB112" i="31"/>
  <c r="B112" i="31"/>
  <c r="AN120" i="31"/>
  <c r="AB120" i="31"/>
  <c r="B120" i="31"/>
  <c r="AN128" i="31"/>
  <c r="AB128" i="31"/>
  <c r="B128" i="31"/>
  <c r="AJ86" i="31"/>
  <c r="BS40" i="11" l="1"/>
  <c r="BS37" i="11"/>
  <c r="BS39" i="11"/>
  <c r="AV234" i="11"/>
  <c r="AV230" i="11"/>
  <c r="AU230" i="11" s="1"/>
  <c r="CO123" i="11"/>
  <c r="CO119" i="11"/>
  <c r="CR119" i="11"/>
  <c r="CR123" i="11"/>
  <c r="AY119" i="11"/>
  <c r="AX119" i="11" s="1"/>
  <c r="AY123" i="11"/>
  <c r="BN123" i="11"/>
  <c r="BN119" i="11"/>
  <c r="BE230" i="11"/>
  <c r="BE234" i="11"/>
  <c r="AS123" i="11"/>
  <c r="AS119" i="11"/>
  <c r="AV119" i="11"/>
  <c r="AV123" i="11"/>
  <c r="BT234" i="11"/>
  <c r="BT230" i="11"/>
  <c r="AY234" i="11"/>
  <c r="AY230" i="11"/>
  <c r="CQ40" i="11"/>
  <c r="CQ37" i="11"/>
  <c r="CQ39" i="11"/>
  <c r="AU40" i="11"/>
  <c r="AU37" i="11"/>
  <c r="AU39" i="11"/>
  <c r="H49" i="2"/>
  <c r="H50" i="2" s="1"/>
  <c r="H45" i="2"/>
  <c r="H46" i="2" s="1"/>
  <c r="AU79" i="29"/>
  <c r="AU77" i="29"/>
  <c r="AU78" i="29" s="1"/>
  <c r="CJ162" i="11"/>
  <c r="CJ166" i="11" s="1"/>
  <c r="CH161" i="11"/>
  <c r="AN162" i="11"/>
  <c r="AN166" i="11" s="1"/>
  <c r="AL161" i="11"/>
  <c r="AL163" i="11" s="1"/>
  <c r="BQ230" i="11"/>
  <c r="BQ234" i="11"/>
  <c r="CI234" i="11"/>
  <c r="CI230" i="11"/>
  <c r="AM234" i="11"/>
  <c r="AM230" i="11"/>
  <c r="AJ138" i="11"/>
  <c r="AJ132" i="11"/>
  <c r="AJ127" i="11"/>
  <c r="CE151" i="11"/>
  <c r="CE148" i="11"/>
  <c r="CE150" i="11"/>
  <c r="BG151" i="11"/>
  <c r="BG148" i="11"/>
  <c r="BG150" i="11"/>
  <c r="CE40" i="11"/>
  <c r="CE37" i="11"/>
  <c r="CE39" i="11"/>
  <c r="BG40" i="11"/>
  <c r="BG37" i="11"/>
  <c r="BG39" i="11"/>
  <c r="F74" i="25"/>
  <c r="AQ79" i="29"/>
  <c r="AQ77" i="29"/>
  <c r="AQ78" i="29" s="1"/>
  <c r="K38" i="22"/>
  <c r="F39" i="22"/>
  <c r="T49" i="13"/>
  <c r="F50" i="13"/>
  <c r="G239" i="11"/>
  <c r="G238" i="11"/>
  <c r="G237" i="11"/>
  <c r="BY151" i="11"/>
  <c r="BY150" i="11"/>
  <c r="BF163" i="11"/>
  <c r="BF162" i="11"/>
  <c r="BF166" i="11" s="1"/>
  <c r="S142" i="11"/>
  <c r="U141" i="11"/>
  <c r="CO230" i="11"/>
  <c r="CO234" i="11"/>
  <c r="BS151" i="11"/>
  <c r="BS148" i="11"/>
  <c r="AI243" i="11"/>
  <c r="AI238" i="11"/>
  <c r="AI249" i="11"/>
  <c r="AU52" i="11"/>
  <c r="BK119" i="11"/>
  <c r="BK123" i="11"/>
  <c r="AM55" i="11"/>
  <c r="AL51" i="11"/>
  <c r="CB40" i="11"/>
  <c r="CB37" i="11"/>
  <c r="AY88" i="10"/>
  <c r="AY97" i="10" s="1"/>
  <c r="AY98" i="10"/>
  <c r="BU164" i="11"/>
  <c r="BU165" i="11" s="1"/>
  <c r="BU175" i="11"/>
  <c r="BB123" i="11"/>
  <c r="BB119" i="11"/>
  <c r="CC123" i="11"/>
  <c r="CC119" i="11"/>
  <c r="CM51" i="11"/>
  <c r="CM55" i="11" s="1"/>
  <c r="AQ51" i="11"/>
  <c r="AQ55" i="11" s="1"/>
  <c r="AQ52" i="11"/>
  <c r="BI123" i="11"/>
  <c r="BI122" i="11" s="1"/>
  <c r="BI119" i="11"/>
  <c r="BI54" i="11"/>
  <c r="U29" i="11"/>
  <c r="S30" i="11"/>
  <c r="AR62" i="10"/>
  <c r="AR52" i="10"/>
  <c r="AR61" i="10" s="1"/>
  <c r="AR52" i="29"/>
  <c r="AR50" i="29"/>
  <c r="AR51" i="29" s="1"/>
  <c r="AJ52" i="29"/>
  <c r="AJ50" i="29"/>
  <c r="AJ51" i="29" s="1"/>
  <c r="AJ36" i="31"/>
  <c r="F56" i="29"/>
  <c r="T55" i="29"/>
  <c r="F92" i="30"/>
  <c r="F93" i="30" s="1"/>
  <c r="F94" i="30" s="1"/>
  <c r="F95" i="30" s="1"/>
  <c r="F96" i="30" s="1"/>
  <c r="F97" i="30" s="1"/>
  <c r="F98" i="30" s="1"/>
  <c r="F99" i="30" s="1"/>
  <c r="F100" i="30" s="1"/>
  <c r="F101" i="30" s="1"/>
  <c r="F102" i="30" s="1"/>
  <c r="F103" i="30" s="1"/>
  <c r="F104" i="30" s="1"/>
  <c r="F105" i="30" s="1"/>
  <c r="F106" i="30" s="1"/>
  <c r="F107" i="30" s="1"/>
  <c r="F108" i="30" s="1"/>
  <c r="F109" i="30" s="1"/>
  <c r="F110" i="30" s="1"/>
  <c r="F111" i="30" s="1"/>
  <c r="F112" i="30" s="1"/>
  <c r="F113" i="30" s="1"/>
  <c r="F114" i="30" s="1"/>
  <c r="F115" i="30" s="1"/>
  <c r="F116" i="30" s="1"/>
  <c r="F117" i="30" s="1"/>
  <c r="H117" i="30" s="1"/>
  <c r="H91" i="30"/>
  <c r="AF52" i="29"/>
  <c r="AF50" i="29"/>
  <c r="AF51" i="29" s="1"/>
  <c r="AL79" i="29"/>
  <c r="AL77" i="29"/>
  <c r="AL78" i="29" s="1"/>
  <c r="F32" i="29"/>
  <c r="T31" i="29"/>
  <c r="F30" i="25"/>
  <c r="AK41" i="19"/>
  <c r="F42" i="19"/>
  <c r="AP84" i="14"/>
  <c r="F30" i="20"/>
  <c r="F51" i="16"/>
  <c r="A51" i="16" s="1"/>
  <c r="A49" i="16"/>
  <c r="K46" i="15"/>
  <c r="F47" i="15"/>
  <c r="F48" i="15" s="1"/>
  <c r="F49" i="15" s="1"/>
  <c r="F50" i="15" s="1"/>
  <c r="AN84" i="14"/>
  <c r="F32" i="13"/>
  <c r="A30" i="13"/>
  <c r="T30" i="13"/>
  <c r="A75" i="12"/>
  <c r="T75" i="12"/>
  <c r="F76" i="12"/>
  <c r="F77" i="12" s="1"/>
  <c r="F35" i="12"/>
  <c r="F36" i="12" s="1"/>
  <c r="A34" i="12"/>
  <c r="T34" i="12"/>
  <c r="AZ162" i="11"/>
  <c r="AZ166" i="11" s="1"/>
  <c r="BH166" i="11"/>
  <c r="BG162" i="11"/>
  <c r="BZ162" i="11"/>
  <c r="BY161" i="11"/>
  <c r="CG164" i="11"/>
  <c r="CG175" i="11"/>
  <c r="BR162" i="11"/>
  <c r="BR166" i="11" s="1"/>
  <c r="CA162" i="11"/>
  <c r="CA166" i="11" s="1"/>
  <c r="BC162" i="11"/>
  <c r="BC166" i="11" s="1"/>
  <c r="BS150" i="11"/>
  <c r="AO151" i="11"/>
  <c r="AO150" i="11"/>
  <c r="CC166" i="11"/>
  <c r="BP161" i="11"/>
  <c r="CQ163" i="11"/>
  <c r="BI163" i="11"/>
  <c r="CC163" i="11"/>
  <c r="CS185" i="11"/>
  <c r="CS224" i="11"/>
  <c r="CS222" i="11" s="1"/>
  <c r="CS223" i="11" s="1"/>
  <c r="CS211" i="11"/>
  <c r="CS209" i="11" s="1"/>
  <c r="CS198" i="11"/>
  <c r="CS196" i="11" s="1"/>
  <c r="CL123" i="11"/>
  <c r="CL119" i="11"/>
  <c r="AP123" i="11"/>
  <c r="AP119" i="11"/>
  <c r="BS51" i="11"/>
  <c r="BT55" i="11"/>
  <c r="BW55" i="11"/>
  <c r="BV51" i="11"/>
  <c r="AL52" i="11"/>
  <c r="AO98" i="10"/>
  <c r="AO88" i="10"/>
  <c r="AO97" i="10" s="1"/>
  <c r="AM88" i="10"/>
  <c r="AM97" i="10" s="1"/>
  <c r="AM98" i="10"/>
  <c r="AK123" i="11"/>
  <c r="AK122" i="11" s="1"/>
  <c r="AK116" i="11"/>
  <c r="AK115" i="11" s="1"/>
  <c r="AK126" i="11"/>
  <c r="AK103" i="11"/>
  <c r="AK102" i="11" s="1"/>
  <c r="AK119" i="11"/>
  <c r="AK73" i="11"/>
  <c r="AK90" i="11"/>
  <c r="AK89" i="11" s="1"/>
  <c r="AK112" i="11"/>
  <c r="AK99" i="11"/>
  <c r="AK77" i="11"/>
  <c r="AK76" i="11" s="1"/>
  <c r="AK54" i="11"/>
  <c r="AK86" i="11"/>
  <c r="BU230" i="11"/>
  <c r="BU234" i="11"/>
  <c r="BU233" i="11" s="1"/>
  <c r="BC51" i="11"/>
  <c r="BC55" i="11" s="1"/>
  <c r="BC52" i="11"/>
  <c r="BU52" i="11"/>
  <c r="BB98" i="10"/>
  <c r="BB88" i="10"/>
  <c r="BB97" i="10" s="1"/>
  <c r="AT98" i="10"/>
  <c r="AT88" i="10"/>
  <c r="AT97" i="10" s="1"/>
  <c r="AL98" i="10"/>
  <c r="AL88" i="10"/>
  <c r="AL97" i="10" s="1"/>
  <c r="AZ62" i="10"/>
  <c r="AZ52" i="10"/>
  <c r="AZ61" i="10" s="1"/>
  <c r="AW100" i="11"/>
  <c r="AW98" i="11" s="1"/>
  <c r="AW99" i="11" s="1"/>
  <c r="AW74" i="11"/>
  <c r="AW113" i="11"/>
  <c r="AW111" i="11" s="1"/>
  <c r="AW112" i="11" s="1"/>
  <c r="AW87" i="11"/>
  <c r="AW85" i="11" s="1"/>
  <c r="CP51" i="11"/>
  <c r="CP55" i="11" s="1"/>
  <c r="CN50" i="11"/>
  <c r="AV62" i="10"/>
  <c r="AV52" i="10"/>
  <c r="AV61" i="10" s="1"/>
  <c r="B48" i="30"/>
  <c r="B49" i="30" s="1"/>
  <c r="B50" i="30" s="1"/>
  <c r="B51" i="30" s="1"/>
  <c r="B52" i="30" s="1"/>
  <c r="B53" i="30" s="1"/>
  <c r="B54" i="30" s="1"/>
  <c r="B55" i="30" s="1"/>
  <c r="B56" i="30" s="1"/>
  <c r="B57" i="30" s="1"/>
  <c r="B58" i="30" s="1"/>
  <c r="B59" i="30" s="1"/>
  <c r="B60" i="30" s="1"/>
  <c r="B61" i="30" s="1"/>
  <c r="B62" i="30" s="1"/>
  <c r="B63" i="30" s="1"/>
  <c r="B64" i="30" s="1"/>
  <c r="B65" i="30" s="1"/>
  <c r="B66" i="30" s="1"/>
  <c r="B67" i="30" s="1"/>
  <c r="B68" i="30" s="1"/>
  <c r="B69" i="30" s="1"/>
  <c r="B70" i="30" s="1"/>
  <c r="B71" i="30" s="1"/>
  <c r="B72" i="30" s="1"/>
  <c r="B32" i="30"/>
  <c r="B33" i="30" s="1"/>
  <c r="B34" i="30" s="1"/>
  <c r="B35" i="30" s="1"/>
  <c r="B36" i="30" s="1"/>
  <c r="B37" i="30" s="1"/>
  <c r="B38" i="30" s="1"/>
  <c r="B39" i="30" s="1"/>
  <c r="B40" i="30" s="1"/>
  <c r="B41" i="30" s="1"/>
  <c r="B42" i="30" s="1"/>
  <c r="B43" i="30" s="1"/>
  <c r="B44" i="30" s="1"/>
  <c r="B45" i="30" s="1"/>
  <c r="B46" i="30" s="1"/>
  <c r="B47" i="30" s="1"/>
  <c r="F58" i="8"/>
  <c r="U57" i="8"/>
  <c r="BX119" i="11"/>
  <c r="BX123" i="11"/>
  <c r="BX122" i="11" s="1"/>
  <c r="AZ119" i="11"/>
  <c r="AZ123" i="11"/>
  <c r="AZ122" i="11" s="1"/>
  <c r="AZ54" i="11"/>
  <c r="CD51" i="11"/>
  <c r="CD55" i="11" s="1"/>
  <c r="CB50" i="11"/>
  <c r="CB52" i="11" s="1"/>
  <c r="CD52" i="11"/>
  <c r="AT51" i="11"/>
  <c r="AT55" i="11" s="1"/>
  <c r="AR50" i="11"/>
  <c r="AS98" i="10"/>
  <c r="AS88" i="10"/>
  <c r="AS97" i="10" s="1"/>
  <c r="AN62" i="10"/>
  <c r="AN52" i="10"/>
  <c r="AN61" i="10" s="1"/>
  <c r="CK50" i="11"/>
  <c r="CK52" i="11" s="1"/>
  <c r="BN55" i="11"/>
  <c r="T79" i="10"/>
  <c r="F80" i="10"/>
  <c r="T44" i="10"/>
  <c r="T45" i="10" s="1"/>
  <c r="F45" i="10"/>
  <c r="U33" i="6"/>
  <c r="F34" i="6"/>
  <c r="U34" i="6" s="1"/>
  <c r="BB52" i="10"/>
  <c r="BB61" i="10" s="1"/>
  <c r="U30" i="8"/>
  <c r="F31" i="8"/>
  <c r="BX64" i="11"/>
  <c r="BX53" i="11"/>
  <c r="BX54" i="11" s="1"/>
  <c r="AZ64" i="11"/>
  <c r="AZ53" i="11"/>
  <c r="F53" i="28"/>
  <c r="T52" i="28"/>
  <c r="AH79" i="29"/>
  <c r="AH77" i="29"/>
  <c r="AH78" i="29" s="1"/>
  <c r="AI50" i="29"/>
  <c r="AI51" i="29" s="1"/>
  <c r="AI52" i="29"/>
  <c r="F71" i="26"/>
  <c r="F35" i="23"/>
  <c r="F36" i="23" s="1"/>
  <c r="F37" i="23" s="1"/>
  <c r="F38" i="23" s="1"/>
  <c r="F39" i="23" s="1"/>
  <c r="F33" i="16"/>
  <c r="F31" i="16"/>
  <c r="F30" i="16"/>
  <c r="BE166" i="11"/>
  <c r="BD162" i="11"/>
  <c r="BN163" i="11"/>
  <c r="BN162" i="11"/>
  <c r="BM161" i="11"/>
  <c r="BQ166" i="11"/>
  <c r="BP162" i="11"/>
  <c r="BD161" i="11"/>
  <c r="CQ162" i="11"/>
  <c r="CR166" i="11"/>
  <c r="AW214" i="11"/>
  <c r="AW213" i="11" s="1"/>
  <c r="AW230" i="11"/>
  <c r="AW223" i="11"/>
  <c r="AW188" i="11"/>
  <c r="AW187" i="11" s="1"/>
  <c r="AW165" i="11"/>
  <c r="AW234" i="11"/>
  <c r="AW233" i="11" s="1"/>
  <c r="CO55" i="11"/>
  <c r="BH119" i="11"/>
  <c r="BH123" i="11"/>
  <c r="CI55" i="11"/>
  <c r="CH51" i="11"/>
  <c r="CH52" i="11" s="1"/>
  <c r="AI98" i="10"/>
  <c r="AI88" i="10"/>
  <c r="AI97" i="10" s="1"/>
  <c r="AV52" i="29"/>
  <c r="AV50" i="29"/>
  <c r="AV51" i="29" s="1"/>
  <c r="AN50" i="29"/>
  <c r="AN51" i="29" s="1"/>
  <c r="AN52" i="29"/>
  <c r="F29" i="28"/>
  <c r="T28" i="28"/>
  <c r="AI79" i="29"/>
  <c r="AI77" i="29"/>
  <c r="AI78" i="29" s="1"/>
  <c r="AT79" i="29"/>
  <c r="AT77" i="29"/>
  <c r="AT78" i="29" s="1"/>
  <c r="T54" i="17"/>
  <c r="F55" i="17"/>
  <c r="F30" i="21"/>
  <c r="F31" i="22"/>
  <c r="F56" i="19"/>
  <c r="F57" i="19" s="1"/>
  <c r="F58" i="19" s="1"/>
  <c r="F59" i="19" s="1"/>
  <c r="F60" i="19" s="1"/>
  <c r="F61" i="19" s="1"/>
  <c r="F62" i="19" s="1"/>
  <c r="F63" i="19" s="1"/>
  <c r="F64" i="19" s="1"/>
  <c r="F65" i="19" s="1"/>
  <c r="K34" i="15"/>
  <c r="F35" i="15"/>
  <c r="F36" i="15" s="1"/>
  <c r="F37" i="15" s="1"/>
  <c r="F38" i="15" s="1"/>
  <c r="BX162" i="11"/>
  <c r="BX166" i="11" s="1"/>
  <c r="BB162" i="11"/>
  <c r="BA161" i="11"/>
  <c r="CP162" i="11"/>
  <c r="AT162" i="11"/>
  <c r="AT163" i="11"/>
  <c r="CM162" i="11"/>
  <c r="CM166" i="11" s="1"/>
  <c r="BO162" i="11"/>
  <c r="BO166" i="11" s="1"/>
  <c r="AQ162" i="11"/>
  <c r="AQ166" i="11" s="1"/>
  <c r="AQ163" i="11"/>
  <c r="CF166" i="11"/>
  <c r="CE162" i="11"/>
  <c r="CE163" i="11" s="1"/>
  <c r="BW166" i="11"/>
  <c r="BV162" i="11"/>
  <c r="BV163" i="11" s="1"/>
  <c r="BK166" i="11"/>
  <c r="AY166" i="11"/>
  <c r="AX162" i="11"/>
  <c r="AX163" i="11" s="1"/>
  <c r="AL162" i="11"/>
  <c r="AM166" i="11"/>
  <c r="CR163" i="11"/>
  <c r="AU162" i="11"/>
  <c r="AU163" i="11" s="1"/>
  <c r="AV166" i="11"/>
  <c r="AK237" i="11"/>
  <c r="AK214" i="11"/>
  <c r="AK213" i="11" s="1"/>
  <c r="AK184" i="11"/>
  <c r="AK230" i="11"/>
  <c r="AK223" i="11"/>
  <c r="AK201" i="11"/>
  <c r="AK200" i="11" s="1"/>
  <c r="AK210" i="11"/>
  <c r="AK188" i="11"/>
  <c r="AK187" i="11" s="1"/>
  <c r="AK234" i="11"/>
  <c r="AK233" i="11" s="1"/>
  <c r="AK227" i="11"/>
  <c r="AK226" i="11" s="1"/>
  <c r="AK197" i="11"/>
  <c r="BI53" i="11"/>
  <c r="BI64" i="11"/>
  <c r="CQ51" i="11"/>
  <c r="CQ52" i="11" s="1"/>
  <c r="CR55" i="11"/>
  <c r="BT119" i="11"/>
  <c r="BT123" i="11"/>
  <c r="AU51" i="11"/>
  <c r="AV55" i="11"/>
  <c r="BW119" i="11"/>
  <c r="BV119" i="11" s="1"/>
  <c r="BW123" i="11"/>
  <c r="AY55" i="11"/>
  <c r="AX51" i="11"/>
  <c r="AX52" i="11" s="1"/>
  <c r="CB39" i="11"/>
  <c r="AU98" i="10"/>
  <c r="AU88" i="10"/>
  <c r="AU97" i="10" s="1"/>
  <c r="AE98" i="10"/>
  <c r="AE88" i="10"/>
  <c r="AE97" i="10" s="1"/>
  <c r="BQ55" i="11"/>
  <c r="AO50" i="11"/>
  <c r="BU53" i="11"/>
  <c r="BU64" i="11"/>
  <c r="BQ52" i="11"/>
  <c r="CA51" i="11"/>
  <c r="CA55" i="11" s="1"/>
  <c r="CA52" i="11"/>
  <c r="CS123" i="11"/>
  <c r="CS122" i="11" s="1"/>
  <c r="CS103" i="11"/>
  <c r="CS102" i="11" s="1"/>
  <c r="CS99" i="11"/>
  <c r="CS119" i="11"/>
  <c r="CS54" i="11"/>
  <c r="AW123" i="11"/>
  <c r="AW122" i="11" s="1"/>
  <c r="AW116" i="11"/>
  <c r="AW115" i="11" s="1"/>
  <c r="AW103" i="11"/>
  <c r="AW102" i="11" s="1"/>
  <c r="AW119" i="11"/>
  <c r="AW77" i="11"/>
  <c r="AW76" i="11" s="1"/>
  <c r="AW54" i="11"/>
  <c r="AW86" i="11"/>
  <c r="BA98" i="10"/>
  <c r="BA88" i="10"/>
  <c r="BA97" i="10" s="1"/>
  <c r="AX98" i="10"/>
  <c r="AX88" i="10"/>
  <c r="AX97" i="10" s="1"/>
  <c r="AP98" i="10"/>
  <c r="AP88" i="10"/>
  <c r="AP97" i="10" s="1"/>
  <c r="AH98" i="10"/>
  <c r="AH88" i="10"/>
  <c r="AH97" i="10" s="1"/>
  <c r="AJ62" i="10"/>
  <c r="AJ52" i="10"/>
  <c r="AJ61" i="10" s="1"/>
  <c r="AJ58" i="11"/>
  <c r="AJ57" i="11" s="1"/>
  <c r="BR51" i="11"/>
  <c r="BR55" i="11" s="1"/>
  <c r="BP50" i="11"/>
  <c r="AF62" i="10"/>
  <c r="AF52" i="10"/>
  <c r="AF61" i="10" s="1"/>
  <c r="AB21" i="31"/>
  <c r="AB21" i="30"/>
  <c r="AC21" i="28"/>
  <c r="AC21" i="26"/>
  <c r="AC21" i="29"/>
  <c r="AC21" i="27"/>
  <c r="AC21" i="25"/>
  <c r="AC21" i="24"/>
  <c r="AC21" i="23"/>
  <c r="AC21" i="22"/>
  <c r="AC21" i="21"/>
  <c r="AC21" i="20"/>
  <c r="AC21" i="15"/>
  <c r="AC21" i="19"/>
  <c r="AC21" i="18"/>
  <c r="AC21" i="17"/>
  <c r="AC21" i="16"/>
  <c r="AC21" i="12"/>
  <c r="AC21" i="14"/>
  <c r="AC21" i="13"/>
  <c r="AC21" i="10"/>
  <c r="AE21" i="11"/>
  <c r="AC21" i="9"/>
  <c r="AC21" i="8"/>
  <c r="AC21" i="7"/>
  <c r="AC21" i="6"/>
  <c r="AC21" i="5"/>
  <c r="CL55" i="11"/>
  <c r="CK51" i="11"/>
  <c r="BA50" i="11"/>
  <c r="BA52" i="11" s="1"/>
  <c r="AT52" i="10"/>
  <c r="AT61" i="10" s="1"/>
  <c r="CJ119" i="11"/>
  <c r="CJ123" i="11"/>
  <c r="CJ122" i="11" s="1"/>
  <c r="BL119" i="11"/>
  <c r="BL123" i="11"/>
  <c r="BL122" i="11" s="1"/>
  <c r="BL54" i="11"/>
  <c r="AN119" i="11"/>
  <c r="AN123" i="11"/>
  <c r="AN122" i="11" s="1"/>
  <c r="F88" i="31"/>
  <c r="F38" i="31"/>
  <c r="AJ37" i="31"/>
  <c r="AN79" i="29"/>
  <c r="AN77" i="29"/>
  <c r="AN78" i="29" s="1"/>
  <c r="F32" i="30"/>
  <c r="F33" i="30" s="1"/>
  <c r="AD31" i="30"/>
  <c r="F39" i="20"/>
  <c r="T33" i="13"/>
  <c r="F34" i="13"/>
  <c r="BH234" i="11"/>
  <c r="BH230" i="11"/>
  <c r="G128" i="11"/>
  <c r="G127" i="11"/>
  <c r="G126" i="11"/>
  <c r="CE51" i="11"/>
  <c r="CE52" i="11" s="1"/>
  <c r="CF55" i="11"/>
  <c r="AX79" i="29"/>
  <c r="AX77" i="29"/>
  <c r="AX78" i="29" s="1"/>
  <c r="AE79" i="29"/>
  <c r="AE77" i="29"/>
  <c r="AE78" i="29" s="1"/>
  <c r="F33" i="26"/>
  <c r="F82" i="23"/>
  <c r="F83" i="23" s="1"/>
  <c r="F84" i="23" s="1"/>
  <c r="F85" i="23" s="1"/>
  <c r="F86" i="23" s="1"/>
  <c r="F49" i="21"/>
  <c r="T29" i="17"/>
  <c r="F30" i="17"/>
  <c r="AT84" i="14"/>
  <c r="F53" i="16"/>
  <c r="G52" i="16"/>
  <c r="AR84" i="14"/>
  <c r="T43" i="13"/>
  <c r="F45" i="13"/>
  <c r="A43" i="13"/>
  <c r="BL162" i="11"/>
  <c r="BL166" i="11" s="1"/>
  <c r="BG163" i="11"/>
  <c r="CL163" i="11"/>
  <c r="CL162" i="11"/>
  <c r="CK161" i="11"/>
  <c r="AP162" i="11"/>
  <c r="AO161" i="11"/>
  <c r="AH230" i="11"/>
  <c r="AH223" i="11"/>
  <c r="AH201" i="11"/>
  <c r="AH200" i="11" s="1"/>
  <c r="AH210" i="11"/>
  <c r="AH188" i="11"/>
  <c r="AH187" i="11" s="1"/>
  <c r="AH165" i="11"/>
  <c r="AH234" i="11"/>
  <c r="AH233" i="11" s="1"/>
  <c r="AH227" i="11"/>
  <c r="AH226" i="11" s="1"/>
  <c r="AH197" i="11"/>
  <c r="AH237" i="11"/>
  <c r="AH184" i="11"/>
  <c r="AH214" i="11"/>
  <c r="AH213" i="11" s="1"/>
  <c r="BS162" i="11"/>
  <c r="BS163" i="11" s="1"/>
  <c r="BT166" i="11"/>
  <c r="CD163" i="11"/>
  <c r="CD162" i="11"/>
  <c r="CD166" i="11" s="1"/>
  <c r="BY148" i="11"/>
  <c r="CK151" i="11"/>
  <c r="CK150" i="11"/>
  <c r="CF163" i="11"/>
  <c r="CI166" i="11"/>
  <c r="BW163" i="11"/>
  <c r="BK163" i="11"/>
  <c r="AS230" i="11"/>
  <c r="AS234" i="11"/>
  <c r="AJ237" i="11"/>
  <c r="BA151" i="11"/>
  <c r="BA150" i="11"/>
  <c r="CQ151" i="11"/>
  <c r="CQ148" i="11"/>
  <c r="AU151" i="11"/>
  <c r="AU148" i="11"/>
  <c r="AJ131" i="11"/>
  <c r="BI164" i="11"/>
  <c r="BI175" i="11"/>
  <c r="CB161" i="11"/>
  <c r="CG163" i="11"/>
  <c r="BM151" i="11"/>
  <c r="BM150" i="11"/>
  <c r="CO164" i="11"/>
  <c r="CO165" i="11" s="1"/>
  <c r="CO175" i="11"/>
  <c r="AS164" i="11"/>
  <c r="AS165" i="11" s="1"/>
  <c r="AS175" i="11"/>
  <c r="AK164" i="11"/>
  <c r="AK242" i="11" s="1"/>
  <c r="AK175" i="11"/>
  <c r="AR51" i="11"/>
  <c r="AS55" i="11"/>
  <c r="CF52" i="11"/>
  <c r="BS52" i="11"/>
  <c r="BG51" i="11"/>
  <c r="BG52" i="11" s="1"/>
  <c r="BH55" i="11"/>
  <c r="CI52" i="11"/>
  <c r="BV52" i="11"/>
  <c r="BK55" i="11"/>
  <c r="BJ51" i="11"/>
  <c r="BJ52" i="11" s="1"/>
  <c r="AM52" i="11"/>
  <c r="AQ98" i="10"/>
  <c r="AQ88" i="10"/>
  <c r="AQ97" i="10" s="1"/>
  <c r="AH127" i="11"/>
  <c r="AH138" i="11"/>
  <c r="AH132" i="11"/>
  <c r="AK133" i="11"/>
  <c r="AK53" i="11"/>
  <c r="AK131" i="11" s="1"/>
  <c r="AK64" i="11"/>
  <c r="AP55" i="11"/>
  <c r="AO51" i="11"/>
  <c r="AI127" i="11"/>
  <c r="AI138" i="11"/>
  <c r="AI132" i="11"/>
  <c r="AW98" i="10"/>
  <c r="AW88" i="10"/>
  <c r="AW97" i="10" s="1"/>
  <c r="CS230" i="11"/>
  <c r="CS201" i="11"/>
  <c r="CS200" i="11" s="1"/>
  <c r="CS210" i="11"/>
  <c r="CS165" i="11"/>
  <c r="CS234" i="11"/>
  <c r="CS233" i="11" s="1"/>
  <c r="CS227" i="11"/>
  <c r="CS226" i="11" s="1"/>
  <c r="CS197" i="11"/>
  <c r="CG74" i="11"/>
  <c r="CG113" i="11"/>
  <c r="CG111" i="11" s="1"/>
  <c r="CG112" i="11" s="1"/>
  <c r="CG100" i="11"/>
  <c r="CG98" i="11" s="1"/>
  <c r="CG99" i="11" s="1"/>
  <c r="CG87" i="11"/>
  <c r="CG85" i="11" s="1"/>
  <c r="BD51" i="11"/>
  <c r="BD52" i="11" s="1"/>
  <c r="BE55" i="11"/>
  <c r="BE52" i="11"/>
  <c r="BO51" i="11"/>
  <c r="BO55" i="11" s="1"/>
  <c r="BO52" i="11"/>
  <c r="CG123" i="11"/>
  <c r="CG122" i="11" s="1"/>
  <c r="CG116" i="11"/>
  <c r="CG115" i="11" s="1"/>
  <c r="CG119" i="11"/>
  <c r="CG90" i="11"/>
  <c r="CG89" i="11" s="1"/>
  <c r="CG77" i="11"/>
  <c r="CG76" i="11" s="1"/>
  <c r="CG54" i="11"/>
  <c r="CG86" i="11"/>
  <c r="AK98" i="10"/>
  <c r="AK88" i="10"/>
  <c r="AK97" i="10" s="1"/>
  <c r="AW185" i="11"/>
  <c r="AW224" i="11"/>
  <c r="AW222" i="11" s="1"/>
  <c r="AW211" i="11"/>
  <c r="AW209" i="11" s="1"/>
  <c r="AW210" i="11" s="1"/>
  <c r="AW198" i="11"/>
  <c r="AW196" i="11" s="1"/>
  <c r="AW197" i="11" s="1"/>
  <c r="CS100" i="11"/>
  <c r="CS98" i="11" s="1"/>
  <c r="CS74" i="11"/>
  <c r="CS113" i="11"/>
  <c r="CS111" i="11" s="1"/>
  <c r="CS112" i="11" s="1"/>
  <c r="CS87" i="11"/>
  <c r="CS85" i="11" s="1"/>
  <c r="CS86" i="11" s="1"/>
  <c r="CB51" i="11"/>
  <c r="CC55" i="11"/>
  <c r="BF113" i="11"/>
  <c r="BF100" i="11"/>
  <c r="BF87" i="11"/>
  <c r="BF74" i="11"/>
  <c r="AH109" i="11"/>
  <c r="AH96" i="11"/>
  <c r="AH83" i="11"/>
  <c r="AH70" i="11"/>
  <c r="B92" i="30"/>
  <c r="B93" i="30" s="1"/>
  <c r="B94" i="30" s="1"/>
  <c r="B95" i="30" s="1"/>
  <c r="B96" i="30" s="1"/>
  <c r="B97" i="30" s="1"/>
  <c r="B98" i="30" s="1"/>
  <c r="B99" i="30" s="1"/>
  <c r="B100" i="30" s="1"/>
  <c r="B101" i="30" s="1"/>
  <c r="B102" i="30" s="1"/>
  <c r="B103" i="30" s="1"/>
  <c r="B104" i="30" s="1"/>
  <c r="B105" i="30" s="1"/>
  <c r="B106" i="30" s="1"/>
  <c r="B107" i="30" s="1"/>
  <c r="B108" i="30" s="1"/>
  <c r="B109" i="30" s="1"/>
  <c r="B110" i="30" s="1"/>
  <c r="B111" i="30" s="1"/>
  <c r="B112" i="30" s="1"/>
  <c r="B113" i="30" s="1"/>
  <c r="B114" i="30" s="1"/>
  <c r="B115" i="30" s="1"/>
  <c r="B116" i="30" s="1"/>
  <c r="B78" i="30"/>
  <c r="B79" i="30" s="1"/>
  <c r="B80" i="30" s="1"/>
  <c r="B81" i="30" s="1"/>
  <c r="B82" i="30" s="1"/>
  <c r="B83" i="30" s="1"/>
  <c r="B84" i="30" s="1"/>
  <c r="B85" i="30" s="1"/>
  <c r="B86" i="30" s="1"/>
  <c r="B87" i="30" s="1"/>
  <c r="B88" i="30" s="1"/>
  <c r="B89" i="30" s="1"/>
  <c r="B90" i="30" s="1"/>
  <c r="B91" i="30" s="1"/>
  <c r="BZ51" i="11"/>
  <c r="BY50" i="11"/>
  <c r="BZ52" i="11"/>
  <c r="BB55" i="11"/>
  <c r="BA51" i="11"/>
  <c r="AG98" i="10"/>
  <c r="AG88" i="10"/>
  <c r="AG97" i="10" s="1"/>
  <c r="F33" i="9"/>
  <c r="U32" i="9"/>
  <c r="F38" i="9"/>
  <c r="U37" i="9"/>
  <c r="AB30" i="6"/>
  <c r="W30" i="6"/>
  <c r="AL52" i="10"/>
  <c r="AL61" i="10" s="1"/>
  <c r="CJ64" i="11"/>
  <c r="CJ53" i="11"/>
  <c r="CJ54" i="11" s="1"/>
  <c r="BL64" i="11"/>
  <c r="BL53" i="11"/>
  <c r="AN64" i="11"/>
  <c r="AN53" i="11"/>
  <c r="AN54" i="11" s="1"/>
  <c r="CD230" i="11" l="1"/>
  <c r="CD234" i="11"/>
  <c r="CD233" i="11" s="1"/>
  <c r="CA119" i="11"/>
  <c r="CA123" i="11"/>
  <c r="CA122" i="11" s="1"/>
  <c r="AV64" i="11"/>
  <c r="AU55" i="11"/>
  <c r="AV53" i="11"/>
  <c r="AV54" i="11" s="1"/>
  <c r="AU54" i="11" s="1"/>
  <c r="CM175" i="11"/>
  <c r="CM164" i="11"/>
  <c r="BB166" i="11"/>
  <c r="BA162" i="11"/>
  <c r="BX175" i="11"/>
  <c r="BX164" i="11"/>
  <c r="BH122" i="11"/>
  <c r="BG123" i="11"/>
  <c r="BG122" i="11" s="1"/>
  <c r="BN230" i="11"/>
  <c r="BN234" i="11"/>
  <c r="BI230" i="11"/>
  <c r="BG230" i="11" s="1"/>
  <c r="BI165" i="11"/>
  <c r="BI234" i="11"/>
  <c r="BI233" i="11" s="1"/>
  <c r="BI227" i="11"/>
  <c r="BI226" i="11" s="1"/>
  <c r="F31" i="25"/>
  <c r="T56" i="29"/>
  <c r="F57" i="29"/>
  <c r="AX123" i="11"/>
  <c r="AX122" i="11" s="1"/>
  <c r="AY122" i="11"/>
  <c r="CJ113" i="11"/>
  <c r="CJ100" i="11"/>
  <c r="CJ87" i="11"/>
  <c r="CJ74" i="11"/>
  <c r="BZ123" i="11"/>
  <c r="BZ119" i="11"/>
  <c r="BF111" i="11"/>
  <c r="BF112" i="11" s="1"/>
  <c r="BF116" i="11"/>
  <c r="BF115" i="11" s="1"/>
  <c r="AK207" i="11"/>
  <c r="AK194" i="11"/>
  <c r="AK181" i="11"/>
  <c r="AK220" i="11"/>
  <c r="AK247" i="11"/>
  <c r="BI185" i="11"/>
  <c r="BI224" i="11"/>
  <c r="BI222" i="11" s="1"/>
  <c r="BI223" i="11" s="1"/>
  <c r="BI211" i="11"/>
  <c r="BI209" i="11" s="1"/>
  <c r="BI210" i="11" s="1"/>
  <c r="BI198" i="11"/>
  <c r="BI196" i="11" s="1"/>
  <c r="BI197" i="11" s="1"/>
  <c r="CI175" i="11"/>
  <c r="CH166" i="11"/>
  <c r="CI164" i="11"/>
  <c r="CI165" i="11" s="1"/>
  <c r="AB47" i="7"/>
  <c r="W47" i="7"/>
  <c r="BF98" i="11"/>
  <c r="BF99" i="11" s="1"/>
  <c r="BF103" i="11"/>
  <c r="BF102" i="11" s="1"/>
  <c r="BW234" i="11"/>
  <c r="BW230" i="11"/>
  <c r="BW165" i="11"/>
  <c r="F35" i="13"/>
  <c r="F36" i="13" s="1"/>
  <c r="T34" i="13"/>
  <c r="AQ234" i="11"/>
  <c r="AQ233" i="11" s="1"/>
  <c r="AQ230" i="11"/>
  <c r="F30" i="28"/>
  <c r="T29" i="28"/>
  <c r="AT53" i="11"/>
  <c r="AT64" i="11"/>
  <c r="CP53" i="11"/>
  <c r="CP64" i="11"/>
  <c r="BC175" i="11"/>
  <c r="BC164" i="11"/>
  <c r="BH164" i="11"/>
  <c r="BH165" i="11" s="1"/>
  <c r="BG165" i="11" s="1"/>
  <c r="BG166" i="11"/>
  <c r="BH175" i="11"/>
  <c r="F43" i="19"/>
  <c r="F44" i="19" s="1"/>
  <c r="F45" i="19" s="1"/>
  <c r="AI42" i="19"/>
  <c r="AL42" i="19" s="1"/>
  <c r="AE42" i="19"/>
  <c r="AK42" i="19"/>
  <c r="AG42" i="19"/>
  <c r="AH42" i="19" s="1"/>
  <c r="AJ42" i="19"/>
  <c r="AF42" i="19"/>
  <c r="AQ119" i="11"/>
  <c r="AO119" i="11" s="1"/>
  <c r="AQ123" i="11"/>
  <c r="AQ122" i="11" s="1"/>
  <c r="BE53" i="11"/>
  <c r="BE64" i="11"/>
  <c r="BD55" i="11"/>
  <c r="CS214" i="11"/>
  <c r="CS213" i="11" s="1"/>
  <c r="AP53" i="11"/>
  <c r="AP54" i="11" s="1"/>
  <c r="AP64" i="11"/>
  <c r="AO55" i="11"/>
  <c r="AS233" i="11"/>
  <c r="BT175" i="11"/>
  <c r="BT164" i="11"/>
  <c r="BT165" i="11" s="1"/>
  <c r="BS165" i="11" s="1"/>
  <c r="BS166" i="11"/>
  <c r="AH249" i="11"/>
  <c r="AH243" i="11"/>
  <c r="AH238" i="11"/>
  <c r="AP166" i="11"/>
  <c r="AO162" i="11"/>
  <c r="F47" i="13"/>
  <c r="A45" i="13"/>
  <c r="F46" i="13"/>
  <c r="F54" i="16"/>
  <c r="T53" i="16"/>
  <c r="F31" i="17"/>
  <c r="T30" i="17"/>
  <c r="T31" i="17" s="1"/>
  <c r="T32" i="17" s="1"/>
  <c r="AO52" i="11"/>
  <c r="CR234" i="11"/>
  <c r="CR230" i="11"/>
  <c r="CQ230" i="11" s="1"/>
  <c r="CR165" i="11"/>
  <c r="CQ165" i="11" s="1"/>
  <c r="AJ65" i="19"/>
  <c r="AF65" i="19"/>
  <c r="F66" i="19"/>
  <c r="AI65" i="19"/>
  <c r="AL65" i="19" s="1"/>
  <c r="AE65" i="19"/>
  <c r="AK65" i="19"/>
  <c r="AG65" i="19"/>
  <c r="BA30" i="21"/>
  <c r="BL30" i="21" s="1"/>
  <c r="AW30" i="21"/>
  <c r="BH30" i="21" s="1"/>
  <c r="AS30" i="21"/>
  <c r="AO30" i="21"/>
  <c r="AK30" i="21"/>
  <c r="AG30" i="21"/>
  <c r="AZ30" i="21"/>
  <c r="BK30" i="21" s="1"/>
  <c r="AV30" i="21"/>
  <c r="BG30" i="21" s="1"/>
  <c r="AR30" i="21"/>
  <c r="AN30" i="21"/>
  <c r="AJ30" i="21"/>
  <c r="AF30" i="21"/>
  <c r="BC30" i="21"/>
  <c r="AY30" i="21"/>
  <c r="BJ30" i="21" s="1"/>
  <c r="AU30" i="21"/>
  <c r="BF30" i="21" s="1"/>
  <c r="AQ30" i="21"/>
  <c r="AM30" i="21"/>
  <c r="AI30" i="21"/>
  <c r="BD30" i="21" s="1"/>
  <c r="AE30" i="21"/>
  <c r="F31" i="21"/>
  <c r="BB30" i="21"/>
  <c r="BM30" i="21" s="1"/>
  <c r="AX30" i="21"/>
  <c r="BI30" i="21" s="1"/>
  <c r="AT30" i="21"/>
  <c r="BE30" i="21" s="1"/>
  <c r="AP30" i="21"/>
  <c r="AL30" i="21"/>
  <c r="BQ164" i="11"/>
  <c r="BQ165" i="11" s="1"/>
  <c r="BP166" i="11"/>
  <c r="BQ175" i="11"/>
  <c r="G33" i="16"/>
  <c r="F34" i="16"/>
  <c r="CD123" i="11"/>
  <c r="CD122" i="11" s="1"/>
  <c r="CD119" i="11"/>
  <c r="CB119" i="11" s="1"/>
  <c r="AK132" i="11"/>
  <c r="AK127" i="11"/>
  <c r="AK138" i="11"/>
  <c r="BR163" i="11"/>
  <c r="BZ166" i="11"/>
  <c r="BY162" i="11"/>
  <c r="BY163" i="11" s="1"/>
  <c r="F37" i="12"/>
  <c r="A36" i="12"/>
  <c r="T32" i="13"/>
  <c r="T31" i="13"/>
  <c r="AF41" i="19"/>
  <c r="F33" i="29"/>
  <c r="T32" i="29"/>
  <c r="AQ64" i="11"/>
  <c r="AQ53" i="11"/>
  <c r="AQ54" i="11" s="1"/>
  <c r="BJ119" i="11"/>
  <c r="F75" i="25"/>
  <c r="H48" i="2"/>
  <c r="H47" i="2"/>
  <c r="BT233" i="11"/>
  <c r="BS234" i="11"/>
  <c r="BS233" i="11" s="1"/>
  <c r="BD234" i="11"/>
  <c r="BD233" i="11" s="1"/>
  <c r="BE233" i="11"/>
  <c r="F39" i="9"/>
  <c r="U38" i="9"/>
  <c r="CF119" i="11"/>
  <c r="CE119" i="11" s="1"/>
  <c r="CF123" i="11"/>
  <c r="AJ238" i="11"/>
  <c r="AJ249" i="11"/>
  <c r="AJ243" i="11"/>
  <c r="CH162" i="11"/>
  <c r="F87" i="23"/>
  <c r="F88" i="23" s="1"/>
  <c r="F89" i="23" s="1"/>
  <c r="F90" i="23" s="1"/>
  <c r="F91" i="23" s="1"/>
  <c r="CS116" i="11"/>
  <c r="CS115" i="11" s="1"/>
  <c r="BQ53" i="11"/>
  <c r="BQ64" i="11"/>
  <c r="BP55" i="11"/>
  <c r="AY64" i="11"/>
  <c r="AX55" i="11"/>
  <c r="AY53" i="11"/>
  <c r="AY54" i="11" s="1"/>
  <c r="AX54" i="11" s="1"/>
  <c r="BS119" i="11"/>
  <c r="AK165" i="11"/>
  <c r="AK238" i="11"/>
  <c r="AK249" i="11"/>
  <c r="AK243" i="11"/>
  <c r="BO175" i="11"/>
  <c r="BO164" i="11"/>
  <c r="BC119" i="11"/>
  <c r="BC123" i="11"/>
  <c r="BC122" i="11" s="1"/>
  <c r="BW64" i="11"/>
  <c r="BV55" i="11"/>
  <c r="BW53" i="11"/>
  <c r="BW54" i="11" s="1"/>
  <c r="BV54" i="11" s="1"/>
  <c r="AP122" i="11"/>
  <c r="AO123" i="11"/>
  <c r="AO122" i="11" s="1"/>
  <c r="CL122" i="11"/>
  <c r="CS240" i="11"/>
  <c r="CS183" i="11"/>
  <c r="CS184" i="11" s="1"/>
  <c r="BP163" i="11"/>
  <c r="CA175" i="11"/>
  <c r="CA164" i="11"/>
  <c r="CG185" i="11"/>
  <c r="CG224" i="11"/>
  <c r="CG222" i="11" s="1"/>
  <c r="CG211" i="11"/>
  <c r="CG209" i="11" s="1"/>
  <c r="CG198" i="11"/>
  <c r="CG196" i="11" s="1"/>
  <c r="CG197" i="11" s="1"/>
  <c r="BZ163" i="11"/>
  <c r="AZ163" i="11"/>
  <c r="A77" i="12"/>
  <c r="F78" i="12"/>
  <c r="F31" i="20"/>
  <c r="AE41" i="19"/>
  <c r="AJ41" i="19"/>
  <c r="S31" i="11"/>
  <c r="U30" i="11"/>
  <c r="CM52" i="11"/>
  <c r="BJ123" i="11"/>
  <c r="BJ122" i="11" s="1"/>
  <c r="BK122" i="11"/>
  <c r="S143" i="11"/>
  <c r="U142" i="11"/>
  <c r="F51" i="13"/>
  <c r="F52" i="13" s="1"/>
  <c r="T50" i="13"/>
  <c r="AM233" i="11"/>
  <c r="CI233" i="11"/>
  <c r="AN163" i="11"/>
  <c r="CJ163" i="11"/>
  <c r="AU119" i="11"/>
  <c r="AS122" i="11"/>
  <c r="BN122" i="11"/>
  <c r="CQ119" i="11"/>
  <c r="CO122" i="11"/>
  <c r="AV233" i="11"/>
  <c r="AU234" i="11"/>
  <c r="AU233" i="11" s="1"/>
  <c r="U33" i="9"/>
  <c r="F34" i="9"/>
  <c r="U34" i="9" s="1"/>
  <c r="BB53" i="11"/>
  <c r="BB54" i="11" s="1"/>
  <c r="BB64" i="11"/>
  <c r="BA55" i="11"/>
  <c r="BE123" i="11"/>
  <c r="BE119" i="11"/>
  <c r="BD119" i="11" s="1"/>
  <c r="BE54" i="11"/>
  <c r="BD54" i="11" s="1"/>
  <c r="BK64" i="11"/>
  <c r="BJ55" i="11"/>
  <c r="BK53" i="11"/>
  <c r="BK54" i="11" s="1"/>
  <c r="BJ54" i="11" s="1"/>
  <c r="CB163" i="11"/>
  <c r="AO163" i="11"/>
  <c r="CL230" i="11"/>
  <c r="CL234" i="11"/>
  <c r="F40" i="20"/>
  <c r="F89" i="31"/>
  <c r="AJ88" i="31"/>
  <c r="CL53" i="11"/>
  <c r="CL54" i="11" s="1"/>
  <c r="CL64" i="11"/>
  <c r="CK55" i="11"/>
  <c r="BR53" i="11"/>
  <c r="BR64" i="11"/>
  <c r="BV123" i="11"/>
  <c r="BV122" i="11" s="1"/>
  <c r="BW122" i="11"/>
  <c r="CP166" i="11"/>
  <c r="CN162" i="11"/>
  <c r="CN163" i="11" s="1"/>
  <c r="CO53" i="11"/>
  <c r="CO54" i="11" s="1"/>
  <c r="CN55" i="11"/>
  <c r="CO64" i="11"/>
  <c r="AW201" i="11"/>
  <c r="AW200" i="11" s="1"/>
  <c r="BN53" i="11"/>
  <c r="BN54" i="11" s="1"/>
  <c r="BN64" i="11"/>
  <c r="BM55" i="11"/>
  <c r="BT64" i="11"/>
  <c r="BS55" i="11"/>
  <c r="BT53" i="11"/>
  <c r="BT54" i="11" s="1"/>
  <c r="CC164" i="11"/>
  <c r="CB166" i="11"/>
  <c r="CC175" i="11"/>
  <c r="BR175" i="11"/>
  <c r="BR164" i="11"/>
  <c r="BU185" i="11"/>
  <c r="BU224" i="11"/>
  <c r="BU211" i="11"/>
  <c r="BU198" i="11"/>
  <c r="BF230" i="11"/>
  <c r="BD230" i="11" s="1"/>
  <c r="BF234" i="11"/>
  <c r="BF233" i="11" s="1"/>
  <c r="AZ39" i="22"/>
  <c r="AV39" i="22"/>
  <c r="AR39" i="22"/>
  <c r="AN39" i="22"/>
  <c r="AJ39" i="22"/>
  <c r="AF39" i="22"/>
  <c r="BC39" i="22"/>
  <c r="AY39" i="22"/>
  <c r="AU39" i="22"/>
  <c r="AQ39" i="22"/>
  <c r="AM39" i="22"/>
  <c r="AI39" i="22"/>
  <c r="AE39" i="22"/>
  <c r="F40" i="22"/>
  <c r="BB39" i="22"/>
  <c r="AX39" i="22"/>
  <c r="AT39" i="22"/>
  <c r="AP39" i="22"/>
  <c r="AL39" i="22"/>
  <c r="BA39" i="22"/>
  <c r="AW39" i="22"/>
  <c r="AS39" i="22"/>
  <c r="AO39" i="22"/>
  <c r="AK39" i="22"/>
  <c r="AG39" i="22"/>
  <c r="CH163" i="11"/>
  <c r="AN113" i="11"/>
  <c r="AN100" i="11"/>
  <c r="AN87" i="11"/>
  <c r="AN74" i="11"/>
  <c r="AS29" i="22"/>
  <c r="AZ29" i="22"/>
  <c r="AJ29" i="22"/>
  <c r="AU29" i="22"/>
  <c r="AE29" i="22"/>
  <c r="AT29" i="22"/>
  <c r="BA29" i="22"/>
  <c r="BB29" i="22"/>
  <c r="AL29" i="22"/>
  <c r="AO29" i="22"/>
  <c r="AV29" i="22"/>
  <c r="AF29" i="22"/>
  <c r="AQ29" i="22"/>
  <c r="AP29" i="22"/>
  <c r="AK29" i="22"/>
  <c r="AM29" i="22"/>
  <c r="AW29" i="22"/>
  <c r="AG29" i="22"/>
  <c r="AN29" i="22"/>
  <c r="AY29" i="22"/>
  <c r="AI29" i="22"/>
  <c r="AX29" i="22"/>
  <c r="AR29" i="22"/>
  <c r="BC29" i="22"/>
  <c r="CA64" i="11"/>
  <c r="CA53" i="11"/>
  <c r="CA54" i="11" s="1"/>
  <c r="BI113" i="11"/>
  <c r="BI74" i="11"/>
  <c r="BI100" i="11"/>
  <c r="BI87" i="11"/>
  <c r="AY175" i="11"/>
  <c r="AX166" i="11"/>
  <c r="AY164" i="11"/>
  <c r="AY165" i="11" s="1"/>
  <c r="BW175" i="11"/>
  <c r="BV166" i="11"/>
  <c r="BW164" i="11"/>
  <c r="AQ175" i="11"/>
  <c r="AQ164" i="11"/>
  <c r="AQ165" i="11" s="1"/>
  <c r="CM163" i="11"/>
  <c r="CP163" i="11"/>
  <c r="BB163" i="11"/>
  <c r="BX163" i="11"/>
  <c r="CN51" i="11"/>
  <c r="CN52" i="11" s="1"/>
  <c r="T53" i="28"/>
  <c r="F54" i="28"/>
  <c r="BX113" i="11"/>
  <c r="BX100" i="11"/>
  <c r="BX87" i="11"/>
  <c r="BX74" i="11"/>
  <c r="F81" i="10"/>
  <c r="F82" i="10" s="1"/>
  <c r="F83" i="10" s="1"/>
  <c r="T80" i="10"/>
  <c r="T81" i="10" s="1"/>
  <c r="F59" i="8"/>
  <c r="U58" i="8"/>
  <c r="BU123" i="11"/>
  <c r="BU122" i="11" s="1"/>
  <c r="BU119" i="11"/>
  <c r="BU77" i="11"/>
  <c r="BU76" i="11" s="1"/>
  <c r="BU54" i="11"/>
  <c r="BC163" i="11"/>
  <c r="AZ164" i="11"/>
  <c r="AZ175" i="11"/>
  <c r="CJ175" i="11"/>
  <c r="CJ164" i="11"/>
  <c r="BY52" i="11"/>
  <c r="BF129" i="11"/>
  <c r="BF72" i="11"/>
  <c r="BF73" i="11" s="1"/>
  <c r="BF77" i="11"/>
  <c r="BF76" i="11" s="1"/>
  <c r="CC53" i="11"/>
  <c r="CC54" i="11" s="1"/>
  <c r="CC64" i="11"/>
  <c r="CB55" i="11"/>
  <c r="CS129" i="11"/>
  <c r="CS72" i="11"/>
  <c r="CS73" i="11" s="1"/>
  <c r="CG103" i="11"/>
  <c r="CG102" i="11" s="1"/>
  <c r="BO119" i="11"/>
  <c r="BM119" i="11" s="1"/>
  <c r="BO123" i="11"/>
  <c r="BO122" i="11" s="1"/>
  <c r="CG129" i="11"/>
  <c r="CG72" i="11"/>
  <c r="CG73" i="11" s="1"/>
  <c r="AK109" i="11"/>
  <c r="AK96" i="11"/>
  <c r="AK83" i="11"/>
  <c r="AK70" i="11"/>
  <c r="AK136" i="11"/>
  <c r="AM119" i="11"/>
  <c r="AL119" i="11" s="1"/>
  <c r="AM123" i="11"/>
  <c r="CI119" i="11"/>
  <c r="CH119" i="11" s="1"/>
  <c r="CI123" i="11"/>
  <c r="BL164" i="11"/>
  <c r="BL175" i="11"/>
  <c r="T45" i="13"/>
  <c r="T44" i="13"/>
  <c r="BC49" i="21"/>
  <c r="AY49" i="21"/>
  <c r="BJ49" i="21" s="1"/>
  <c r="AU49" i="21"/>
  <c r="BF49" i="21" s="1"/>
  <c r="AQ49" i="21"/>
  <c r="AM49" i="21"/>
  <c r="AI49" i="21"/>
  <c r="BD49" i="21" s="1"/>
  <c r="AE49" i="21"/>
  <c r="F50" i="21"/>
  <c r="BB49" i="21"/>
  <c r="BM49" i="21" s="1"/>
  <c r="AX49" i="21"/>
  <c r="BI49" i="21" s="1"/>
  <c r="AT49" i="21"/>
  <c r="BE49" i="21" s="1"/>
  <c r="AP49" i="21"/>
  <c r="AL49" i="21"/>
  <c r="BA49" i="21"/>
  <c r="BL49" i="21" s="1"/>
  <c r="AW49" i="21"/>
  <c r="BH49" i="21" s="1"/>
  <c r="AS49" i="21"/>
  <c r="AO49" i="21"/>
  <c r="AK49" i="21"/>
  <c r="AG49" i="21"/>
  <c r="AZ49" i="21"/>
  <c r="BK49" i="21" s="1"/>
  <c r="AV49" i="21"/>
  <c r="BG49" i="21" s="1"/>
  <c r="AR49" i="21"/>
  <c r="AN49" i="21"/>
  <c r="AJ49" i="21"/>
  <c r="AF49" i="21"/>
  <c r="F34" i="30"/>
  <c r="F39" i="31"/>
  <c r="AJ38" i="31"/>
  <c r="BP52" i="11"/>
  <c r="CS77" i="11"/>
  <c r="CS76" i="11" s="1"/>
  <c r="BQ123" i="11"/>
  <c r="BQ119" i="11"/>
  <c r="BQ54" i="11"/>
  <c r="AM175" i="11"/>
  <c r="AL166" i="11"/>
  <c r="AM164" i="11"/>
  <c r="AM165" i="11" s="1"/>
  <c r="BK175" i="11"/>
  <c r="BJ166" i="11"/>
  <c r="BK164" i="11"/>
  <c r="AT230" i="11"/>
  <c r="AR230" i="11" s="1"/>
  <c r="AT234" i="11"/>
  <c r="AT233" i="11" s="1"/>
  <c r="F32" i="22"/>
  <c r="F56" i="17"/>
  <c r="F57" i="17" s="1"/>
  <c r="F58" i="17" s="1"/>
  <c r="T55" i="17"/>
  <c r="T56" i="17" s="1"/>
  <c r="T57" i="17" s="1"/>
  <c r="CR175" i="11"/>
  <c r="CR164" i="11"/>
  <c r="CQ166" i="11"/>
  <c r="BE164" i="11"/>
  <c r="BE165" i="11" s="1"/>
  <c r="BE175" i="11"/>
  <c r="BD166" i="11"/>
  <c r="F40" i="23"/>
  <c r="F41" i="23" s="1"/>
  <c r="F42" i="23" s="1"/>
  <c r="F43" i="23" s="1"/>
  <c r="F44" i="23" s="1"/>
  <c r="U31" i="8"/>
  <c r="F32" i="8"/>
  <c r="AR52" i="11"/>
  <c r="BL113" i="11"/>
  <c r="BL100" i="11"/>
  <c r="BL87" i="11"/>
  <c r="BL74" i="11"/>
  <c r="BZ55" i="11"/>
  <c r="BY51" i="11"/>
  <c r="BF85" i="11"/>
  <c r="BF86" i="11" s="1"/>
  <c r="BF90" i="11"/>
  <c r="BF89" i="11" s="1"/>
  <c r="AW240" i="11"/>
  <c r="AW183" i="11"/>
  <c r="AW184" i="11" s="1"/>
  <c r="BO64" i="11"/>
  <c r="BO53" i="11"/>
  <c r="BO54" i="11" s="1"/>
  <c r="CS188" i="11"/>
  <c r="CS187" i="11" s="1"/>
  <c r="BH64" i="11"/>
  <c r="BG55" i="11"/>
  <c r="BH53" i="11"/>
  <c r="BH54" i="11" s="1"/>
  <c r="BG54" i="11" s="1"/>
  <c r="AS53" i="11"/>
  <c r="AS54" i="11" s="1"/>
  <c r="AR55" i="11"/>
  <c r="AS64" i="11"/>
  <c r="AS185" i="11"/>
  <c r="AS224" i="11"/>
  <c r="AS211" i="11"/>
  <c r="AS198" i="11"/>
  <c r="CO185" i="11"/>
  <c r="CO224" i="11"/>
  <c r="CO211" i="11"/>
  <c r="CO198" i="11"/>
  <c r="CG214" i="11"/>
  <c r="CG213" i="11" s="1"/>
  <c r="CG230" i="11"/>
  <c r="CG223" i="11"/>
  <c r="CG201" i="11"/>
  <c r="CG200" i="11" s="1"/>
  <c r="CG210" i="11"/>
  <c r="CG188" i="11"/>
  <c r="CG187" i="11" s="1"/>
  <c r="CG165" i="11"/>
  <c r="CG234" i="11"/>
  <c r="CG233" i="11" s="1"/>
  <c r="CG227" i="11"/>
  <c r="CG226" i="11" s="1"/>
  <c r="BK234" i="11"/>
  <c r="BK230" i="11"/>
  <c r="BK165" i="11"/>
  <c r="CF234" i="11"/>
  <c r="CF230" i="11"/>
  <c r="CE230" i="11" s="1"/>
  <c r="CD175" i="11"/>
  <c r="CD164" i="11"/>
  <c r="CD165" i="11" s="1"/>
  <c r="AP163" i="11"/>
  <c r="CL166" i="11"/>
  <c r="CK162" i="11"/>
  <c r="CK163" i="11" s="1"/>
  <c r="BL163" i="11"/>
  <c r="F34" i="26"/>
  <c r="CF64" i="11"/>
  <c r="CE55" i="11"/>
  <c r="CF53" i="11"/>
  <c r="CF54" i="11" s="1"/>
  <c r="CE54" i="11" s="1"/>
  <c r="BH233" i="11"/>
  <c r="BG234" i="11"/>
  <c r="BG233" i="11" s="1"/>
  <c r="BR52" i="11"/>
  <c r="AW90" i="11"/>
  <c r="AW89" i="11" s="1"/>
  <c r="CS90" i="11"/>
  <c r="CS89" i="11" s="1"/>
  <c r="BU100" i="11"/>
  <c r="BU98" i="11" s="1"/>
  <c r="BU99" i="11" s="1"/>
  <c r="BU113" i="11"/>
  <c r="BU111" i="11" s="1"/>
  <c r="BU112" i="11" s="1"/>
  <c r="BU74" i="11"/>
  <c r="BU87" i="11"/>
  <c r="BU85" i="11" s="1"/>
  <c r="BU86" i="11" s="1"/>
  <c r="BP51" i="11"/>
  <c r="BT122" i="11"/>
  <c r="BS123" i="11"/>
  <c r="BS122" i="11" s="1"/>
  <c r="CR64" i="11"/>
  <c r="CQ55" i="11"/>
  <c r="CR53" i="11"/>
  <c r="CR54" i="11" s="1"/>
  <c r="CQ54" i="11" s="1"/>
  <c r="AV164" i="11"/>
  <c r="AV165" i="11" s="1"/>
  <c r="AU165" i="11" s="1"/>
  <c r="AV175" i="11"/>
  <c r="AU166" i="11"/>
  <c r="BJ162" i="11"/>
  <c r="BJ163" i="11" s="1"/>
  <c r="CF175" i="11"/>
  <c r="CF164" i="11"/>
  <c r="CF165" i="11" s="1"/>
  <c r="CE165" i="11" s="1"/>
  <c r="CE166" i="11"/>
  <c r="BO163" i="11"/>
  <c r="AT166" i="11"/>
  <c r="AR162" i="11"/>
  <c r="AR163" i="11" s="1"/>
  <c r="BA163" i="11"/>
  <c r="CI64" i="11"/>
  <c r="CH55" i="11"/>
  <c r="CI53" i="11"/>
  <c r="CI54" i="11" s="1"/>
  <c r="CH54" i="11" s="1"/>
  <c r="BG119" i="11"/>
  <c r="AW227" i="11"/>
  <c r="AW226" i="11" s="1"/>
  <c r="BD163" i="11"/>
  <c r="BN166" i="11"/>
  <c r="BM162" i="11"/>
  <c r="BM163" i="11" s="1"/>
  <c r="A30" i="16"/>
  <c r="F32" i="16"/>
  <c r="F72" i="26"/>
  <c r="AZ113" i="11"/>
  <c r="AZ100" i="11"/>
  <c r="AZ87" i="11"/>
  <c r="AZ74" i="11"/>
  <c r="F46" i="10"/>
  <c r="F47" i="10" s="1"/>
  <c r="BM51" i="11"/>
  <c r="BM52" i="11" s="1"/>
  <c r="AT52" i="11"/>
  <c r="CD53" i="11"/>
  <c r="CD54" i="11" s="1"/>
  <c r="CD64" i="11"/>
  <c r="CP52" i="11"/>
  <c r="AW129" i="11"/>
  <c r="AW72" i="11"/>
  <c r="AW73" i="11" s="1"/>
  <c r="BC64" i="11"/>
  <c r="BC53" i="11"/>
  <c r="BC54" i="11" s="1"/>
  <c r="CC230" i="11"/>
  <c r="CB230" i="11" s="1"/>
  <c r="CC165" i="11"/>
  <c r="CC234" i="11"/>
  <c r="CB162" i="11"/>
  <c r="CA163" i="11"/>
  <c r="T36" i="12"/>
  <c r="T35" i="12"/>
  <c r="T76" i="12"/>
  <c r="T77" i="12"/>
  <c r="A32" i="13"/>
  <c r="AI41" i="19"/>
  <c r="AL41" i="19" s="1"/>
  <c r="AG41" i="19"/>
  <c r="AH41" i="19" s="1"/>
  <c r="CM64" i="11"/>
  <c r="CM53" i="11"/>
  <c r="CC122" i="11"/>
  <c r="CB123" i="11"/>
  <c r="CB122" i="11" s="1"/>
  <c r="BA119" i="11"/>
  <c r="BB122" i="11"/>
  <c r="BA123" i="11"/>
  <c r="BA122" i="11" s="1"/>
  <c r="AM64" i="11"/>
  <c r="AL55" i="11"/>
  <c r="AM53" i="11"/>
  <c r="AM54" i="11" s="1"/>
  <c r="AL54" i="11" s="1"/>
  <c r="CO233" i="11"/>
  <c r="BF175" i="11"/>
  <c r="BF164" i="11"/>
  <c r="BF165" i="11" s="1"/>
  <c r="BQ233" i="11"/>
  <c r="AN164" i="11"/>
  <c r="AN175" i="11"/>
  <c r="AY233" i="11"/>
  <c r="BS230" i="11"/>
  <c r="AV122" i="11"/>
  <c r="AU123" i="11"/>
  <c r="AU122" i="11" s="1"/>
  <c r="CR122" i="11"/>
  <c r="CQ123" i="11"/>
  <c r="CQ122" i="11" s="1"/>
  <c r="T47" i="10" l="1"/>
  <c r="F48" i="10"/>
  <c r="F45" i="23"/>
  <c r="F46" i="23" s="1"/>
  <c r="F47" i="23" s="1"/>
  <c r="F48" i="23" s="1"/>
  <c r="F49" i="23" s="1"/>
  <c r="BC36" i="22"/>
  <c r="BB36" i="22"/>
  <c r="BM36" i="22" s="1"/>
  <c r="BM29" i="22"/>
  <c r="AW46" i="22"/>
  <c r="BH46" i="22" s="1"/>
  <c r="BH39" i="22"/>
  <c r="AJ46" i="22"/>
  <c r="AZ46" i="22"/>
  <c r="BK46" i="22" s="1"/>
  <c r="BK39" i="22"/>
  <c r="BU240" i="11"/>
  <c r="BU183" i="11"/>
  <c r="BU184" i="11" s="1"/>
  <c r="BU188" i="11"/>
  <c r="BU187" i="11" s="1"/>
  <c r="BR224" i="11"/>
  <c r="BR222" i="11" s="1"/>
  <c r="BR211" i="11"/>
  <c r="BR209" i="11" s="1"/>
  <c r="BR198" i="11"/>
  <c r="BR196" i="11" s="1"/>
  <c r="BR185" i="11"/>
  <c r="BS54" i="11"/>
  <c r="BN113" i="11"/>
  <c r="BN100" i="11"/>
  <c r="BN87" i="11"/>
  <c r="BM64" i="11"/>
  <c r="BN74" i="11"/>
  <c r="CN53" i="11"/>
  <c r="CN58" i="11"/>
  <c r="CN57" i="11" s="1"/>
  <c r="CK58" i="11"/>
  <c r="CK57" i="11" s="1"/>
  <c r="CK53" i="11"/>
  <c r="CL233" i="11"/>
  <c r="BA58" i="11"/>
  <c r="BA57" i="11" s="1"/>
  <c r="BA53" i="11"/>
  <c r="U143" i="11"/>
  <c r="S144" i="11"/>
  <c r="F79" i="12"/>
  <c r="T78" i="12"/>
  <c r="CS236" i="11"/>
  <c r="CS244" i="11"/>
  <c r="CS247" i="11"/>
  <c r="BV53" i="11"/>
  <c r="BV58" i="11"/>
  <c r="BV57" i="11" s="1"/>
  <c r="BP53" i="11"/>
  <c r="BP58" i="11"/>
  <c r="BP57" i="11" s="1"/>
  <c r="AQ113" i="11"/>
  <c r="AQ100" i="11"/>
  <c r="AQ87" i="11"/>
  <c r="AQ74" i="11"/>
  <c r="BZ175" i="11"/>
  <c r="BY166" i="11"/>
  <c r="BZ164" i="11"/>
  <c r="BQ185" i="11"/>
  <c r="BQ224" i="11"/>
  <c r="BQ211" i="11"/>
  <c r="BQ198" i="11"/>
  <c r="BP175" i="11"/>
  <c r="BT198" i="11"/>
  <c r="BT185" i="11"/>
  <c r="BS175" i="11"/>
  <c r="BT224" i="11"/>
  <c r="BT211" i="11"/>
  <c r="AP113" i="11"/>
  <c r="AP100" i="11"/>
  <c r="AP87" i="11"/>
  <c r="AO64" i="11"/>
  <c r="AP74" i="11"/>
  <c r="BE100" i="11"/>
  <c r="BE113" i="11"/>
  <c r="BE74" i="11"/>
  <c r="BD64" i="11"/>
  <c r="BE87" i="11"/>
  <c r="F46" i="19"/>
  <c r="T45" i="19"/>
  <c r="AT113" i="11"/>
  <c r="AT111" i="11" s="1"/>
  <c r="AT100" i="11"/>
  <c r="AT98" i="11" s="1"/>
  <c r="AT87" i="11"/>
  <c r="AT85" i="11" s="1"/>
  <c r="AT74" i="11"/>
  <c r="CI211" i="11"/>
  <c r="CI198" i="11"/>
  <c r="CI185" i="11"/>
  <c r="CH175" i="11"/>
  <c r="CI224" i="11"/>
  <c r="BI240" i="11"/>
  <c r="BI183" i="11"/>
  <c r="BI184" i="11" s="1"/>
  <c r="CJ129" i="11"/>
  <c r="CJ72" i="11"/>
  <c r="CJ73" i="11" s="1"/>
  <c r="CJ77" i="11"/>
  <c r="CJ76" i="11" s="1"/>
  <c r="F58" i="29"/>
  <c r="T57" i="29"/>
  <c r="BI188" i="11"/>
  <c r="BI187" i="11" s="1"/>
  <c r="F73" i="26"/>
  <c r="CF113" i="11"/>
  <c r="CF100" i="11"/>
  <c r="CF87" i="11"/>
  <c r="CF74" i="11"/>
  <c r="CE64" i="11"/>
  <c r="CO209" i="11"/>
  <c r="CO210" i="11" s="1"/>
  <c r="CO214" i="11"/>
  <c r="AS240" i="11"/>
  <c r="AS183" i="11"/>
  <c r="AS184" i="11" s="1"/>
  <c r="AS188" i="11"/>
  <c r="CB54" i="11"/>
  <c r="AZ198" i="11"/>
  <c r="AZ196" i="11" s="1"/>
  <c r="AZ185" i="11"/>
  <c r="AZ224" i="11"/>
  <c r="AZ222" i="11" s="1"/>
  <c r="AZ211" i="11"/>
  <c r="AZ209" i="11" s="1"/>
  <c r="F60" i="8"/>
  <c r="U59" i="8"/>
  <c r="BX85" i="11"/>
  <c r="BX86" i="11" s="1"/>
  <c r="BX90" i="11"/>
  <c r="BX89" i="11" s="1"/>
  <c r="F55" i="28"/>
  <c r="T54" i="28"/>
  <c r="BX234" i="11"/>
  <c r="BX233" i="11" s="1"/>
  <c r="BX230" i="11"/>
  <c r="BX165" i="11"/>
  <c r="BV165" i="11" s="1"/>
  <c r="BW211" i="11"/>
  <c r="BW198" i="11"/>
  <c r="BW185" i="11"/>
  <c r="BV175" i="11"/>
  <c r="BW224" i="11"/>
  <c r="BI85" i="11"/>
  <c r="BI86" i="11" s="1"/>
  <c r="BI90" i="11"/>
  <c r="BI89" i="11" s="1"/>
  <c r="AN98" i="11"/>
  <c r="AN99" i="11" s="1"/>
  <c r="AN103" i="11"/>
  <c r="AN102" i="11" s="1"/>
  <c r="AU46" i="22"/>
  <c r="BF46" i="22" s="1"/>
  <c r="BF39" i="22"/>
  <c r="AZ129" i="11"/>
  <c r="AZ72" i="11"/>
  <c r="AZ73" i="11" s="1"/>
  <c r="AZ77" i="11"/>
  <c r="AZ76" i="11" s="1"/>
  <c r="CE169" i="11"/>
  <c r="CE168" i="11" s="1"/>
  <c r="CE164" i="11"/>
  <c r="AU169" i="11"/>
  <c r="AU168" i="11" s="1"/>
  <c r="AU164" i="11"/>
  <c r="CQ58" i="11"/>
  <c r="CQ57" i="11" s="1"/>
  <c r="CQ53" i="11"/>
  <c r="CD224" i="11"/>
  <c r="CD211" i="11"/>
  <c r="CD198" i="11"/>
  <c r="CD185" i="11"/>
  <c r="BG58" i="11"/>
  <c r="BG57" i="11" s="1"/>
  <c r="BG53" i="11"/>
  <c r="AL169" i="11"/>
  <c r="AL168" i="11" s="1"/>
  <c r="AL164" i="11"/>
  <c r="BL198" i="11"/>
  <c r="BL196" i="11" s="1"/>
  <c r="BL185" i="11"/>
  <c r="BL224" i="11"/>
  <c r="BL222" i="11" s="1"/>
  <c r="BL211" i="11"/>
  <c r="BL209" i="11" s="1"/>
  <c r="CS133" i="11"/>
  <c r="CS136" i="11"/>
  <c r="CS125" i="11"/>
  <c r="BU116" i="11"/>
  <c r="BU115" i="11" s="1"/>
  <c r="BX98" i="11"/>
  <c r="BX99" i="11" s="1"/>
  <c r="BX103" i="11"/>
  <c r="BX102" i="11" s="1"/>
  <c r="BB230" i="11"/>
  <c r="BB234" i="11"/>
  <c r="AQ211" i="11"/>
  <c r="AQ198" i="11"/>
  <c r="AQ185" i="11"/>
  <c r="AQ224" i="11"/>
  <c r="BI98" i="11"/>
  <c r="BI99" i="11" s="1"/>
  <c r="BI103" i="11"/>
  <c r="BI102" i="11" s="1"/>
  <c r="CA113" i="11"/>
  <c r="CA100" i="11"/>
  <c r="CA87" i="11"/>
  <c r="CA74" i="11"/>
  <c r="AR36" i="22"/>
  <c r="AN36" i="22"/>
  <c r="AK36" i="22"/>
  <c r="AV36" i="22"/>
  <c r="BG36" i="22" s="1"/>
  <c r="BG29" i="22"/>
  <c r="BA36" i="22"/>
  <c r="BL36" i="22" s="1"/>
  <c r="BL29" i="22"/>
  <c r="AJ36" i="22"/>
  <c r="AN111" i="11"/>
  <c r="AN112" i="11" s="1"/>
  <c r="AN116" i="11"/>
  <c r="AN115" i="11" s="1"/>
  <c r="AK46" i="22"/>
  <c r="BA46" i="22"/>
  <c r="BL46" i="22" s="1"/>
  <c r="BL39" i="22"/>
  <c r="AX46" i="22"/>
  <c r="BI46" i="22" s="1"/>
  <c r="BI39" i="22"/>
  <c r="BD39" i="22"/>
  <c r="AI46" i="22"/>
  <c r="BD46" i="22" s="1"/>
  <c r="AY46" i="22"/>
  <c r="BJ46" i="22" s="1"/>
  <c r="BJ39" i="22"/>
  <c r="AN46" i="22"/>
  <c r="BU196" i="11"/>
  <c r="BU197" i="11" s="1"/>
  <c r="BU201" i="11"/>
  <c r="BU200" i="11" s="1"/>
  <c r="CC185" i="11"/>
  <c r="CB175" i="11"/>
  <c r="CC224" i="11"/>
  <c r="CC211" i="11"/>
  <c r="CC198" i="11"/>
  <c r="BS58" i="11"/>
  <c r="BS57" i="11" s="1"/>
  <c r="BS53" i="11"/>
  <c r="BM54" i="11"/>
  <c r="CL113" i="11"/>
  <c r="CL100" i="11"/>
  <c r="CL87" i="11"/>
  <c r="CK64" i="11"/>
  <c r="CK61" i="11" s="1"/>
  <c r="CL74" i="11"/>
  <c r="F90" i="31"/>
  <c r="AJ89" i="31"/>
  <c r="BB40" i="20"/>
  <c r="AX40" i="20"/>
  <c r="AT40" i="20"/>
  <c r="AP40" i="20"/>
  <c r="AL40" i="20"/>
  <c r="BA40" i="20"/>
  <c r="AW40" i="20"/>
  <c r="AS40" i="20"/>
  <c r="AO40" i="20"/>
  <c r="AK40" i="20"/>
  <c r="F41" i="20"/>
  <c r="AZ40" i="20"/>
  <c r="AV40" i="20"/>
  <c r="AR40" i="20"/>
  <c r="AN40" i="20"/>
  <c r="AJ40" i="20"/>
  <c r="BC40" i="20"/>
  <c r="AY40" i="20"/>
  <c r="AU40" i="20"/>
  <c r="AQ40" i="20"/>
  <c r="AM40" i="20"/>
  <c r="AI40" i="20"/>
  <c r="BB113" i="11"/>
  <c r="BB100" i="11"/>
  <c r="BB87" i="11"/>
  <c r="BA64" i="11"/>
  <c r="BA61" i="11" s="1"/>
  <c r="BB74" i="11"/>
  <c r="CJ234" i="11"/>
  <c r="CJ230" i="11"/>
  <c r="CH230" i="11" s="1"/>
  <c r="CJ165" i="11"/>
  <c r="S32" i="11"/>
  <c r="U31" i="11"/>
  <c r="CA211" i="11"/>
  <c r="CA209" i="11" s="1"/>
  <c r="CA198" i="11"/>
  <c r="CA196" i="11" s="1"/>
  <c r="CA185" i="11"/>
  <c r="CA224" i="11"/>
  <c r="CA222" i="11" s="1"/>
  <c r="BW113" i="11"/>
  <c r="BW100" i="11"/>
  <c r="BW87" i="11"/>
  <c r="BW74" i="11"/>
  <c r="BV64" i="11"/>
  <c r="BV61" i="11" s="1"/>
  <c r="BQ74" i="11"/>
  <c r="BP64" i="11"/>
  <c r="BP61" i="11" s="1"/>
  <c r="BQ113" i="11"/>
  <c r="BQ100" i="11"/>
  <c r="BQ87" i="11"/>
  <c r="CF122" i="11"/>
  <c r="CE123" i="11"/>
  <c r="CE122" i="11" s="1"/>
  <c r="F76" i="25"/>
  <c r="T75" i="25"/>
  <c r="F34" i="29"/>
  <c r="T33" i="29"/>
  <c r="BR230" i="11"/>
  <c r="BP230" i="11" s="1"/>
  <c r="BR223" i="11"/>
  <c r="BR201" i="11"/>
  <c r="BR200" i="11" s="1"/>
  <c r="BR210" i="11"/>
  <c r="BR188" i="11"/>
  <c r="BR187" i="11" s="1"/>
  <c r="BR165" i="11"/>
  <c r="BR234" i="11"/>
  <c r="BR227" i="11"/>
  <c r="BR226" i="11" s="1"/>
  <c r="BR197" i="11"/>
  <c r="BR214" i="11"/>
  <c r="BR213" i="11" s="1"/>
  <c r="BP164" i="11"/>
  <c r="BP172" i="11"/>
  <c r="BP169" i="11"/>
  <c r="BP168" i="11" s="1"/>
  <c r="AZ31" i="21"/>
  <c r="BK31" i="21" s="1"/>
  <c r="AV31" i="21"/>
  <c r="BG31" i="21" s="1"/>
  <c r="AR31" i="21"/>
  <c r="AN31" i="21"/>
  <c r="AJ31" i="21"/>
  <c r="AF31" i="21"/>
  <c r="BC31" i="21"/>
  <c r="AY31" i="21"/>
  <c r="BJ31" i="21" s="1"/>
  <c r="AU31" i="21"/>
  <c r="BF31" i="21" s="1"/>
  <c r="AQ31" i="21"/>
  <c r="AM31" i="21"/>
  <c r="AI31" i="21"/>
  <c r="BD31" i="21" s="1"/>
  <c r="AE31" i="21"/>
  <c r="F32" i="21"/>
  <c r="BB31" i="21"/>
  <c r="BM31" i="21" s="1"/>
  <c r="AX31" i="21"/>
  <c r="BI31" i="21" s="1"/>
  <c r="AT31" i="21"/>
  <c r="BE31" i="21" s="1"/>
  <c r="AP31" i="21"/>
  <c r="AL31" i="21"/>
  <c r="BA31" i="21"/>
  <c r="BL31" i="21" s="1"/>
  <c r="AW31" i="21"/>
  <c r="BH31" i="21" s="1"/>
  <c r="AS31" i="21"/>
  <c r="AO31" i="21"/>
  <c r="AK31" i="21"/>
  <c r="AG31" i="21"/>
  <c r="AH31" i="21" s="1"/>
  <c r="CR233" i="11"/>
  <c r="CQ234" i="11"/>
  <c r="CQ233" i="11" s="1"/>
  <c r="F58" i="16"/>
  <c r="F56" i="16"/>
  <c r="F55" i="16"/>
  <c r="AO54" i="11"/>
  <c r="BH198" i="11"/>
  <c r="BH185" i="11"/>
  <c r="BG175" i="11"/>
  <c r="BH224" i="11"/>
  <c r="BH211" i="11"/>
  <c r="BC211" i="11"/>
  <c r="BC209" i="11" s="1"/>
  <c r="BC198" i="11"/>
  <c r="BC196" i="11" s="1"/>
  <c r="BC185" i="11"/>
  <c r="BC224" i="11"/>
  <c r="BC222" i="11" s="1"/>
  <c r="F37" i="13"/>
  <c r="A36" i="13"/>
  <c r="T36" i="13"/>
  <c r="BV230" i="11"/>
  <c r="AB55" i="8"/>
  <c r="W55" i="8"/>
  <c r="CJ85" i="11"/>
  <c r="CJ86" i="11" s="1"/>
  <c r="CJ90" i="11"/>
  <c r="CJ89" i="11" s="1"/>
  <c r="BN233" i="11"/>
  <c r="BB175" i="11"/>
  <c r="BA166" i="11"/>
  <c r="BB164" i="11"/>
  <c r="BB165" i="11" s="1"/>
  <c r="BA165" i="11" s="1"/>
  <c r="AU58" i="11"/>
  <c r="AU57" i="11" s="1"/>
  <c r="AU53" i="11"/>
  <c r="AZ111" i="11"/>
  <c r="AZ112" i="11" s="1"/>
  <c r="AZ116" i="11"/>
  <c r="AZ115" i="11" s="1"/>
  <c r="BO234" i="11"/>
  <c r="BO233" i="11" s="1"/>
  <c r="BO230" i="11"/>
  <c r="BO165" i="11"/>
  <c r="BL234" i="11"/>
  <c r="BL233" i="11" s="1"/>
  <c r="BL227" i="11"/>
  <c r="BL226" i="11" s="1"/>
  <c r="BL197" i="11"/>
  <c r="BL214" i="11"/>
  <c r="BL213" i="11" s="1"/>
  <c r="BL230" i="11"/>
  <c r="BJ230" i="11" s="1"/>
  <c r="BL223" i="11"/>
  <c r="BL201" i="11"/>
  <c r="BL200" i="11" s="1"/>
  <c r="BL165" i="11"/>
  <c r="BJ165" i="11" s="1"/>
  <c r="BL188" i="11"/>
  <c r="BL187" i="11" s="1"/>
  <c r="BL210" i="11"/>
  <c r="AY36" i="22"/>
  <c r="BJ36" i="22" s="1"/>
  <c r="BJ29" i="22"/>
  <c r="AU36" i="22"/>
  <c r="BF36" i="22" s="1"/>
  <c r="BF29" i="22"/>
  <c r="AT46" i="22"/>
  <c r="BE46" i="22" s="1"/>
  <c r="BE39" i="22"/>
  <c r="AS196" i="11"/>
  <c r="AS197" i="11" s="1"/>
  <c r="AS201" i="11"/>
  <c r="AN198" i="11"/>
  <c r="AN196" i="11" s="1"/>
  <c r="AN185" i="11"/>
  <c r="AN224" i="11"/>
  <c r="AN222" i="11" s="1"/>
  <c r="AN211" i="11"/>
  <c r="AN209" i="11" s="1"/>
  <c r="AM113" i="11"/>
  <c r="AM100" i="11"/>
  <c r="AM87" i="11"/>
  <c r="AM74" i="11"/>
  <c r="AL64" i="11"/>
  <c r="CB165" i="11"/>
  <c r="AW133" i="11"/>
  <c r="AW136" i="11"/>
  <c r="AW125" i="11"/>
  <c r="AT123" i="11"/>
  <c r="AT116" i="11"/>
  <c r="AT115" i="11" s="1"/>
  <c r="AT103" i="11"/>
  <c r="AT102" i="11" s="1"/>
  <c r="AT119" i="11"/>
  <c r="AR119" i="11" s="1"/>
  <c r="AT112" i="11"/>
  <c r="AT90" i="11"/>
  <c r="AT89" i="11" s="1"/>
  <c r="AT99" i="11"/>
  <c r="AT77" i="11"/>
  <c r="AT76" i="11" s="1"/>
  <c r="AT54" i="11"/>
  <c r="AT86" i="11"/>
  <c r="AZ85" i="11"/>
  <c r="AZ86" i="11" s="1"/>
  <c r="AZ90" i="11"/>
  <c r="AZ89" i="11" s="1"/>
  <c r="A32" i="16"/>
  <c r="CH53" i="11"/>
  <c r="CH58" i="11"/>
  <c r="CH57" i="11" s="1"/>
  <c r="AV198" i="11"/>
  <c r="AV185" i="11"/>
  <c r="AU175" i="11"/>
  <c r="AU172" i="11" s="1"/>
  <c r="AV224" i="11"/>
  <c r="AV211" i="11"/>
  <c r="CR113" i="11"/>
  <c r="CR100" i="11"/>
  <c r="CR87" i="11"/>
  <c r="CR74" i="11"/>
  <c r="CQ64" i="11"/>
  <c r="CQ61" i="11" s="1"/>
  <c r="F35" i="26"/>
  <c r="CL175" i="11"/>
  <c r="CK166" i="11"/>
  <c r="CL164" i="11"/>
  <c r="CL165" i="11" s="1"/>
  <c r="AS209" i="11"/>
  <c r="AS210" i="11" s="1"/>
  <c r="AS214" i="11"/>
  <c r="AR53" i="11"/>
  <c r="AR58" i="11"/>
  <c r="AR57" i="11" s="1"/>
  <c r="BH113" i="11"/>
  <c r="BH100" i="11"/>
  <c r="BH87" i="11"/>
  <c r="BH74" i="11"/>
  <c r="BG64" i="11"/>
  <c r="BG61" i="11" s="1"/>
  <c r="BL98" i="11"/>
  <c r="BL99" i="11" s="1"/>
  <c r="BL103" i="11"/>
  <c r="BL102" i="11" s="1"/>
  <c r="BE185" i="11"/>
  <c r="BE224" i="11"/>
  <c r="BE211" i="11"/>
  <c r="BE198" i="11"/>
  <c r="BD175" i="11"/>
  <c r="BJ169" i="11"/>
  <c r="BJ168" i="11" s="1"/>
  <c r="BJ164" i="11"/>
  <c r="AM211" i="11"/>
  <c r="AM198" i="11"/>
  <c r="AM185" i="11"/>
  <c r="AL175" i="11"/>
  <c r="AL172" i="11" s="1"/>
  <c r="AM224" i="11"/>
  <c r="BQ122" i="11"/>
  <c r="F51" i="21"/>
  <c r="F52" i="21" s="1"/>
  <c r="BB50" i="21"/>
  <c r="BM50" i="21" s="1"/>
  <c r="AX50" i="21"/>
  <c r="BI50" i="21" s="1"/>
  <c r="AT50" i="21"/>
  <c r="BE50" i="21" s="1"/>
  <c r="AP50" i="21"/>
  <c r="AL50" i="21"/>
  <c r="BA50" i="21"/>
  <c r="BL50" i="21" s="1"/>
  <c r="AW50" i="21"/>
  <c r="BH50" i="21" s="1"/>
  <c r="AS50" i="21"/>
  <c r="AO50" i="21"/>
  <c r="AK50" i="21"/>
  <c r="AG50" i="21"/>
  <c r="AZ50" i="21"/>
  <c r="BK50" i="21" s="1"/>
  <c r="AV50" i="21"/>
  <c r="BG50" i="21" s="1"/>
  <c r="AR50" i="21"/>
  <c r="AN50" i="21"/>
  <c r="AJ50" i="21"/>
  <c r="AF50" i="21"/>
  <c r="BC50" i="21"/>
  <c r="AY50" i="21"/>
  <c r="BJ50" i="21" s="1"/>
  <c r="AU50" i="21"/>
  <c r="BF50" i="21" s="1"/>
  <c r="AQ50" i="21"/>
  <c r="AM50" i="21"/>
  <c r="AI50" i="21"/>
  <c r="BD50" i="21" s="1"/>
  <c r="AE50" i="21"/>
  <c r="CH123" i="11"/>
  <c r="CH122" i="11" s="1"/>
  <c r="CI122" i="11"/>
  <c r="AL123" i="11"/>
  <c r="AL122" i="11" s="1"/>
  <c r="AM122" i="11"/>
  <c r="CG133" i="11"/>
  <c r="CG136" i="11"/>
  <c r="CG125" i="11"/>
  <c r="CB53" i="11"/>
  <c r="CB58" i="11"/>
  <c r="CB57" i="11" s="1"/>
  <c r="CJ198" i="11"/>
  <c r="CJ196" i="11" s="1"/>
  <c r="CJ197" i="11" s="1"/>
  <c r="CJ185" i="11"/>
  <c r="CJ224" i="11"/>
  <c r="CJ222" i="11" s="1"/>
  <c r="CJ223" i="11" s="1"/>
  <c r="CJ211" i="11"/>
  <c r="CJ209" i="11" s="1"/>
  <c r="CJ210" i="11" s="1"/>
  <c r="BC210" i="11"/>
  <c r="BC188" i="11"/>
  <c r="BC187" i="11" s="1"/>
  <c r="BC234" i="11"/>
  <c r="BC233" i="11" s="1"/>
  <c r="BC227" i="11"/>
  <c r="BC226" i="11" s="1"/>
  <c r="BC197" i="11"/>
  <c r="BC214" i="11"/>
  <c r="BC213" i="11" s="1"/>
  <c r="BC230" i="11"/>
  <c r="BC223" i="11"/>
  <c r="BC201" i="11"/>
  <c r="BC200" i="11" s="1"/>
  <c r="BC165" i="11"/>
  <c r="BU90" i="11"/>
  <c r="BU89" i="11" s="1"/>
  <c r="T83" i="10"/>
  <c r="F84" i="10"/>
  <c r="BX111" i="11"/>
  <c r="BX112" i="11" s="1"/>
  <c r="BX116" i="11"/>
  <c r="BX115" i="11" s="1"/>
  <c r="CP230" i="11"/>
  <c r="CN230" i="11" s="1"/>
  <c r="CP234" i="11"/>
  <c r="AX169" i="11"/>
  <c r="AX168" i="11" s="1"/>
  <c r="AX164" i="11"/>
  <c r="BI129" i="11"/>
  <c r="BI72" i="11"/>
  <c r="BI73" i="11" s="1"/>
  <c r="BI77" i="11"/>
  <c r="BI76" i="11" s="1"/>
  <c r="AX36" i="22"/>
  <c r="BI36" i="22" s="1"/>
  <c r="BI29" i="22"/>
  <c r="AH29" i="22"/>
  <c r="AP36" i="22"/>
  <c r="AO36" i="22"/>
  <c r="AT36" i="22"/>
  <c r="BE36" i="22" s="1"/>
  <c r="BE29" i="22"/>
  <c r="AZ36" i="22"/>
  <c r="BK36" i="22" s="1"/>
  <c r="BK29" i="22"/>
  <c r="AN129" i="11"/>
  <c r="AN72" i="11"/>
  <c r="AN73" i="11" s="1"/>
  <c r="AN77" i="11"/>
  <c r="AN76" i="11" s="1"/>
  <c r="AO46" i="22"/>
  <c r="AL46" i="22"/>
  <c r="BB46" i="22"/>
  <c r="BM46" i="22" s="1"/>
  <c r="BM39" i="22"/>
  <c r="AM46" i="22"/>
  <c r="BC46" i="22"/>
  <c r="AR46" i="22"/>
  <c r="BU209" i="11"/>
  <c r="BU210" i="11" s="1"/>
  <c r="BU214" i="11"/>
  <c r="BU213" i="11" s="1"/>
  <c r="CB164" i="11"/>
  <c r="CB169" i="11"/>
  <c r="CB168" i="11" s="1"/>
  <c r="CB172" i="11"/>
  <c r="BT113" i="11"/>
  <c r="BT100" i="11"/>
  <c r="BT87" i="11"/>
  <c r="BT74" i="11"/>
  <c r="BS64" i="11"/>
  <c r="BS61" i="11" s="1"/>
  <c r="BR113" i="11"/>
  <c r="BR111" i="11" s="1"/>
  <c r="BR100" i="11"/>
  <c r="BR98" i="11" s="1"/>
  <c r="BR87" i="11"/>
  <c r="BR85" i="11" s="1"/>
  <c r="BR74" i="11"/>
  <c r="BJ53" i="11"/>
  <c r="BJ58" i="11"/>
  <c r="BJ57" i="11" s="1"/>
  <c r="BA54" i="11"/>
  <c r="BM123" i="11"/>
  <c r="BM122" i="11" s="1"/>
  <c r="AN234" i="11"/>
  <c r="AN227" i="11"/>
  <c r="AN226" i="11" s="1"/>
  <c r="AN197" i="11"/>
  <c r="AN214" i="11"/>
  <c r="AN213" i="11" s="1"/>
  <c r="AN230" i="11"/>
  <c r="AL230" i="11" s="1"/>
  <c r="AN223" i="11"/>
  <c r="AN201" i="11"/>
  <c r="AN200" i="11" s="1"/>
  <c r="AN188" i="11"/>
  <c r="AN187" i="11" s="1"/>
  <c r="AN165" i="11"/>
  <c r="AN210" i="11"/>
  <c r="F53" i="13"/>
  <c r="F54" i="13" s="1"/>
  <c r="A52" i="13"/>
  <c r="T52" i="13"/>
  <c r="BA31" i="20"/>
  <c r="AW31" i="20"/>
  <c r="AS31" i="20"/>
  <c r="AO31" i="20"/>
  <c r="AK31" i="20"/>
  <c r="F32" i="20"/>
  <c r="AZ31" i="20"/>
  <c r="AV31" i="20"/>
  <c r="AR31" i="20"/>
  <c r="AN31" i="20"/>
  <c r="AJ31" i="20"/>
  <c r="BC31" i="20"/>
  <c r="AY31" i="20"/>
  <c r="AU31" i="20"/>
  <c r="AQ31" i="20"/>
  <c r="AM31" i="20"/>
  <c r="AI31" i="20"/>
  <c r="BB31" i="20"/>
  <c r="AX31" i="20"/>
  <c r="AT31" i="20"/>
  <c r="AP31" i="20"/>
  <c r="AL31" i="20"/>
  <c r="AZ234" i="11"/>
  <c r="AZ227" i="11"/>
  <c r="AZ226" i="11" s="1"/>
  <c r="AZ197" i="11"/>
  <c r="AZ214" i="11"/>
  <c r="AZ213" i="11" s="1"/>
  <c r="AZ230" i="11"/>
  <c r="AX230" i="11" s="1"/>
  <c r="AZ223" i="11"/>
  <c r="AZ201" i="11"/>
  <c r="AZ200" i="11" s="1"/>
  <c r="AZ188" i="11"/>
  <c r="AZ187" i="11" s="1"/>
  <c r="AZ210" i="11"/>
  <c r="AZ165" i="11"/>
  <c r="AX165" i="11" s="1"/>
  <c r="AX53" i="11"/>
  <c r="AX58" i="11"/>
  <c r="AX57" i="11" s="1"/>
  <c r="F92" i="23"/>
  <c r="F93" i="23" s="1"/>
  <c r="F94" i="23" s="1"/>
  <c r="F95" i="23" s="1"/>
  <c r="F96" i="23" s="1"/>
  <c r="F40" i="9"/>
  <c r="U39" i="9"/>
  <c r="T37" i="12"/>
  <c r="F38" i="12"/>
  <c r="F35" i="16"/>
  <c r="T34" i="16"/>
  <c r="BP165" i="11"/>
  <c r="F48" i="13"/>
  <c r="A48" i="13" s="1"/>
  <c r="A46" i="13"/>
  <c r="T46" i="13"/>
  <c r="AP175" i="11"/>
  <c r="AO166" i="11"/>
  <c r="AP164" i="11"/>
  <c r="BS172" i="11"/>
  <c r="BS169" i="11"/>
  <c r="BS168" i="11" s="1"/>
  <c r="BS164" i="11"/>
  <c r="AR234" i="11"/>
  <c r="AR233" i="11" s="1"/>
  <c r="BG172" i="11"/>
  <c r="BG169" i="11"/>
  <c r="BG168" i="11" s="1"/>
  <c r="BG164" i="11"/>
  <c r="CP113" i="11"/>
  <c r="CP111" i="11" s="1"/>
  <c r="CP100" i="11"/>
  <c r="CP98" i="11" s="1"/>
  <c r="CP99" i="11" s="1"/>
  <c r="CP87" i="11"/>
  <c r="CP85" i="11" s="1"/>
  <c r="CP74" i="11"/>
  <c r="CH165" i="11"/>
  <c r="CJ98" i="11"/>
  <c r="CJ99" i="11" s="1"/>
  <c r="CJ103" i="11"/>
  <c r="CJ102" i="11" s="1"/>
  <c r="BI201" i="11"/>
  <c r="BI200" i="11" s="1"/>
  <c r="BI214" i="11"/>
  <c r="BI213" i="11" s="1"/>
  <c r="AV113" i="11"/>
  <c r="AV100" i="11"/>
  <c r="AV87" i="11"/>
  <c r="AV74" i="11"/>
  <c r="AU64" i="11"/>
  <c r="AU61" i="11" s="1"/>
  <c r="BC113" i="11"/>
  <c r="BC100" i="11"/>
  <c r="BC87" i="11"/>
  <c r="BC74" i="11"/>
  <c r="CD113" i="11"/>
  <c r="CD100" i="11"/>
  <c r="CD87" i="11"/>
  <c r="CD74" i="11"/>
  <c r="BR123" i="11"/>
  <c r="BR122" i="11" s="1"/>
  <c r="BR116" i="11"/>
  <c r="BR115" i="11" s="1"/>
  <c r="BR103" i="11"/>
  <c r="BR102" i="11" s="1"/>
  <c r="BR119" i="11"/>
  <c r="BP119" i="11" s="1"/>
  <c r="BR112" i="11"/>
  <c r="BR90" i="11"/>
  <c r="BR89" i="11" s="1"/>
  <c r="BR99" i="11"/>
  <c r="BR77" i="11"/>
  <c r="BR76" i="11" s="1"/>
  <c r="BR54" i="11"/>
  <c r="BP54" i="11" s="1"/>
  <c r="BR86" i="11"/>
  <c r="BL129" i="11"/>
  <c r="BL72" i="11"/>
  <c r="BL73" i="11" s="1"/>
  <c r="BL77" i="11"/>
  <c r="BL76" i="11" s="1"/>
  <c r="AL165" i="11"/>
  <c r="AM36" i="22"/>
  <c r="AH39" i="22"/>
  <c r="BF224" i="11"/>
  <c r="BF211" i="11"/>
  <c r="BF198" i="11"/>
  <c r="BF185" i="11"/>
  <c r="AL53" i="11"/>
  <c r="AL58" i="11"/>
  <c r="AL57" i="11" s="1"/>
  <c r="AL61" i="11"/>
  <c r="CM113" i="11"/>
  <c r="CM111" i="11" s="1"/>
  <c r="CM100" i="11"/>
  <c r="CM98" i="11" s="1"/>
  <c r="CM87" i="11"/>
  <c r="CM85" i="11" s="1"/>
  <c r="CM74" i="11"/>
  <c r="CA210" i="11"/>
  <c r="CA188" i="11"/>
  <c r="CA187" i="11" s="1"/>
  <c r="CA234" i="11"/>
  <c r="CA233" i="11" s="1"/>
  <c r="CA227" i="11"/>
  <c r="CA226" i="11" s="1"/>
  <c r="CA197" i="11"/>
  <c r="CA214" i="11"/>
  <c r="CA213" i="11" s="1"/>
  <c r="CA230" i="11"/>
  <c r="CA165" i="11"/>
  <c r="CA223" i="11"/>
  <c r="CA201" i="11"/>
  <c r="CA200" i="11" s="1"/>
  <c r="CB234" i="11"/>
  <c r="CB233" i="11" s="1"/>
  <c r="CC233" i="11"/>
  <c r="BN175" i="11"/>
  <c r="BM166" i="11"/>
  <c r="BN164" i="11"/>
  <c r="BN165" i="11" s="1"/>
  <c r="BM165" i="11" s="1"/>
  <c r="CF233" i="11"/>
  <c r="CE234" i="11"/>
  <c r="CE233" i="11" s="1"/>
  <c r="CO222" i="11"/>
  <c r="CO223" i="11" s="1"/>
  <c r="CO227" i="11"/>
  <c r="AS113" i="11"/>
  <c r="AS74" i="11"/>
  <c r="AR64" i="11"/>
  <c r="AR61" i="11" s="1"/>
  <c r="AS100" i="11"/>
  <c r="AS87" i="11"/>
  <c r="BO113" i="11"/>
  <c r="BO100" i="11"/>
  <c r="BO87" i="11"/>
  <c r="BO74" i="11"/>
  <c r="BL85" i="11"/>
  <c r="BL86" i="11" s="1"/>
  <c r="BL90" i="11"/>
  <c r="BL89" i="11" s="1"/>
  <c r="F33" i="8"/>
  <c r="U32" i="8"/>
  <c r="BD164" i="11"/>
  <c r="BD169" i="11"/>
  <c r="BD168" i="11" s="1"/>
  <c r="BD172" i="11"/>
  <c r="CQ169" i="11"/>
  <c r="CQ168" i="11" s="1"/>
  <c r="CQ164" i="11"/>
  <c r="F33" i="22"/>
  <c r="CP123" i="11"/>
  <c r="CP116" i="11"/>
  <c r="CP115" i="11" s="1"/>
  <c r="CP119" i="11"/>
  <c r="CN119" i="11" s="1"/>
  <c r="CP112" i="11"/>
  <c r="CP90" i="11"/>
  <c r="CP89" i="11" s="1"/>
  <c r="CP77" i="11"/>
  <c r="CP76" i="11" s="1"/>
  <c r="CP54" i="11"/>
  <c r="CN54" i="11" s="1"/>
  <c r="CP86" i="11"/>
  <c r="AZ98" i="11"/>
  <c r="AZ99" i="11" s="1"/>
  <c r="AZ103" i="11"/>
  <c r="AZ102" i="11" s="1"/>
  <c r="CI113" i="11"/>
  <c r="CI100" i="11"/>
  <c r="CI87" i="11"/>
  <c r="CI74" i="11"/>
  <c r="CH64" i="11"/>
  <c r="CH61" i="11" s="1"/>
  <c r="AT175" i="11"/>
  <c r="AT164" i="11"/>
  <c r="AT165" i="11" s="1"/>
  <c r="AR165" i="11" s="1"/>
  <c r="AR166" i="11"/>
  <c r="CF198" i="11"/>
  <c r="CF185" i="11"/>
  <c r="CE175" i="11"/>
  <c r="CE172" i="11" s="1"/>
  <c r="CF224" i="11"/>
  <c r="CF211" i="11"/>
  <c r="BU129" i="11"/>
  <c r="BU72" i="11"/>
  <c r="BU73" i="11" s="1"/>
  <c r="CE61" i="11"/>
  <c r="CE58" i="11"/>
  <c r="CE57" i="11" s="1"/>
  <c r="CE53" i="11"/>
  <c r="AP230" i="11"/>
  <c r="AO230" i="11" s="1"/>
  <c r="AP165" i="11"/>
  <c r="AO165" i="11" s="1"/>
  <c r="AP234" i="11"/>
  <c r="BK233" i="11"/>
  <c r="BJ234" i="11"/>
  <c r="BJ233" i="11" s="1"/>
  <c r="CO196" i="11"/>
  <c r="CO197" i="11" s="1"/>
  <c r="CO201" i="11"/>
  <c r="CO240" i="11"/>
  <c r="CO183" i="11"/>
  <c r="CO184" i="11" s="1"/>
  <c r="CO188" i="11"/>
  <c r="AS222" i="11"/>
  <c r="AS223" i="11" s="1"/>
  <c r="AS227" i="11"/>
  <c r="AR54" i="11"/>
  <c r="AW236" i="11"/>
  <c r="AW244" i="11"/>
  <c r="AW247" i="11"/>
  <c r="BZ53" i="11"/>
  <c r="BZ54" i="11" s="1"/>
  <c r="BY54" i="11" s="1"/>
  <c r="BZ64" i="11"/>
  <c r="BY55" i="11"/>
  <c r="BL111" i="11"/>
  <c r="BL112" i="11" s="1"/>
  <c r="BL116" i="11"/>
  <c r="BL115" i="11" s="1"/>
  <c r="BD165" i="11"/>
  <c r="CR198" i="11"/>
  <c r="CR185" i="11"/>
  <c r="CQ175" i="11"/>
  <c r="CQ172" i="11" s="1"/>
  <c r="CR224" i="11"/>
  <c r="CR211" i="11"/>
  <c r="F59" i="17"/>
  <c r="T58" i="17"/>
  <c r="H58" i="17"/>
  <c r="BK211" i="11"/>
  <c r="BK198" i="11"/>
  <c r="BK185" i="11"/>
  <c r="BJ175" i="11"/>
  <c r="BJ172" i="11" s="1"/>
  <c r="BK224" i="11"/>
  <c r="F40" i="31"/>
  <c r="F41" i="31" s="1"/>
  <c r="F42" i="31" s="1"/>
  <c r="F43" i="31" s="1"/>
  <c r="F44" i="31" s="1"/>
  <c r="F45" i="31" s="1"/>
  <c r="F46" i="31" s="1"/>
  <c r="F47" i="31" s="1"/>
  <c r="F48" i="31" s="1"/>
  <c r="F49" i="31" s="1"/>
  <c r="F50" i="31" s="1"/>
  <c r="F51" i="31" s="1"/>
  <c r="F52" i="31" s="1"/>
  <c r="F53" i="31" s="1"/>
  <c r="F54" i="31" s="1"/>
  <c r="F55" i="31" s="1"/>
  <c r="F56" i="31" s="1"/>
  <c r="F57" i="31" s="1"/>
  <c r="F58" i="31" s="1"/>
  <c r="F59" i="31" s="1"/>
  <c r="F60" i="31" s="1"/>
  <c r="F61" i="31" s="1"/>
  <c r="F62" i="31" s="1"/>
  <c r="F63" i="31" s="1"/>
  <c r="F64" i="31" s="1"/>
  <c r="F65" i="31" s="1"/>
  <c r="F66" i="31" s="1"/>
  <c r="F67" i="31" s="1"/>
  <c r="F68" i="31" s="1"/>
  <c r="F69" i="31" s="1"/>
  <c r="F70" i="31" s="1"/>
  <c r="F71" i="31" s="1"/>
  <c r="F72" i="31" s="1"/>
  <c r="F73" i="31" s="1"/>
  <c r="F74" i="31" s="1"/>
  <c r="F75" i="31" s="1"/>
  <c r="F76" i="31" s="1"/>
  <c r="F77" i="31" s="1"/>
  <c r="F78" i="31" s="1"/>
  <c r="F79" i="31" s="1"/>
  <c r="AJ39" i="31"/>
  <c r="F35" i="30"/>
  <c r="F36" i="30" s="1"/>
  <c r="F37" i="30" s="1"/>
  <c r="AH49" i="21"/>
  <c r="CC100" i="11"/>
  <c r="CC74" i="11"/>
  <c r="CB64" i="11"/>
  <c r="CB61" i="11" s="1"/>
  <c r="CC113" i="11"/>
  <c r="CC87" i="11"/>
  <c r="BF136" i="11"/>
  <c r="BF125" i="11"/>
  <c r="BF133" i="11"/>
  <c r="BU103" i="11"/>
  <c r="BU102" i="11" s="1"/>
  <c r="BX72" i="11"/>
  <c r="BX73" i="11" s="1"/>
  <c r="BX129" i="11"/>
  <c r="BX77" i="11"/>
  <c r="BX76" i="11" s="1"/>
  <c r="CM210" i="11"/>
  <c r="CM234" i="11"/>
  <c r="CM233" i="11" s="1"/>
  <c r="CM197" i="11"/>
  <c r="CM230" i="11"/>
  <c r="CK230" i="11" s="1"/>
  <c r="CM165" i="11"/>
  <c r="BV169" i="11"/>
  <c r="BV168" i="11" s="1"/>
  <c r="BV164" i="11"/>
  <c r="BV172" i="11"/>
  <c r="AY211" i="11"/>
  <c r="AY198" i="11"/>
  <c r="AY185" i="11"/>
  <c r="AX175" i="11"/>
  <c r="AX172" i="11" s="1"/>
  <c r="AY224" i="11"/>
  <c r="BI111" i="11"/>
  <c r="BI112" i="11" s="1"/>
  <c r="BI116" i="11"/>
  <c r="BI115" i="11" s="1"/>
  <c r="AI36" i="22"/>
  <c r="BD36" i="22" s="1"/>
  <c r="BD29" i="22"/>
  <c r="AW36" i="22"/>
  <c r="BH36" i="22" s="1"/>
  <c r="BH29" i="22"/>
  <c r="AQ36" i="22"/>
  <c r="AL36" i="22"/>
  <c r="AS36" i="22"/>
  <c r="AN85" i="11"/>
  <c r="AN86" i="11" s="1"/>
  <c r="AN90" i="11"/>
  <c r="AN89" i="11" s="1"/>
  <c r="AS46" i="22"/>
  <c r="AP46" i="22"/>
  <c r="F41" i="22"/>
  <c r="AQ46" i="22"/>
  <c r="AV46" i="22"/>
  <c r="BG46" i="22" s="1"/>
  <c r="BG39" i="22"/>
  <c r="BU222" i="11"/>
  <c r="BU223" i="11" s="1"/>
  <c r="BU227" i="11"/>
  <c r="BU226" i="11" s="1"/>
  <c r="BM58" i="11"/>
  <c r="BM57" i="11" s="1"/>
  <c r="BM61" i="11"/>
  <c r="BM53" i="11"/>
  <c r="CO113" i="11"/>
  <c r="CO74" i="11"/>
  <c r="CN64" i="11"/>
  <c r="CN61" i="11" s="1"/>
  <c r="CO100" i="11"/>
  <c r="CO87" i="11"/>
  <c r="CP175" i="11"/>
  <c r="CP164" i="11"/>
  <c r="CP165" i="11" s="1"/>
  <c r="CN165" i="11" s="1"/>
  <c r="CN166" i="11"/>
  <c r="BK113" i="11"/>
  <c r="BK100" i="11"/>
  <c r="BK87" i="11"/>
  <c r="BK74" i="11"/>
  <c r="BJ64" i="11"/>
  <c r="BJ61" i="11" s="1"/>
  <c r="BE122" i="11"/>
  <c r="BD123" i="11"/>
  <c r="BD122" i="11" s="1"/>
  <c r="CM103" i="11"/>
  <c r="CM102" i="11" s="1"/>
  <c r="CM119" i="11"/>
  <c r="CK119" i="11" s="1"/>
  <c r="CM112" i="11"/>
  <c r="CM99" i="11"/>
  <c r="CM116" i="11"/>
  <c r="CM115" i="11" s="1"/>
  <c r="CM90" i="11"/>
  <c r="CM89" i="11" s="1"/>
  <c r="CM123" i="11"/>
  <c r="CM77" i="11"/>
  <c r="CM76" i="11" s="1"/>
  <c r="CM54" i="11"/>
  <c r="CK54" i="11" s="1"/>
  <c r="CM86" i="11"/>
  <c r="BZ230" i="11"/>
  <c r="BY230" i="11" s="1"/>
  <c r="BZ165" i="11"/>
  <c r="BY165" i="11" s="1"/>
  <c r="BZ234" i="11"/>
  <c r="CG240" i="11"/>
  <c r="CG183" i="11"/>
  <c r="CG184" i="11" s="1"/>
  <c r="BO211" i="11"/>
  <c r="BO209" i="11" s="1"/>
  <c r="BO210" i="11" s="1"/>
  <c r="BO198" i="11"/>
  <c r="BO196" i="11" s="1"/>
  <c r="BO197" i="11" s="1"/>
  <c r="BO185" i="11"/>
  <c r="BO188" i="11" s="1"/>
  <c r="BO187" i="11" s="1"/>
  <c r="BO224" i="11"/>
  <c r="BO222" i="11" s="1"/>
  <c r="BO223" i="11" s="1"/>
  <c r="AY113" i="11"/>
  <c r="AY100" i="11"/>
  <c r="AY87" i="11"/>
  <c r="AY74" i="11"/>
  <c r="AX64" i="11"/>
  <c r="AX61" i="11" s="1"/>
  <c r="AH30" i="21"/>
  <c r="AH65" i="19"/>
  <c r="AK66" i="19"/>
  <c r="AG66" i="19"/>
  <c r="AH66" i="19" s="1"/>
  <c r="AJ66" i="19"/>
  <c r="AF66" i="19"/>
  <c r="F67" i="19"/>
  <c r="F68" i="19" s="1"/>
  <c r="F69" i="19" s="1"/>
  <c r="AI66" i="19"/>
  <c r="AL66" i="19" s="1"/>
  <c r="AE66" i="19"/>
  <c r="F32" i="17"/>
  <c r="AO58" i="11"/>
  <c r="AO57" i="11" s="1"/>
  <c r="AO61" i="11"/>
  <c r="AO53" i="11"/>
  <c r="BD53" i="11"/>
  <c r="BD61" i="11"/>
  <c r="BD58" i="11"/>
  <c r="BD57" i="11" s="1"/>
  <c r="F31" i="28"/>
  <c r="T30" i="28"/>
  <c r="BW233" i="11"/>
  <c r="BV234" i="11"/>
  <c r="BV233" i="11" s="1"/>
  <c r="CH169" i="11"/>
  <c r="CH168" i="11" s="1"/>
  <c r="CH172" i="11"/>
  <c r="CH164" i="11"/>
  <c r="BY119" i="11"/>
  <c r="BZ122" i="11"/>
  <c r="BY123" i="11"/>
  <c r="BY122" i="11" s="1"/>
  <c r="CJ111" i="11"/>
  <c r="CJ112" i="11" s="1"/>
  <c r="CJ116" i="11"/>
  <c r="CJ115" i="11" s="1"/>
  <c r="F32" i="25"/>
  <c r="T31" i="25"/>
  <c r="BM230" i="11"/>
  <c r="BX198" i="11"/>
  <c r="BX196" i="11" s="1"/>
  <c r="BX197" i="11" s="1"/>
  <c r="BX185" i="11"/>
  <c r="BX224" i="11"/>
  <c r="BX222" i="11" s="1"/>
  <c r="BX223" i="11" s="1"/>
  <c r="BX211" i="11"/>
  <c r="BX209" i="11" s="1"/>
  <c r="BX210" i="11" s="1"/>
  <c r="CM211" i="11"/>
  <c r="CM209" i="11" s="1"/>
  <c r="CM198" i="11"/>
  <c r="CM196" i="11" s="1"/>
  <c r="CM185" i="11"/>
  <c r="CM224" i="11"/>
  <c r="CM222" i="11" s="1"/>
  <c r="CM223" i="11" s="1"/>
  <c r="BX240" i="11" l="1"/>
  <c r="BX183" i="11"/>
  <c r="BX184" i="11" s="1"/>
  <c r="F33" i="25"/>
  <c r="T32" i="25"/>
  <c r="F70" i="19"/>
  <c r="T69" i="19"/>
  <c r="AY129" i="11"/>
  <c r="AY72" i="11"/>
  <c r="AY73" i="11" s="1"/>
  <c r="AX73" i="11" s="1"/>
  <c r="AX74" i="11"/>
  <c r="AY77" i="11"/>
  <c r="CM122" i="11"/>
  <c r="CK123" i="11"/>
  <c r="CK122" i="11" s="1"/>
  <c r="BK85" i="11"/>
  <c r="BK86" i="11" s="1"/>
  <c r="BJ86" i="11" s="1"/>
  <c r="BJ87" i="11"/>
  <c r="BK90" i="11"/>
  <c r="CN164" i="11"/>
  <c r="CN169" i="11"/>
  <c r="CN168" i="11" s="1"/>
  <c r="CN100" i="11"/>
  <c r="CO98" i="11"/>
  <c r="CO99" i="11" s="1"/>
  <c r="CN99" i="11" s="1"/>
  <c r="CO103" i="11"/>
  <c r="CM201" i="11"/>
  <c r="CM200" i="11" s="1"/>
  <c r="CM214" i="11"/>
  <c r="CM213" i="11" s="1"/>
  <c r="CB113" i="11"/>
  <c r="CC111" i="11"/>
  <c r="CC112" i="11" s="1"/>
  <c r="CC116" i="11"/>
  <c r="BK240" i="11"/>
  <c r="BK183" i="11"/>
  <c r="BK184" i="11" s="1"/>
  <c r="BJ185" i="11"/>
  <c r="BK188" i="11"/>
  <c r="CR222" i="11"/>
  <c r="CR223" i="11" s="1"/>
  <c r="CQ223" i="11" s="1"/>
  <c r="CQ224" i="11"/>
  <c r="CR227" i="11"/>
  <c r="AS226" i="11"/>
  <c r="BU133" i="11"/>
  <c r="BU136" i="11"/>
  <c r="BU125" i="11"/>
  <c r="CF240" i="11"/>
  <c r="CF183" i="11"/>
  <c r="CF184" i="11" s="1"/>
  <c r="CE184" i="11" s="1"/>
  <c r="CE185" i="11"/>
  <c r="CF188" i="11"/>
  <c r="AT224" i="11"/>
  <c r="AT211" i="11"/>
  <c r="AT198" i="11"/>
  <c r="AT185" i="11"/>
  <c r="AR175" i="11"/>
  <c r="CI85" i="11"/>
  <c r="CI86" i="11" s="1"/>
  <c r="CH86" i="11" s="1"/>
  <c r="CH87" i="11"/>
  <c r="CI90" i="11"/>
  <c r="U33" i="8"/>
  <c r="F34" i="8"/>
  <c r="BO85" i="11"/>
  <c r="BO86" i="11" s="1"/>
  <c r="BO90" i="11"/>
  <c r="BO89" i="11" s="1"/>
  <c r="AR100" i="11"/>
  <c r="AS98" i="11"/>
  <c r="AS99" i="11" s="1"/>
  <c r="AR99" i="11" s="1"/>
  <c r="AS103" i="11"/>
  <c r="CO226" i="11"/>
  <c r="BF222" i="11"/>
  <c r="BF223" i="11" s="1"/>
  <c r="BF227" i="11"/>
  <c r="BF226" i="11" s="1"/>
  <c r="CD129" i="11"/>
  <c r="CD72" i="11"/>
  <c r="CD73" i="11" s="1"/>
  <c r="CD77" i="11"/>
  <c r="CD76" i="11" s="1"/>
  <c r="BC129" i="11"/>
  <c r="BC72" i="11"/>
  <c r="BC73" i="11" s="1"/>
  <c r="BC77" i="11"/>
  <c r="BC76" i="11" s="1"/>
  <c r="AV111" i="11"/>
  <c r="AV112" i="11" s="1"/>
  <c r="AU112" i="11" s="1"/>
  <c r="AU113" i="11"/>
  <c r="AV116" i="11"/>
  <c r="CP129" i="11"/>
  <c r="CP72" i="11"/>
  <c r="CP73" i="11" s="1"/>
  <c r="T54" i="13"/>
  <c r="T53" i="13"/>
  <c r="BR129" i="11"/>
  <c r="BR72" i="11"/>
  <c r="BR73" i="11" s="1"/>
  <c r="BT111" i="11"/>
  <c r="BT112" i="11" s="1"/>
  <c r="BS112" i="11" s="1"/>
  <c r="BS113" i="11"/>
  <c r="BT116" i="11"/>
  <c r="T84" i="10"/>
  <c r="T85" i="10" s="1"/>
  <c r="T86" i="10" s="1"/>
  <c r="T87" i="10" s="1"/>
  <c r="T88" i="10" s="1"/>
  <c r="T89" i="10" s="1"/>
  <c r="T90" i="10" s="1"/>
  <c r="T91" i="10" s="1"/>
  <c r="T92" i="10" s="1"/>
  <c r="T93" i="10" s="1"/>
  <c r="T94" i="10" s="1"/>
  <c r="T95" i="10" s="1"/>
  <c r="T96" i="10" s="1"/>
  <c r="T97" i="10" s="1"/>
  <c r="T98" i="10" s="1"/>
  <c r="T99" i="10" s="1"/>
  <c r="F85" i="10"/>
  <c r="F86" i="10" s="1"/>
  <c r="F87" i="10" s="1"/>
  <c r="F88" i="10" s="1"/>
  <c r="F89" i="10" s="1"/>
  <c r="F90" i="10" s="1"/>
  <c r="F91" i="10" s="1"/>
  <c r="F92" i="10" s="1"/>
  <c r="F93" i="10" s="1"/>
  <c r="F94" i="10" s="1"/>
  <c r="F95" i="10" s="1"/>
  <c r="F96" i="10" s="1"/>
  <c r="F97" i="10" s="1"/>
  <c r="F98" i="10" s="1"/>
  <c r="F99" i="10" s="1"/>
  <c r="AM240" i="11"/>
  <c r="AM183" i="11"/>
  <c r="AM184" i="11" s="1"/>
  <c r="AL185" i="11"/>
  <c r="AM188" i="11"/>
  <c r="BD198" i="11"/>
  <c r="BE196" i="11"/>
  <c r="BE197" i="11" s="1"/>
  <c r="BE201" i="11"/>
  <c r="BH111" i="11"/>
  <c r="BH112" i="11" s="1"/>
  <c r="BG112" i="11" s="1"/>
  <c r="BG113" i="11"/>
  <c r="BH116" i="11"/>
  <c r="AS213" i="11"/>
  <c r="CK164" i="11"/>
  <c r="CK169" i="11"/>
  <c r="CK168" i="11" s="1"/>
  <c r="CQ100" i="11"/>
  <c r="CR98" i="11"/>
  <c r="CR99" i="11" s="1"/>
  <c r="CQ99" i="11" s="1"/>
  <c r="CR103" i="11"/>
  <c r="AM129" i="11"/>
  <c r="AM72" i="11"/>
  <c r="AM73" i="11" s="1"/>
  <c r="AL73" i="11" s="1"/>
  <c r="AL74" i="11"/>
  <c r="AM77" i="11"/>
  <c r="AS200" i="11"/>
  <c r="BA164" i="11"/>
  <c r="BA169" i="11"/>
  <c r="BA168" i="11" s="1"/>
  <c r="F59" i="16"/>
  <c r="T58" i="16"/>
  <c r="G58" i="16"/>
  <c r="BP113" i="11"/>
  <c r="BQ111" i="11"/>
  <c r="BQ112" i="11" s="1"/>
  <c r="BP112" i="11" s="1"/>
  <c r="BQ116" i="11"/>
  <c r="BW111" i="11"/>
  <c r="BW112" i="11" s="1"/>
  <c r="BV112" i="11" s="1"/>
  <c r="BV113" i="11"/>
  <c r="BW116" i="11"/>
  <c r="BB129" i="11"/>
  <c r="BA74" i="11"/>
  <c r="BB72" i="11"/>
  <c r="BB73" i="11" s="1"/>
  <c r="BA73" i="11" s="1"/>
  <c r="BB77" i="11"/>
  <c r="BB111" i="11"/>
  <c r="BB112" i="11" s="1"/>
  <c r="BA113" i="11"/>
  <c r="BB116" i="11"/>
  <c r="CL85" i="11"/>
  <c r="CL86" i="11" s="1"/>
  <c r="CK86" i="11" s="1"/>
  <c r="CK87" i="11"/>
  <c r="CL90" i="11"/>
  <c r="CB198" i="11"/>
  <c r="CC196" i="11"/>
  <c r="CC197" i="11" s="1"/>
  <c r="CC201" i="11"/>
  <c r="CC240" i="11"/>
  <c r="CC183" i="11"/>
  <c r="CC184" i="11" s="1"/>
  <c r="CB185" i="11"/>
  <c r="CC188" i="11"/>
  <c r="CA85" i="11"/>
  <c r="CA86" i="11" s="1"/>
  <c r="CA90" i="11"/>
  <c r="CA89" i="11" s="1"/>
  <c r="AQ196" i="11"/>
  <c r="AQ197" i="11" s="1"/>
  <c r="AQ201" i="11"/>
  <c r="AQ200" i="11" s="1"/>
  <c r="CD196" i="11"/>
  <c r="CD197" i="11" s="1"/>
  <c r="CD201" i="11"/>
  <c r="CD200" i="11" s="1"/>
  <c r="BX188" i="11"/>
  <c r="BX187" i="11" s="1"/>
  <c r="AZ240" i="11"/>
  <c r="AZ183" i="11"/>
  <c r="AZ184" i="11" s="1"/>
  <c r="AS187" i="11"/>
  <c r="CO213" i="11"/>
  <c r="CF129" i="11"/>
  <c r="CF72" i="11"/>
  <c r="CF73" i="11" s="1"/>
  <c r="CE73" i="11" s="1"/>
  <c r="CE74" i="11"/>
  <c r="CF77" i="11"/>
  <c r="BI236" i="11"/>
  <c r="BI244" i="11"/>
  <c r="BI247" i="11"/>
  <c r="CI196" i="11"/>
  <c r="CI197" i="11" s="1"/>
  <c r="CH197" i="11" s="1"/>
  <c r="CH198" i="11"/>
  <c r="CI201" i="11"/>
  <c r="T46" i="19"/>
  <c r="F47" i="19"/>
  <c r="BD113" i="11"/>
  <c r="BE111" i="11"/>
  <c r="BE112" i="11" s="1"/>
  <c r="BD112" i="11" s="1"/>
  <c r="BE116" i="11"/>
  <c r="AP85" i="11"/>
  <c r="AP86" i="11" s="1"/>
  <c r="AO87" i="11"/>
  <c r="AP90" i="11"/>
  <c r="BT222" i="11"/>
  <c r="BT223" i="11" s="1"/>
  <c r="BS223" i="11" s="1"/>
  <c r="BS224" i="11"/>
  <c r="BT227" i="11"/>
  <c r="BQ240" i="11"/>
  <c r="BQ183" i="11"/>
  <c r="BQ184" i="11" s="1"/>
  <c r="BP185" i="11"/>
  <c r="BQ188" i="11"/>
  <c r="AQ129" i="11"/>
  <c r="AQ72" i="11"/>
  <c r="AQ73" i="11" s="1"/>
  <c r="AQ77" i="11"/>
  <c r="AQ76" i="11" s="1"/>
  <c r="CK234" i="11"/>
  <c r="CK233" i="11" s="1"/>
  <c r="BN129" i="11"/>
  <c r="BM74" i="11"/>
  <c r="BN72" i="11"/>
  <c r="BN73" i="11" s="1"/>
  <c r="BN77" i="11"/>
  <c r="BN111" i="11"/>
  <c r="BN112" i="11" s="1"/>
  <c r="BM113" i="11"/>
  <c r="BN116" i="11"/>
  <c r="BU236" i="11"/>
  <c r="BU244" i="11"/>
  <c r="BU247" i="11"/>
  <c r="F50" i="23"/>
  <c r="F51" i="23" s="1"/>
  <c r="F52" i="23" s="1"/>
  <c r="F53" i="23" s="1"/>
  <c r="F54" i="23" s="1"/>
  <c r="AY98" i="11"/>
  <c r="AY99" i="11" s="1"/>
  <c r="AX99" i="11" s="1"/>
  <c r="AX100" i="11"/>
  <c r="AY103" i="11"/>
  <c r="CM240" i="11"/>
  <c r="CM183" i="11"/>
  <c r="CM184" i="11" s="1"/>
  <c r="F32" i="28"/>
  <c r="T31" i="28"/>
  <c r="AY85" i="11"/>
  <c r="AY86" i="11" s="1"/>
  <c r="AX86" i="11" s="1"/>
  <c r="AX87" i="11"/>
  <c r="AY90" i="11"/>
  <c r="BO240" i="11"/>
  <c r="BO183" i="11"/>
  <c r="BO184" i="11" s="1"/>
  <c r="CG236" i="11"/>
  <c r="CG244" i="11"/>
  <c r="CG247" i="11"/>
  <c r="BJ100" i="11"/>
  <c r="BK98" i="11"/>
  <c r="BK99" i="11" s="1"/>
  <c r="BJ99" i="11" s="1"/>
  <c r="BK103" i="11"/>
  <c r="F42" i="22"/>
  <c r="AY240" i="11"/>
  <c r="AY183" i="11"/>
  <c r="AY184" i="11" s="1"/>
  <c r="AX184" i="11" s="1"/>
  <c r="AX185" i="11"/>
  <c r="AY188" i="11"/>
  <c r="CM188" i="11"/>
  <c r="CM187" i="11" s="1"/>
  <c r="BX125" i="11"/>
  <c r="BX133" i="11"/>
  <c r="BX136" i="11"/>
  <c r="BF131" i="11"/>
  <c r="BF126" i="11"/>
  <c r="BK196" i="11"/>
  <c r="BK197" i="11" s="1"/>
  <c r="BJ197" i="11" s="1"/>
  <c r="BJ198" i="11"/>
  <c r="BK201" i="11"/>
  <c r="BY58" i="11"/>
  <c r="BY57" i="11" s="1"/>
  <c r="BY53" i="11"/>
  <c r="AP233" i="11"/>
  <c r="AO234" i="11"/>
  <c r="AO233" i="11" s="1"/>
  <c r="CE211" i="11"/>
  <c r="CF209" i="11"/>
  <c r="CF210" i="11" s="1"/>
  <c r="CE210" i="11" s="1"/>
  <c r="CF214" i="11"/>
  <c r="CF196" i="11"/>
  <c r="CF197" i="11" s="1"/>
  <c r="CE197" i="11" s="1"/>
  <c r="CE198" i="11"/>
  <c r="CF201" i="11"/>
  <c r="CH100" i="11"/>
  <c r="CI98" i="11"/>
  <c r="CI99" i="11" s="1"/>
  <c r="CH99" i="11" s="1"/>
  <c r="CI103" i="11"/>
  <c r="BO98" i="11"/>
  <c r="BO99" i="11" s="1"/>
  <c r="BO103" i="11"/>
  <c r="BO102" i="11" s="1"/>
  <c r="BF240" i="11"/>
  <c r="BF183" i="11"/>
  <c r="BF184" i="11" s="1"/>
  <c r="BF188" i="11"/>
  <c r="BF187" i="11" s="1"/>
  <c r="CD85" i="11"/>
  <c r="CD86" i="11" s="1"/>
  <c r="CD90" i="11"/>
  <c r="CD89" i="11" s="1"/>
  <c r="BC85" i="11"/>
  <c r="BC86" i="11" s="1"/>
  <c r="BC90" i="11"/>
  <c r="BC89" i="11" s="1"/>
  <c r="AV129" i="11"/>
  <c r="AV72" i="11"/>
  <c r="AV73" i="11" s="1"/>
  <c r="AU73" i="11" s="1"/>
  <c r="AU74" i="11"/>
  <c r="AV77" i="11"/>
  <c r="AO164" i="11"/>
  <c r="AO169" i="11"/>
  <c r="AO168" i="11" s="1"/>
  <c r="BT129" i="11"/>
  <c r="BT72" i="11"/>
  <c r="BT73" i="11" s="1"/>
  <c r="BS73" i="11" s="1"/>
  <c r="BS74" i="11"/>
  <c r="BT77" i="11"/>
  <c r="AN125" i="11"/>
  <c r="AN133" i="11"/>
  <c r="AN136" i="11"/>
  <c r="BI133" i="11"/>
  <c r="BI136" i="11"/>
  <c r="BI125" i="11"/>
  <c r="CJ240" i="11"/>
  <c r="CJ183" i="11"/>
  <c r="CJ184" i="11" s="1"/>
  <c r="AM196" i="11"/>
  <c r="AM197" i="11" s="1"/>
  <c r="AL197" i="11" s="1"/>
  <c r="AL198" i="11"/>
  <c r="AM201" i="11"/>
  <c r="BE209" i="11"/>
  <c r="BE210" i="11" s="1"/>
  <c r="BD211" i="11"/>
  <c r="BE214" i="11"/>
  <c r="BH72" i="11"/>
  <c r="BH73" i="11" s="1"/>
  <c r="BG73" i="11" s="1"/>
  <c r="BH129" i="11"/>
  <c r="BG74" i="11"/>
  <c r="BH77" i="11"/>
  <c r="CL224" i="11"/>
  <c r="CL211" i="11"/>
  <c r="CL198" i="11"/>
  <c r="CK175" i="11"/>
  <c r="CK172" i="11" s="1"/>
  <c r="CL185" i="11"/>
  <c r="CR111" i="11"/>
  <c r="CR112" i="11" s="1"/>
  <c r="CQ112" i="11" s="1"/>
  <c r="CQ113" i="11"/>
  <c r="CR116" i="11"/>
  <c r="AV240" i="11"/>
  <c r="AV183" i="11"/>
  <c r="AV184" i="11" s="1"/>
  <c r="AU184" i="11" s="1"/>
  <c r="AU185" i="11"/>
  <c r="AV188" i="11"/>
  <c r="AT122" i="11"/>
  <c r="AR123" i="11"/>
  <c r="AR122" i="11" s="1"/>
  <c r="AM85" i="11"/>
  <c r="AM86" i="11" s="1"/>
  <c r="AL86" i="11" s="1"/>
  <c r="AL87" i="11"/>
  <c r="AM90" i="11"/>
  <c r="BB224" i="11"/>
  <c r="BB211" i="11"/>
  <c r="BB198" i="11"/>
  <c r="BA175" i="11"/>
  <c r="BA172" i="11" s="1"/>
  <c r="BB185" i="11"/>
  <c r="AB35" i="9"/>
  <c r="W35" i="9"/>
  <c r="F38" i="13"/>
  <c r="BH240" i="11"/>
  <c r="BH183" i="11"/>
  <c r="BH184" i="11" s="1"/>
  <c r="BG184" i="11" s="1"/>
  <c r="BG185" i="11"/>
  <c r="BH188" i="11"/>
  <c r="F33" i="21"/>
  <c r="BW129" i="11"/>
  <c r="BW72" i="11"/>
  <c r="BW73" i="11" s="1"/>
  <c r="BV73" i="11" s="1"/>
  <c r="BV74" i="11"/>
  <c r="BW77" i="11"/>
  <c r="F42" i="20"/>
  <c r="AZ41" i="20"/>
  <c r="AV41" i="20"/>
  <c r="AR41" i="20"/>
  <c r="AN41" i="20"/>
  <c r="AJ41" i="20"/>
  <c r="BC41" i="20"/>
  <c r="AY41" i="20"/>
  <c r="AU41" i="20"/>
  <c r="AQ41" i="20"/>
  <c r="AM41" i="20"/>
  <c r="BB41" i="20"/>
  <c r="AX41" i="20"/>
  <c r="AT41" i="20"/>
  <c r="AP41" i="20"/>
  <c r="AL41" i="20"/>
  <c r="BA41" i="20"/>
  <c r="AW41" i="20"/>
  <c r="AS41" i="20"/>
  <c r="AO41" i="20"/>
  <c r="AK41" i="20"/>
  <c r="F91" i="31"/>
  <c r="F92" i="31" s="1"/>
  <c r="F93" i="31" s="1"/>
  <c r="F94" i="31" s="1"/>
  <c r="F95" i="31" s="1"/>
  <c r="F96" i="31" s="1"/>
  <c r="F97" i="31" s="1"/>
  <c r="F98" i="31" s="1"/>
  <c r="F99" i="31" s="1"/>
  <c r="F100" i="31" s="1"/>
  <c r="F101" i="31" s="1"/>
  <c r="F102" i="31" s="1"/>
  <c r="F103" i="31" s="1"/>
  <c r="F104" i="31" s="1"/>
  <c r="F105" i="31" s="1"/>
  <c r="F106" i="31" s="1"/>
  <c r="F107" i="31" s="1"/>
  <c r="F108" i="31" s="1"/>
  <c r="F109" i="31" s="1"/>
  <c r="F110" i="31" s="1"/>
  <c r="F111" i="31" s="1"/>
  <c r="F112" i="31" s="1"/>
  <c r="F113" i="31" s="1"/>
  <c r="F114" i="31" s="1"/>
  <c r="F115" i="31" s="1"/>
  <c r="F116" i="31" s="1"/>
  <c r="F117" i="31" s="1"/>
  <c r="F118" i="31" s="1"/>
  <c r="F119" i="31" s="1"/>
  <c r="F120" i="31" s="1"/>
  <c r="F121" i="31" s="1"/>
  <c r="F122" i="31" s="1"/>
  <c r="F123" i="31" s="1"/>
  <c r="F124" i="31" s="1"/>
  <c r="F125" i="31" s="1"/>
  <c r="F126" i="31" s="1"/>
  <c r="F127" i="31" s="1"/>
  <c r="F128" i="31" s="1"/>
  <c r="F129" i="31" s="1"/>
  <c r="F130" i="31" s="1"/>
  <c r="AJ90" i="31"/>
  <c r="CK100" i="11"/>
  <c r="CL98" i="11"/>
  <c r="CL99" i="11" s="1"/>
  <c r="CK99" i="11" s="1"/>
  <c r="CL103" i="11"/>
  <c r="CC209" i="11"/>
  <c r="CC210" i="11" s="1"/>
  <c r="CB211" i="11"/>
  <c r="CC214" i="11"/>
  <c r="CA98" i="11"/>
  <c r="CA99" i="11" s="1"/>
  <c r="CA103" i="11"/>
  <c r="CA102" i="11" s="1"/>
  <c r="AQ209" i="11"/>
  <c r="AQ210" i="11" s="1"/>
  <c r="AQ214" i="11"/>
  <c r="AQ213" i="11" s="1"/>
  <c r="BA230" i="11"/>
  <c r="CS131" i="11"/>
  <c r="CS126" i="11"/>
  <c r="CD209" i="11"/>
  <c r="CD210" i="11" s="1"/>
  <c r="CD214" i="11"/>
  <c r="CD213" i="11" s="1"/>
  <c r="BW240" i="11"/>
  <c r="BW183" i="11"/>
  <c r="BW184" i="11" s="1"/>
  <c r="BV184" i="11" s="1"/>
  <c r="BV185" i="11"/>
  <c r="BW188" i="11"/>
  <c r="T55" i="28"/>
  <c r="F56" i="28"/>
  <c r="F61" i="8"/>
  <c r="U60" i="8"/>
  <c r="CF85" i="11"/>
  <c r="CF86" i="11" s="1"/>
  <c r="CE86" i="11" s="1"/>
  <c r="CE87" i="11"/>
  <c r="CF90" i="11"/>
  <c r="CH224" i="11"/>
  <c r="CI222" i="11"/>
  <c r="CI223" i="11" s="1"/>
  <c r="CH223" i="11" s="1"/>
  <c r="CI227" i="11"/>
  <c r="CI209" i="11"/>
  <c r="CI210" i="11" s="1"/>
  <c r="CH210" i="11" s="1"/>
  <c r="CH211" i="11"/>
  <c r="CI214" i="11"/>
  <c r="BD87" i="11"/>
  <c r="BE85" i="11"/>
  <c r="BE86" i="11" s="1"/>
  <c r="BD86" i="11" s="1"/>
  <c r="BE90" i="11"/>
  <c r="BD100" i="11"/>
  <c r="BE98" i="11"/>
  <c r="BE99" i="11" s="1"/>
  <c r="BD99" i="11" s="1"/>
  <c r="BE103" i="11"/>
  <c r="AO100" i="11"/>
  <c r="AP98" i="11"/>
  <c r="AP99" i="11" s="1"/>
  <c r="AP103" i="11"/>
  <c r="BP198" i="11"/>
  <c r="BQ196" i="11"/>
  <c r="BQ197" i="11" s="1"/>
  <c r="BP197" i="11" s="1"/>
  <c r="BQ201" i="11"/>
  <c r="AQ85" i="11"/>
  <c r="AQ86" i="11" s="1"/>
  <c r="AQ90" i="11"/>
  <c r="AQ89" i="11" s="1"/>
  <c r="T79" i="12"/>
  <c r="F80" i="12"/>
  <c r="CP224" i="11"/>
  <c r="CP211" i="11"/>
  <c r="CP198" i="11"/>
  <c r="CP185" i="11"/>
  <c r="CN175" i="11"/>
  <c r="CN172" i="11" s="1"/>
  <c r="F38" i="30"/>
  <c r="BJ224" i="11"/>
  <c r="BK222" i="11"/>
  <c r="BK223" i="11" s="1"/>
  <c r="BJ223" i="11" s="1"/>
  <c r="BK227" i="11"/>
  <c r="BK209" i="11"/>
  <c r="BK210" i="11" s="1"/>
  <c r="BJ210" i="11" s="1"/>
  <c r="BJ211" i="11"/>
  <c r="BK214" i="11"/>
  <c r="T59" i="17"/>
  <c r="F60" i="17"/>
  <c r="CR240" i="11"/>
  <c r="CR183" i="11"/>
  <c r="CR184" i="11" s="1"/>
  <c r="CQ184" i="11" s="1"/>
  <c r="CQ185" i="11"/>
  <c r="CR188" i="11"/>
  <c r="BZ113" i="11"/>
  <c r="BZ100" i="11"/>
  <c r="BZ87" i="11"/>
  <c r="BZ74" i="11"/>
  <c r="BY64" i="11"/>
  <c r="BY61" i="11" s="1"/>
  <c r="AW242" i="11"/>
  <c r="AW237" i="11"/>
  <c r="CO236" i="11"/>
  <c r="CO244" i="11"/>
  <c r="CO247" i="11"/>
  <c r="CF222" i="11"/>
  <c r="CF223" i="11" s="1"/>
  <c r="CE223" i="11" s="1"/>
  <c r="CE224" i="11"/>
  <c r="CF227" i="11"/>
  <c r="AR164" i="11"/>
  <c r="AR172" i="11"/>
  <c r="AR169" i="11"/>
  <c r="AR168" i="11" s="1"/>
  <c r="CI111" i="11"/>
  <c r="CI112" i="11" s="1"/>
  <c r="CH112" i="11" s="1"/>
  <c r="CH113" i="11"/>
  <c r="CI116" i="11"/>
  <c r="CP122" i="11"/>
  <c r="CN123" i="11"/>
  <c r="CN122" i="11" s="1"/>
  <c r="BO111" i="11"/>
  <c r="BO112" i="11" s="1"/>
  <c r="BO116" i="11"/>
  <c r="BO115" i="11" s="1"/>
  <c r="AS129" i="11"/>
  <c r="AS72" i="11"/>
  <c r="AS73" i="11" s="1"/>
  <c r="AR74" i="11"/>
  <c r="AS77" i="11"/>
  <c r="BM164" i="11"/>
  <c r="BM169" i="11"/>
  <c r="BM168" i="11" s="1"/>
  <c r="CM129" i="11"/>
  <c r="CM72" i="11"/>
  <c r="CM73" i="11" s="1"/>
  <c r="BF196" i="11"/>
  <c r="BF197" i="11" s="1"/>
  <c r="BF201" i="11"/>
  <c r="BF200" i="11" s="1"/>
  <c r="CD98" i="11"/>
  <c r="CD99" i="11" s="1"/>
  <c r="CD103" i="11"/>
  <c r="CD102" i="11" s="1"/>
  <c r="BC98" i="11"/>
  <c r="BC99" i="11" s="1"/>
  <c r="BC103" i="11"/>
  <c r="BC102" i="11" s="1"/>
  <c r="AV85" i="11"/>
  <c r="AV86" i="11" s="1"/>
  <c r="AU86" i="11" s="1"/>
  <c r="AU87" i="11"/>
  <c r="AV90" i="11"/>
  <c r="AP224" i="11"/>
  <c r="AP211" i="11"/>
  <c r="AP198" i="11"/>
  <c r="AO175" i="11"/>
  <c r="AO172" i="11" s="1"/>
  <c r="AP185" i="11"/>
  <c r="F37" i="16"/>
  <c r="F36" i="16"/>
  <c r="F39" i="16"/>
  <c r="F39" i="12"/>
  <c r="T38" i="12"/>
  <c r="F97" i="23"/>
  <c r="F98" i="23" s="1"/>
  <c r="F99" i="23" s="1"/>
  <c r="F100" i="23" s="1"/>
  <c r="F101" i="23" s="1"/>
  <c r="AZ233" i="11"/>
  <c r="AX234" i="11"/>
  <c r="AX233" i="11" s="1"/>
  <c r="BC32" i="20"/>
  <c r="AY32" i="20"/>
  <c r="AU32" i="20"/>
  <c r="AQ32" i="20"/>
  <c r="AM32" i="20"/>
  <c r="BB32" i="20"/>
  <c r="AX32" i="20"/>
  <c r="AT32" i="20"/>
  <c r="AP32" i="20"/>
  <c r="AL32" i="20"/>
  <c r="BA32" i="20"/>
  <c r="AW32" i="20"/>
  <c r="AS32" i="20"/>
  <c r="AO32" i="20"/>
  <c r="AK32" i="20"/>
  <c r="F33" i="20"/>
  <c r="AZ32" i="20"/>
  <c r="AV32" i="20"/>
  <c r="AR32" i="20"/>
  <c r="AN32" i="20"/>
  <c r="AJ32" i="20"/>
  <c r="F55" i="13"/>
  <c r="T55" i="13" s="1"/>
  <c r="A54" i="13"/>
  <c r="AN233" i="11"/>
  <c r="AL234" i="11"/>
  <c r="AL233" i="11" s="1"/>
  <c r="BT85" i="11"/>
  <c r="BT86" i="11" s="1"/>
  <c r="BS86" i="11" s="1"/>
  <c r="BS87" i="11"/>
  <c r="BT90" i="11"/>
  <c r="CP233" i="11"/>
  <c r="CN234" i="11"/>
  <c r="CN233" i="11" s="1"/>
  <c r="CG131" i="11"/>
  <c r="CG126" i="11"/>
  <c r="AZ52" i="21"/>
  <c r="AV52" i="21"/>
  <c r="AR52" i="21"/>
  <c r="AN52" i="21"/>
  <c r="AJ52" i="21"/>
  <c r="AF52" i="21"/>
  <c r="BC52" i="21"/>
  <c r="AY52" i="21"/>
  <c r="AU52" i="21"/>
  <c r="AQ52" i="21"/>
  <c r="AM52" i="21"/>
  <c r="AI52" i="21"/>
  <c r="AE52" i="21"/>
  <c r="F53" i="21"/>
  <c r="BB52" i="21"/>
  <c r="AX52" i="21"/>
  <c r="AT52" i="21"/>
  <c r="AP52" i="21"/>
  <c r="AL52" i="21"/>
  <c r="BA52" i="21"/>
  <c r="AW52" i="21"/>
  <c r="AS52" i="21"/>
  <c r="AO52" i="21"/>
  <c r="AK52" i="21"/>
  <c r="AG52" i="21"/>
  <c r="AL224" i="11"/>
  <c r="AM222" i="11"/>
  <c r="AM223" i="11" s="1"/>
  <c r="AL223" i="11" s="1"/>
  <c r="AM227" i="11"/>
  <c r="AM209" i="11"/>
  <c r="AM210" i="11" s="1"/>
  <c r="AL210" i="11" s="1"/>
  <c r="AL211" i="11"/>
  <c r="AM214" i="11"/>
  <c r="BE222" i="11"/>
  <c r="BE223" i="11" s="1"/>
  <c r="BD223" i="11" s="1"/>
  <c r="BD224" i="11"/>
  <c r="BE227" i="11"/>
  <c r="BH85" i="11"/>
  <c r="BH86" i="11" s="1"/>
  <c r="BG86" i="11" s="1"/>
  <c r="BG87" i="11"/>
  <c r="BH90" i="11"/>
  <c r="CR129" i="11"/>
  <c r="CR72" i="11"/>
  <c r="CR73" i="11" s="1"/>
  <c r="CQ73" i="11" s="1"/>
  <c r="CQ74" i="11"/>
  <c r="CR77" i="11"/>
  <c r="AU211" i="11"/>
  <c r="AV209" i="11"/>
  <c r="AV210" i="11" s="1"/>
  <c r="AU210" i="11" s="1"/>
  <c r="AV214" i="11"/>
  <c r="AV196" i="11"/>
  <c r="AV197" i="11" s="1"/>
  <c r="AU197" i="11" s="1"/>
  <c r="AU198" i="11"/>
  <c r="AV201" i="11"/>
  <c r="AW131" i="11"/>
  <c r="AW126" i="11"/>
  <c r="AL100" i="11"/>
  <c r="AM98" i="11"/>
  <c r="AM99" i="11" s="1"/>
  <c r="AL99" i="11" s="1"/>
  <c r="AM103" i="11"/>
  <c r="AN240" i="11"/>
  <c r="AN183" i="11"/>
  <c r="AN184" i="11" s="1"/>
  <c r="BO227" i="11"/>
  <c r="BO226" i="11" s="1"/>
  <c r="BM234" i="11"/>
  <c r="BM233" i="11" s="1"/>
  <c r="BG211" i="11"/>
  <c r="BH209" i="11"/>
  <c r="BH210" i="11" s="1"/>
  <c r="BG210" i="11" s="1"/>
  <c r="BH214" i="11"/>
  <c r="BH196" i="11"/>
  <c r="BH197" i="11" s="1"/>
  <c r="BG197" i="11" s="1"/>
  <c r="BG198" i="11"/>
  <c r="BH201" i="11"/>
  <c r="A55" i="16"/>
  <c r="T55" i="16"/>
  <c r="F57" i="16"/>
  <c r="A57" i="16" s="1"/>
  <c r="F77" i="25"/>
  <c r="T76" i="25"/>
  <c r="BP87" i="11"/>
  <c r="BQ85" i="11"/>
  <c r="BQ86" i="11" s="1"/>
  <c r="BP86" i="11" s="1"/>
  <c r="BQ90" i="11"/>
  <c r="BQ129" i="11"/>
  <c r="BQ72" i="11"/>
  <c r="BQ73" i="11" s="1"/>
  <c r="BP73" i="11" s="1"/>
  <c r="BP74" i="11"/>
  <c r="BQ77" i="11"/>
  <c r="BW85" i="11"/>
  <c r="BW86" i="11" s="1"/>
  <c r="BV86" i="11" s="1"/>
  <c r="BV87" i="11"/>
  <c r="BW90" i="11"/>
  <c r="CA240" i="11"/>
  <c r="CA183" i="11"/>
  <c r="CA184" i="11" s="1"/>
  <c r="CJ188" i="11"/>
  <c r="CJ187" i="11" s="1"/>
  <c r="CJ227" i="11"/>
  <c r="CJ226" i="11" s="1"/>
  <c r="BB85" i="11"/>
  <c r="BB86" i="11" s="1"/>
  <c r="BA86" i="11" s="1"/>
  <c r="BA87" i="11"/>
  <c r="BB90" i="11"/>
  <c r="CL129" i="11"/>
  <c r="CK74" i="11"/>
  <c r="CL72" i="11"/>
  <c r="CL73" i="11" s="1"/>
  <c r="CK73" i="11" s="1"/>
  <c r="CL77" i="11"/>
  <c r="CL111" i="11"/>
  <c r="CL112" i="11" s="1"/>
  <c r="CK112" i="11" s="1"/>
  <c r="CK113" i="11"/>
  <c r="CL116" i="11"/>
  <c r="CC222" i="11"/>
  <c r="CC223" i="11" s="1"/>
  <c r="CB224" i="11"/>
  <c r="CC227" i="11"/>
  <c r="CA111" i="11"/>
  <c r="CA112" i="11" s="1"/>
  <c r="CA116" i="11"/>
  <c r="CA115" i="11" s="1"/>
  <c r="AQ222" i="11"/>
  <c r="AQ223" i="11" s="1"/>
  <c r="AQ227" i="11"/>
  <c r="AQ226" i="11" s="1"/>
  <c r="BL240" i="11"/>
  <c r="BL183" i="11"/>
  <c r="BL184" i="11" s="1"/>
  <c r="CD222" i="11"/>
  <c r="CD223" i="11" s="1"/>
  <c r="CD227" i="11"/>
  <c r="CD226" i="11" s="1"/>
  <c r="AZ125" i="11"/>
  <c r="AZ133" i="11"/>
  <c r="AZ136" i="11"/>
  <c r="BW196" i="11"/>
  <c r="BW197" i="11" s="1"/>
  <c r="BV197" i="11" s="1"/>
  <c r="BV198" i="11"/>
  <c r="BW201" i="11"/>
  <c r="BX227" i="11"/>
  <c r="BX226" i="11" s="1"/>
  <c r="CE100" i="11"/>
  <c r="CF98" i="11"/>
  <c r="CF99" i="11" s="1"/>
  <c r="CE99" i="11" s="1"/>
  <c r="CF103" i="11"/>
  <c r="AJ73" i="26"/>
  <c r="AF73" i="26"/>
  <c r="AG73" i="26"/>
  <c r="F74" i="26"/>
  <c r="F75" i="26" s="1"/>
  <c r="F76" i="26" s="1"/>
  <c r="AK73" i="26"/>
  <c r="AI73" i="26"/>
  <c r="AL73" i="26" s="1"/>
  <c r="AE73" i="26"/>
  <c r="CJ125" i="11"/>
  <c r="CJ133" i="11"/>
  <c r="CJ136" i="11"/>
  <c r="AP129" i="11"/>
  <c r="AO74" i="11"/>
  <c r="AP72" i="11"/>
  <c r="AP73" i="11" s="1"/>
  <c r="AO73" i="11" s="1"/>
  <c r="AP77" i="11"/>
  <c r="AP111" i="11"/>
  <c r="AP112" i="11" s="1"/>
  <c r="AO113" i="11"/>
  <c r="AP116" i="11"/>
  <c r="BT240" i="11"/>
  <c r="BT183" i="11"/>
  <c r="BT184" i="11" s="1"/>
  <c r="BS184" i="11" s="1"/>
  <c r="BS185" i="11"/>
  <c r="BT188" i="11"/>
  <c r="BQ209" i="11"/>
  <c r="BQ210" i="11" s="1"/>
  <c r="BP210" i="11" s="1"/>
  <c r="BP211" i="11"/>
  <c r="BQ214" i="11"/>
  <c r="BY164" i="11"/>
  <c r="BY169" i="11"/>
  <c r="BY168" i="11" s="1"/>
  <c r="AQ98" i="11"/>
  <c r="AQ99" i="11" s="1"/>
  <c r="AQ103" i="11"/>
  <c r="AQ102" i="11" s="1"/>
  <c r="BN85" i="11"/>
  <c r="BN86" i="11" s="1"/>
  <c r="BM86" i="11" s="1"/>
  <c r="BM87" i="11"/>
  <c r="BN90" i="11"/>
  <c r="BR240" i="11"/>
  <c r="BR183" i="11"/>
  <c r="BR184" i="11" s="1"/>
  <c r="F49" i="10"/>
  <c r="T48" i="10"/>
  <c r="T49" i="10" s="1"/>
  <c r="T50" i="10" s="1"/>
  <c r="T51" i="10" s="1"/>
  <c r="T52" i="10" s="1"/>
  <c r="T53" i="10" s="1"/>
  <c r="T54" i="10" s="1"/>
  <c r="T55" i="10" s="1"/>
  <c r="T56" i="10" s="1"/>
  <c r="T57" i="10" s="1"/>
  <c r="T58" i="10" s="1"/>
  <c r="T59" i="10" s="1"/>
  <c r="T60" i="10" s="1"/>
  <c r="T61" i="10" s="1"/>
  <c r="T62" i="10" s="1"/>
  <c r="T63" i="10" s="1"/>
  <c r="BK111" i="11"/>
  <c r="BK112" i="11" s="1"/>
  <c r="BJ112" i="11" s="1"/>
  <c r="BJ113" i="11"/>
  <c r="BK116" i="11"/>
  <c r="CO129" i="11"/>
  <c r="CO72" i="11"/>
  <c r="CO73" i="11" s="1"/>
  <c r="CN73" i="11" s="1"/>
  <c r="CN74" i="11"/>
  <c r="CO77" i="11"/>
  <c r="AY196" i="11"/>
  <c r="AY197" i="11" s="1"/>
  <c r="AX197" i="11" s="1"/>
  <c r="AX198" i="11"/>
  <c r="AY201" i="11"/>
  <c r="CC129" i="11"/>
  <c r="CC72" i="11"/>
  <c r="CC73" i="11" s="1"/>
  <c r="CB73" i="11" s="1"/>
  <c r="CB74" i="11"/>
  <c r="CC77" i="11"/>
  <c r="F33" i="17"/>
  <c r="AY111" i="11"/>
  <c r="AY112" i="11" s="1"/>
  <c r="AX112" i="11" s="1"/>
  <c r="AX113" i="11"/>
  <c r="AY116" i="11"/>
  <c r="BZ233" i="11"/>
  <c r="BY234" i="11"/>
  <c r="BY233" i="11" s="1"/>
  <c r="BK129" i="11"/>
  <c r="BK72" i="11"/>
  <c r="BK73" i="11" s="1"/>
  <c r="BJ73" i="11" s="1"/>
  <c r="BJ74" i="11"/>
  <c r="BK77" i="11"/>
  <c r="CN87" i="11"/>
  <c r="CO85" i="11"/>
  <c r="CO86" i="11" s="1"/>
  <c r="CN86" i="11" s="1"/>
  <c r="CO90" i="11"/>
  <c r="CN113" i="11"/>
  <c r="CO111" i="11"/>
  <c r="CO112" i="11" s="1"/>
  <c r="CN112" i="11" s="1"/>
  <c r="CO116" i="11"/>
  <c r="AX224" i="11"/>
  <c r="AY222" i="11"/>
  <c r="AY223" i="11" s="1"/>
  <c r="AX223" i="11" s="1"/>
  <c r="AY227" i="11"/>
  <c r="AY209" i="11"/>
  <c r="AY210" i="11" s="1"/>
  <c r="AX210" i="11" s="1"/>
  <c r="AX211" i="11"/>
  <c r="AY214" i="11"/>
  <c r="CM227" i="11"/>
  <c r="CM226" i="11" s="1"/>
  <c r="CB87" i="11"/>
  <c r="CC85" i="11"/>
  <c r="CC86" i="11" s="1"/>
  <c r="CB86" i="11" s="1"/>
  <c r="CC90" i="11"/>
  <c r="CB100" i="11"/>
  <c r="CC98" i="11"/>
  <c r="CC99" i="11" s="1"/>
  <c r="CB99" i="11" s="1"/>
  <c r="CC103" i="11"/>
  <c r="CQ211" i="11"/>
  <c r="CR209" i="11"/>
  <c r="CR210" i="11" s="1"/>
  <c r="CQ210" i="11" s="1"/>
  <c r="CR214" i="11"/>
  <c r="CR196" i="11"/>
  <c r="CR197" i="11" s="1"/>
  <c r="CQ197" i="11" s="1"/>
  <c r="CQ198" i="11"/>
  <c r="CR201" i="11"/>
  <c r="CO187" i="11"/>
  <c r="CO200" i="11"/>
  <c r="CI129" i="11"/>
  <c r="CI72" i="11"/>
  <c r="CI73" i="11" s="1"/>
  <c r="CH73" i="11" s="1"/>
  <c r="CH74" i="11"/>
  <c r="CI77" i="11"/>
  <c r="CP103" i="11"/>
  <c r="CP102" i="11" s="1"/>
  <c r="F34" i="22"/>
  <c r="BO129" i="11"/>
  <c r="BO72" i="11"/>
  <c r="BO73" i="11" s="1"/>
  <c r="BO77" i="11"/>
  <c r="BO76" i="11" s="1"/>
  <c r="AR87" i="11"/>
  <c r="AS85" i="11"/>
  <c r="AS86" i="11" s="1"/>
  <c r="AR86" i="11" s="1"/>
  <c r="AS90" i="11"/>
  <c r="AR113" i="11"/>
  <c r="AS111" i="11"/>
  <c r="AS112" i="11" s="1"/>
  <c r="AR112" i="11" s="1"/>
  <c r="AS116" i="11"/>
  <c r="BN224" i="11"/>
  <c r="BN211" i="11"/>
  <c r="BN198" i="11"/>
  <c r="BN185" i="11"/>
  <c r="BM175" i="11"/>
  <c r="BM172" i="11" s="1"/>
  <c r="BF209" i="11"/>
  <c r="BF210" i="11" s="1"/>
  <c r="BF214" i="11"/>
  <c r="BF213" i="11" s="1"/>
  <c r="BL125" i="11"/>
  <c r="BL133" i="11"/>
  <c r="BL136" i="11"/>
  <c r="CD111" i="11"/>
  <c r="CD112" i="11" s="1"/>
  <c r="CD116" i="11"/>
  <c r="CD115" i="11" s="1"/>
  <c r="BC111" i="11"/>
  <c r="BC112" i="11" s="1"/>
  <c r="BC116" i="11"/>
  <c r="BC115" i="11" s="1"/>
  <c r="AU100" i="11"/>
  <c r="AV98" i="11"/>
  <c r="AV99" i="11" s="1"/>
  <c r="AU99" i="11" s="1"/>
  <c r="AV103" i="11"/>
  <c r="T48" i="13"/>
  <c r="T47" i="13"/>
  <c r="F41" i="9"/>
  <c r="U41" i="9" s="1"/>
  <c r="U40" i="9"/>
  <c r="BS100" i="11"/>
  <c r="BT98" i="11"/>
  <c r="BT99" i="11" s="1"/>
  <c r="BS99" i="11" s="1"/>
  <c r="BT103" i="11"/>
  <c r="AH50" i="21"/>
  <c r="BP123" i="11"/>
  <c r="BP122" i="11" s="1"/>
  <c r="BE240" i="11"/>
  <c r="BE183" i="11"/>
  <c r="BE184" i="11" s="1"/>
  <c r="BD184" i="11" s="1"/>
  <c r="BD185" i="11"/>
  <c r="BE188" i="11"/>
  <c r="BG100" i="11"/>
  <c r="BH98" i="11"/>
  <c r="BH99" i="11" s="1"/>
  <c r="BG99" i="11" s="1"/>
  <c r="BH103" i="11"/>
  <c r="CK165" i="11"/>
  <c r="AK35" i="26"/>
  <c r="AF35" i="26"/>
  <c r="AJ35" i="26"/>
  <c r="AI35" i="26"/>
  <c r="AL35" i="26" s="1"/>
  <c r="AG35" i="26"/>
  <c r="F36" i="26"/>
  <c r="F37" i="26" s="1"/>
  <c r="F38" i="26" s="1"/>
  <c r="AE35" i="26"/>
  <c r="CR85" i="11"/>
  <c r="CR86" i="11" s="1"/>
  <c r="CQ86" i="11" s="1"/>
  <c r="CQ87" i="11"/>
  <c r="CR90" i="11"/>
  <c r="AV222" i="11"/>
  <c r="AV223" i="11" s="1"/>
  <c r="AU223" i="11" s="1"/>
  <c r="AU224" i="11"/>
  <c r="AV227" i="11"/>
  <c r="AM111" i="11"/>
  <c r="AM112" i="11" s="1"/>
  <c r="AL112" i="11" s="1"/>
  <c r="AL113" i="11"/>
  <c r="AM116" i="11"/>
  <c r="BO201" i="11"/>
  <c r="BO200" i="11" s="1"/>
  <c r="BO214" i="11"/>
  <c r="BO213" i="11" s="1"/>
  <c r="T38" i="13"/>
  <c r="T37" i="13"/>
  <c r="BC240" i="11"/>
  <c r="BC183" i="11"/>
  <c r="BC184" i="11" s="1"/>
  <c r="BH222" i="11"/>
  <c r="BH223" i="11" s="1"/>
  <c r="BG223" i="11" s="1"/>
  <c r="BG224" i="11"/>
  <c r="BH227" i="11"/>
  <c r="BR233" i="11"/>
  <c r="BP234" i="11"/>
  <c r="BP233" i="11" s="1"/>
  <c r="F35" i="29"/>
  <c r="T34" i="29"/>
  <c r="BP100" i="11"/>
  <c r="BQ98" i="11"/>
  <c r="BQ99" i="11" s="1"/>
  <c r="BP99" i="11" s="1"/>
  <c r="BQ103" i="11"/>
  <c r="BW98" i="11"/>
  <c r="BW99" i="11" s="1"/>
  <c r="BV99" i="11" s="1"/>
  <c r="BV100" i="11"/>
  <c r="BW103" i="11"/>
  <c r="U32" i="11"/>
  <c r="S33" i="11"/>
  <c r="CJ201" i="11"/>
  <c r="CJ200" i="11" s="1"/>
  <c r="CJ214" i="11"/>
  <c r="CJ213" i="11" s="1"/>
  <c r="CJ233" i="11"/>
  <c r="CH234" i="11"/>
  <c r="CH233" i="11" s="1"/>
  <c r="BA100" i="11"/>
  <c r="BB98" i="11"/>
  <c r="BB99" i="11" s="1"/>
  <c r="BA99" i="11" s="1"/>
  <c r="BB103" i="11"/>
  <c r="CA129" i="11"/>
  <c r="CA72" i="11"/>
  <c r="CA73" i="11" s="1"/>
  <c r="CA77" i="11"/>
  <c r="CA76" i="11" s="1"/>
  <c r="AQ240" i="11"/>
  <c r="AQ183" i="11"/>
  <c r="AQ184" i="11" s="1"/>
  <c r="AQ188" i="11"/>
  <c r="AQ187" i="11" s="1"/>
  <c r="BB233" i="11"/>
  <c r="BA234" i="11"/>
  <c r="BA233" i="11" s="1"/>
  <c r="CD240" i="11"/>
  <c r="CD183" i="11"/>
  <c r="CD184" i="11" s="1"/>
  <c r="CD188" i="11"/>
  <c r="CD187" i="11" s="1"/>
  <c r="BV224" i="11"/>
  <c r="BW222" i="11"/>
  <c r="BW223" i="11" s="1"/>
  <c r="BV223" i="11" s="1"/>
  <c r="BW227" i="11"/>
  <c r="BW209" i="11"/>
  <c r="BW210" i="11" s="1"/>
  <c r="BV210" i="11" s="1"/>
  <c r="BV211" i="11"/>
  <c r="BW214" i="11"/>
  <c r="BX201" i="11"/>
  <c r="BX200" i="11" s="1"/>
  <c r="BX214" i="11"/>
  <c r="BX213" i="11" s="1"/>
  <c r="AS236" i="11"/>
  <c r="AS244" i="11"/>
  <c r="AS247" i="11"/>
  <c r="CF111" i="11"/>
  <c r="CF112" i="11" s="1"/>
  <c r="CE112" i="11" s="1"/>
  <c r="CE113" i="11"/>
  <c r="CF116" i="11"/>
  <c r="T58" i="29"/>
  <c r="F59" i="29"/>
  <c r="CI240" i="11"/>
  <c r="CI183" i="11"/>
  <c r="CI184" i="11" s="1"/>
  <c r="CH184" i="11" s="1"/>
  <c r="CH185" i="11"/>
  <c r="CI188" i="11"/>
  <c r="AT129" i="11"/>
  <c r="AT72" i="11"/>
  <c r="AT73" i="11" s="1"/>
  <c r="BE129" i="11"/>
  <c r="BE72" i="11"/>
  <c r="BE73" i="11" s="1"/>
  <c r="BD73" i="11" s="1"/>
  <c r="BD74" i="11"/>
  <c r="BE77" i="11"/>
  <c r="BS211" i="11"/>
  <c r="BT209" i="11"/>
  <c r="BT210" i="11" s="1"/>
  <c r="BS210" i="11" s="1"/>
  <c r="BT214" i="11"/>
  <c r="BT196" i="11"/>
  <c r="BT197" i="11" s="1"/>
  <c r="BS197" i="11" s="1"/>
  <c r="BS198" i="11"/>
  <c r="BT201" i="11"/>
  <c r="BQ222" i="11"/>
  <c r="BQ223" i="11" s="1"/>
  <c r="BP223" i="11" s="1"/>
  <c r="BP224" i="11"/>
  <c r="BQ227" i="11"/>
  <c r="BZ224" i="11"/>
  <c r="BZ211" i="11"/>
  <c r="BZ198" i="11"/>
  <c r="BY175" i="11"/>
  <c r="BY172" i="11" s="1"/>
  <c r="BZ185" i="11"/>
  <c r="AQ111" i="11"/>
  <c r="AQ112" i="11" s="1"/>
  <c r="AQ116" i="11"/>
  <c r="AQ115" i="11" s="1"/>
  <c r="CS242" i="11"/>
  <c r="CS237" i="11"/>
  <c r="U144" i="11"/>
  <c r="S145" i="11"/>
  <c r="BM100" i="11"/>
  <c r="BN98" i="11"/>
  <c r="BN99" i="11" s="1"/>
  <c r="BM99" i="11" s="1"/>
  <c r="BN103" i="11"/>
  <c r="CS249" i="11" l="1"/>
  <c r="CS238" i="11"/>
  <c r="CS243" i="11"/>
  <c r="BZ209" i="11"/>
  <c r="BZ210" i="11" s="1"/>
  <c r="BY210" i="11" s="1"/>
  <c r="BY211" i="11"/>
  <c r="BZ214" i="11"/>
  <c r="BT213" i="11"/>
  <c r="BS214" i="11"/>
  <c r="BS213" i="11" s="1"/>
  <c r="BD129" i="11"/>
  <c r="BD72" i="11"/>
  <c r="BD70" i="11"/>
  <c r="AT136" i="11"/>
  <c r="AT125" i="11"/>
  <c r="AT133" i="11"/>
  <c r="CI244" i="11"/>
  <c r="CI247" i="11"/>
  <c r="CI236" i="11"/>
  <c r="BW226" i="11"/>
  <c r="BV227" i="11"/>
  <c r="BV226" i="11" s="1"/>
  <c r="BA98" i="11"/>
  <c r="BA96" i="11"/>
  <c r="BV103" i="11"/>
  <c r="BV102" i="11" s="1"/>
  <c r="BW102" i="11"/>
  <c r="BQ102" i="11"/>
  <c r="BP103" i="11"/>
  <c r="BP102" i="11" s="1"/>
  <c r="AL109" i="11"/>
  <c r="AL111" i="11"/>
  <c r="BG98" i="11"/>
  <c r="BG96" i="11"/>
  <c r="BD240" i="11"/>
  <c r="BD183" i="11"/>
  <c r="BD181" i="11"/>
  <c r="BL131" i="11"/>
  <c r="BL126" i="11"/>
  <c r="BM185" i="11"/>
  <c r="BN240" i="11"/>
  <c r="BN183" i="11"/>
  <c r="BN184" i="11" s="1"/>
  <c r="BM184" i="11" s="1"/>
  <c r="BN188" i="11"/>
  <c r="AS115" i="11"/>
  <c r="AR116" i="11"/>
  <c r="AR115" i="11" s="1"/>
  <c r="BO125" i="11"/>
  <c r="BO133" i="11"/>
  <c r="BO136" i="11"/>
  <c r="CH129" i="11"/>
  <c r="CH70" i="11"/>
  <c r="CH72" i="11"/>
  <c r="CQ196" i="11"/>
  <c r="CQ194" i="11"/>
  <c r="CQ209" i="11"/>
  <c r="CQ207" i="11"/>
  <c r="CB98" i="11"/>
  <c r="CB96" i="11"/>
  <c r="AY226" i="11"/>
  <c r="AX227" i="11"/>
  <c r="AX226" i="11" s="1"/>
  <c r="CN85" i="11"/>
  <c r="CN83" i="11"/>
  <c r="BK125" i="11"/>
  <c r="BK133" i="11"/>
  <c r="BK136" i="11"/>
  <c r="AX109" i="11"/>
  <c r="AX111" i="11"/>
  <c r="CB129" i="11"/>
  <c r="CB72" i="11"/>
  <c r="CB70" i="11"/>
  <c r="AX194" i="11"/>
  <c r="AX196" i="11"/>
  <c r="BR236" i="11"/>
  <c r="BR244" i="11"/>
  <c r="BR247" i="11"/>
  <c r="BS188" i="11"/>
  <c r="BS187" i="11" s="1"/>
  <c r="BT187" i="11"/>
  <c r="AP115" i="11"/>
  <c r="AO116" i="11"/>
  <c r="AO115" i="11" s="1"/>
  <c r="AH73" i="26"/>
  <c r="CB227" i="11"/>
  <c r="CB226" i="11" s="1"/>
  <c r="CC226" i="11"/>
  <c r="CK109" i="11"/>
  <c r="CK111" i="11"/>
  <c r="CK129" i="11"/>
  <c r="CK72" i="11"/>
  <c r="CK70" i="11"/>
  <c r="BA85" i="11"/>
  <c r="BA83" i="11"/>
  <c r="BV83" i="11"/>
  <c r="BV85" i="11"/>
  <c r="BP85" i="11"/>
  <c r="BP83" i="11"/>
  <c r="BG196" i="11"/>
  <c r="BG194" i="11"/>
  <c r="BG209" i="11"/>
  <c r="BG207" i="11"/>
  <c r="AL96" i="11"/>
  <c r="AL98" i="11"/>
  <c r="AU196" i="11"/>
  <c r="AU194" i="11"/>
  <c r="AU209" i="11"/>
  <c r="AU207" i="11"/>
  <c r="CR125" i="11"/>
  <c r="CR133" i="11"/>
  <c r="CR136" i="11"/>
  <c r="AH52" i="21"/>
  <c r="BH52" i="21"/>
  <c r="BE52" i="21"/>
  <c r="BF52" i="21"/>
  <c r="BK52" i="21"/>
  <c r="AP209" i="11"/>
  <c r="AP210" i="11" s="1"/>
  <c r="AO210" i="11" s="1"/>
  <c r="AO211" i="11"/>
  <c r="AP214" i="11"/>
  <c r="CM125" i="11"/>
  <c r="CM133" i="11"/>
  <c r="CM136" i="11"/>
  <c r="AS133" i="11"/>
  <c r="AS136" i="11"/>
  <c r="AS125" i="11"/>
  <c r="CE220" i="11"/>
  <c r="CE222" i="11"/>
  <c r="CO242" i="11"/>
  <c r="CO237" i="11"/>
  <c r="BZ111" i="11"/>
  <c r="BZ112" i="11" s="1"/>
  <c r="BY112" i="11" s="1"/>
  <c r="BY113" i="11"/>
  <c r="BZ116" i="11"/>
  <c r="CR247" i="11"/>
  <c r="CR236" i="11"/>
  <c r="CR244" i="11"/>
  <c r="BJ209" i="11"/>
  <c r="BJ207" i="11"/>
  <c r="BJ222" i="11"/>
  <c r="BJ220" i="11"/>
  <c r="CP196" i="11"/>
  <c r="CP197" i="11" s="1"/>
  <c r="CN197" i="11" s="1"/>
  <c r="CP201" i="11"/>
  <c r="CN198" i="11"/>
  <c r="AO98" i="11"/>
  <c r="AO96" i="11"/>
  <c r="BE89" i="11"/>
  <c r="BD90" i="11"/>
  <c r="BD89" i="11" s="1"/>
  <c r="CH209" i="11"/>
  <c r="CH207" i="11"/>
  <c r="CH222" i="11"/>
  <c r="CH220" i="11"/>
  <c r="BW187" i="11"/>
  <c r="BV188" i="11"/>
  <c r="BV187" i="11" s="1"/>
  <c r="CL102" i="11"/>
  <c r="CK103" i="11"/>
  <c r="CK102" i="11" s="1"/>
  <c r="BV129" i="11"/>
  <c r="BV70" i="11"/>
  <c r="BV72" i="11"/>
  <c r="BG188" i="11"/>
  <c r="BG187" i="11" s="1"/>
  <c r="BH187" i="11"/>
  <c r="F39" i="13"/>
  <c r="A38" i="13"/>
  <c r="BB209" i="11"/>
  <c r="BB210" i="11" s="1"/>
  <c r="BA210" i="11" s="1"/>
  <c r="BA211" i="11"/>
  <c r="BB214" i="11"/>
  <c r="AL83" i="11"/>
  <c r="AL85" i="11"/>
  <c r="BG77" i="11"/>
  <c r="BG76" i="11" s="1"/>
  <c r="BH76" i="11"/>
  <c r="BD207" i="11"/>
  <c r="BD209" i="11"/>
  <c r="BS129" i="11"/>
  <c r="BS72" i="11"/>
  <c r="BS70" i="11"/>
  <c r="AU77" i="11"/>
  <c r="AU76" i="11" s="1"/>
  <c r="AV76" i="11"/>
  <c r="CH96" i="11"/>
  <c r="CH98" i="11"/>
  <c r="AY187" i="11"/>
  <c r="AX188" i="11"/>
  <c r="AX187" i="11" s="1"/>
  <c r="F43" i="22"/>
  <c r="BO244" i="11"/>
  <c r="BO247" i="11"/>
  <c r="BO236" i="11"/>
  <c r="F33" i="28"/>
  <c r="T32" i="28"/>
  <c r="AX96" i="11"/>
  <c r="AX98" i="11"/>
  <c r="BU242" i="11"/>
  <c r="BU237" i="11"/>
  <c r="BN76" i="11"/>
  <c r="BM77" i="11"/>
  <c r="BM76" i="11" s="1"/>
  <c r="BP240" i="11"/>
  <c r="BP183" i="11"/>
  <c r="BP181" i="11"/>
  <c r="BS222" i="11"/>
  <c r="BS220" i="11"/>
  <c r="AO86" i="11"/>
  <c r="CH201" i="11"/>
  <c r="CH200" i="11" s="1"/>
  <c r="CI200" i="11"/>
  <c r="CB240" i="11"/>
  <c r="CB183" i="11"/>
  <c r="CB181" i="11"/>
  <c r="CB197" i="11"/>
  <c r="BA111" i="11"/>
  <c r="BA109" i="11"/>
  <c r="BA129" i="11"/>
  <c r="BA72" i="11"/>
  <c r="BA70" i="11"/>
  <c r="BV109" i="11"/>
  <c r="BV111" i="11"/>
  <c r="BP111" i="11"/>
  <c r="BP109" i="11"/>
  <c r="AM125" i="11"/>
  <c r="AM133" i="11"/>
  <c r="AM136" i="11"/>
  <c r="CQ103" i="11"/>
  <c r="CQ102" i="11" s="1"/>
  <c r="CR102" i="11"/>
  <c r="BG111" i="11"/>
  <c r="BG109" i="11"/>
  <c r="AM187" i="11"/>
  <c r="AL188" i="11"/>
  <c r="AL187" i="11" s="1"/>
  <c r="BS111" i="11"/>
  <c r="BS109" i="11"/>
  <c r="AV115" i="11"/>
  <c r="AU116" i="11"/>
  <c r="AU115" i="11" s="1"/>
  <c r="CD136" i="11"/>
  <c r="CD125" i="11"/>
  <c r="CD133" i="11"/>
  <c r="AT222" i="11"/>
  <c r="AT223" i="11" s="1"/>
  <c r="AR223" i="11" s="1"/>
  <c r="AT227" i="11"/>
  <c r="AR224" i="11"/>
  <c r="CF247" i="11"/>
  <c r="CF236" i="11"/>
  <c r="CF244" i="11"/>
  <c r="CQ222" i="11"/>
  <c r="CQ220" i="11"/>
  <c r="BJ184" i="11"/>
  <c r="CB112" i="11"/>
  <c r="CO102" i="11"/>
  <c r="CN103" i="11"/>
  <c r="CN102" i="11" s="1"/>
  <c r="AX129" i="11"/>
  <c r="AX70" i="11"/>
  <c r="AX72" i="11"/>
  <c r="F71" i="19"/>
  <c r="T70" i="19"/>
  <c r="F34" i="25"/>
  <c r="T33" i="25"/>
  <c r="BN196" i="11"/>
  <c r="BN197" i="11" s="1"/>
  <c r="BM197" i="11" s="1"/>
  <c r="BM198" i="11"/>
  <c r="BN201" i="11"/>
  <c r="CC89" i="11"/>
  <c r="CB90" i="11"/>
  <c r="CB89" i="11" s="1"/>
  <c r="AY213" i="11"/>
  <c r="AX214" i="11"/>
  <c r="AX213" i="11" s="1"/>
  <c r="CN111" i="11"/>
  <c r="CN109" i="11"/>
  <c r="BK76" i="11"/>
  <c r="BJ77" i="11"/>
  <c r="BJ76" i="11" s="1"/>
  <c r="CO133" i="11"/>
  <c r="CO136" i="11"/>
  <c r="CO125" i="11"/>
  <c r="BN89" i="11"/>
  <c r="BM90" i="11"/>
  <c r="BM89" i="11" s="1"/>
  <c r="BQ213" i="11"/>
  <c r="BP214" i="11"/>
  <c r="BP213" i="11" s="1"/>
  <c r="BS240" i="11"/>
  <c r="BS183" i="11"/>
  <c r="BS181" i="11"/>
  <c r="AO109" i="11"/>
  <c r="AO111" i="11"/>
  <c r="AO129" i="11"/>
  <c r="AO72" i="11"/>
  <c r="AO70" i="11"/>
  <c r="CJ131" i="11"/>
  <c r="CJ126" i="11"/>
  <c r="CE98" i="11"/>
  <c r="CE96" i="11"/>
  <c r="BV201" i="11"/>
  <c r="BV200" i="11" s="1"/>
  <c r="BW200" i="11"/>
  <c r="CB220" i="11"/>
  <c r="CB222" i="11"/>
  <c r="CL136" i="11"/>
  <c r="CL125" i="11"/>
  <c r="CL133" i="11"/>
  <c r="BQ133" i="11"/>
  <c r="BQ136" i="11"/>
  <c r="BQ125" i="11"/>
  <c r="T57" i="16"/>
  <c r="T56" i="16"/>
  <c r="AN247" i="11"/>
  <c r="AN236" i="11"/>
  <c r="AN244" i="11"/>
  <c r="CQ77" i="11"/>
  <c r="CQ76" i="11" s="1"/>
  <c r="CR76" i="11"/>
  <c r="BG90" i="11"/>
  <c r="BG89" i="11" s="1"/>
  <c r="BH89" i="11"/>
  <c r="AM226" i="11"/>
  <c r="AL227" i="11"/>
  <c r="AL226" i="11" s="1"/>
  <c r="BL52" i="21"/>
  <c r="BI52" i="21"/>
  <c r="BD52" i="21"/>
  <c r="BJ52" i="21"/>
  <c r="CG132" i="11"/>
  <c r="CG127" i="11"/>
  <c r="CG138" i="11"/>
  <c r="BS90" i="11"/>
  <c r="BS89" i="11" s="1"/>
  <c r="BT89" i="11"/>
  <c r="AO185" i="11"/>
  <c r="AP240" i="11"/>
  <c r="AP183" i="11"/>
  <c r="AP184" i="11" s="1"/>
  <c r="AO184" i="11" s="1"/>
  <c r="AP188" i="11"/>
  <c r="AP222" i="11"/>
  <c r="AP223" i="11" s="1"/>
  <c r="AO223" i="11" s="1"/>
  <c r="AO224" i="11"/>
  <c r="AP227" i="11"/>
  <c r="AS76" i="11"/>
  <c r="AR77" i="11"/>
  <c r="AR76" i="11" s="1"/>
  <c r="CH116" i="11"/>
  <c r="CH115" i="11" s="1"/>
  <c r="CI115" i="11"/>
  <c r="BZ129" i="11"/>
  <c r="BY74" i="11"/>
  <c r="BZ72" i="11"/>
  <c r="BZ73" i="11" s="1"/>
  <c r="BY73" i="11" s="1"/>
  <c r="BZ77" i="11"/>
  <c r="CQ188" i="11"/>
  <c r="CQ187" i="11" s="1"/>
  <c r="CR187" i="11"/>
  <c r="T60" i="17"/>
  <c r="F61" i="17"/>
  <c r="F39" i="30"/>
  <c r="F40" i="30" s="1"/>
  <c r="F41" i="30" s="1"/>
  <c r="F42" i="30" s="1"/>
  <c r="F43" i="30" s="1"/>
  <c r="F44" i="30" s="1"/>
  <c r="F45" i="30" s="1"/>
  <c r="F46" i="30" s="1"/>
  <c r="F47" i="30" s="1"/>
  <c r="CP209" i="11"/>
  <c r="CP210" i="11" s="1"/>
  <c r="CN210" i="11" s="1"/>
  <c r="CP214" i="11"/>
  <c r="CN211" i="11"/>
  <c r="T80" i="12"/>
  <c r="F81" i="12"/>
  <c r="F82" i="12" s="1"/>
  <c r="BP196" i="11"/>
  <c r="BP194" i="11"/>
  <c r="BE102" i="11"/>
  <c r="BD103" i="11"/>
  <c r="BD102" i="11" s="1"/>
  <c r="CE90" i="11"/>
  <c r="CE89" i="11" s="1"/>
  <c r="CF89" i="11"/>
  <c r="U61" i="8"/>
  <c r="F62" i="8"/>
  <c r="BV181" i="11"/>
  <c r="BV240" i="11"/>
  <c r="BV183" i="11"/>
  <c r="CC213" i="11"/>
  <c r="CB214" i="11"/>
  <c r="CB213" i="11" s="1"/>
  <c r="BG240" i="11"/>
  <c r="BG183" i="11"/>
  <c r="BG181" i="11"/>
  <c r="BA185" i="11"/>
  <c r="BB240" i="11"/>
  <c r="BB183" i="11"/>
  <c r="BB184" i="11" s="1"/>
  <c r="BA184" i="11" s="1"/>
  <c r="BB188" i="11"/>
  <c r="BB222" i="11"/>
  <c r="BB223" i="11" s="1"/>
  <c r="BA223" i="11" s="1"/>
  <c r="BA224" i="11"/>
  <c r="BB227" i="11"/>
  <c r="AV247" i="11"/>
  <c r="AV236" i="11"/>
  <c r="AV244" i="11"/>
  <c r="CL196" i="11"/>
  <c r="CL197" i="11" s="1"/>
  <c r="CK197" i="11" s="1"/>
  <c r="CK198" i="11"/>
  <c r="CL201" i="11"/>
  <c r="BG129" i="11"/>
  <c r="BG72" i="11"/>
  <c r="BG70" i="11"/>
  <c r="BD210" i="11"/>
  <c r="BI131" i="11"/>
  <c r="BI126" i="11"/>
  <c r="AU129" i="11"/>
  <c r="AU72" i="11"/>
  <c r="AU70" i="11"/>
  <c r="CF213" i="11"/>
  <c r="CE214" i="11"/>
  <c r="CE213" i="11" s="1"/>
  <c r="AX181" i="11"/>
  <c r="AX240" i="11"/>
  <c r="AX183" i="11"/>
  <c r="BJ103" i="11"/>
  <c r="BJ102" i="11" s="1"/>
  <c r="BK102" i="11"/>
  <c r="AY89" i="11"/>
  <c r="AX90" i="11"/>
  <c r="AX89" i="11" s="1"/>
  <c r="F55" i="23"/>
  <c r="F56" i="23" s="1"/>
  <c r="F57" i="23" s="1"/>
  <c r="F58" i="23" s="1"/>
  <c r="F59" i="23" s="1"/>
  <c r="BN115" i="11"/>
  <c r="BM116" i="11"/>
  <c r="BM115" i="11" s="1"/>
  <c r="BM73" i="11"/>
  <c r="BP184" i="11"/>
  <c r="BE115" i="11"/>
  <c r="BD116" i="11"/>
  <c r="BD115" i="11" s="1"/>
  <c r="CH194" i="11"/>
  <c r="CH196" i="11"/>
  <c r="BI242" i="11"/>
  <c r="BI237" i="11"/>
  <c r="CF125" i="11"/>
  <c r="CF133" i="11"/>
  <c r="CF136" i="11"/>
  <c r="CB184" i="11"/>
  <c r="CB196" i="11"/>
  <c r="CB194" i="11"/>
  <c r="BA112" i="11"/>
  <c r="BB136" i="11"/>
  <c r="BB125" i="11"/>
  <c r="BB133" i="11"/>
  <c r="F60" i="16"/>
  <c r="T59" i="16"/>
  <c r="AM76" i="11"/>
  <c r="AL77" i="11"/>
  <c r="AL76" i="11" s="1"/>
  <c r="BE200" i="11"/>
  <c r="BD201" i="11"/>
  <c r="BD200" i="11" s="1"/>
  <c r="AL181" i="11"/>
  <c r="AL240" i="11"/>
  <c r="AL183" i="11"/>
  <c r="CP136" i="11"/>
  <c r="CP125" i="11"/>
  <c r="CP133" i="11"/>
  <c r="AU111" i="11"/>
  <c r="AU109" i="11"/>
  <c r="BC125" i="11"/>
  <c r="BC133" i="11"/>
  <c r="BC136" i="11"/>
  <c r="AS102" i="11"/>
  <c r="AR103" i="11"/>
  <c r="AR102" i="11" s="1"/>
  <c r="F35" i="8"/>
  <c r="U34" i="8"/>
  <c r="CI89" i="11"/>
  <c r="CH90" i="11"/>
  <c r="CH89" i="11" s="1"/>
  <c r="AT240" i="11"/>
  <c r="AT183" i="11"/>
  <c r="AT184" i="11" s="1"/>
  <c r="AR184" i="11" s="1"/>
  <c r="AT188" i="11"/>
  <c r="AR185" i="11"/>
  <c r="CE188" i="11"/>
  <c r="CE187" i="11" s="1"/>
  <c r="CF187" i="11"/>
  <c r="BU131" i="11"/>
  <c r="BU126" i="11"/>
  <c r="BK244" i="11"/>
  <c r="BK247" i="11"/>
  <c r="BK236" i="11"/>
  <c r="CB111" i="11"/>
  <c r="CB109" i="11"/>
  <c r="BM98" i="11"/>
  <c r="BM96" i="11"/>
  <c r="S146" i="11"/>
  <c r="U145" i="11"/>
  <c r="BY185" i="11"/>
  <c r="BZ240" i="11"/>
  <c r="BZ183" i="11"/>
  <c r="BZ184" i="11" s="1"/>
  <c r="BY184" i="11" s="1"/>
  <c r="BZ188" i="11"/>
  <c r="BZ222" i="11"/>
  <c r="BZ223" i="11" s="1"/>
  <c r="BY223" i="11" s="1"/>
  <c r="BY224" i="11"/>
  <c r="BZ227" i="11"/>
  <c r="BT200" i="11"/>
  <c r="BS201" i="11"/>
  <c r="BS200" i="11" s="1"/>
  <c r="CI187" i="11"/>
  <c r="CH188" i="11"/>
  <c r="CH187" i="11" s="1"/>
  <c r="F60" i="29"/>
  <c r="T59" i="29"/>
  <c r="CF115" i="11"/>
  <c r="CE116" i="11"/>
  <c r="CE115" i="11" s="1"/>
  <c r="BW213" i="11"/>
  <c r="BV214" i="11"/>
  <c r="BV213" i="11" s="1"/>
  <c r="CD236" i="11"/>
  <c r="CD244" i="11"/>
  <c r="CD247" i="11"/>
  <c r="CA125" i="11"/>
  <c r="CA133" i="11"/>
  <c r="CA136" i="11"/>
  <c r="U33" i="11"/>
  <c r="S34" i="11"/>
  <c r="BV96" i="11"/>
  <c r="BV98" i="11"/>
  <c r="T35" i="29"/>
  <c r="F36" i="29"/>
  <c r="BH226" i="11"/>
  <c r="BG227" i="11"/>
  <c r="BG226" i="11" s="1"/>
  <c r="BC244" i="11"/>
  <c r="BC247" i="11"/>
  <c r="BC236" i="11"/>
  <c r="CQ90" i="11"/>
  <c r="CQ89" i="11" s="1"/>
  <c r="CR89" i="11"/>
  <c r="BS103" i="11"/>
  <c r="BS102" i="11" s="1"/>
  <c r="BT102" i="11"/>
  <c r="BE236" i="11"/>
  <c r="BE244" i="11"/>
  <c r="BE247" i="11"/>
  <c r="AR111" i="11"/>
  <c r="AR109" i="11"/>
  <c r="CI125" i="11"/>
  <c r="CI133" i="11"/>
  <c r="CI136" i="11"/>
  <c r="CR213" i="11"/>
  <c r="CQ214" i="11"/>
  <c r="CQ213" i="11" s="1"/>
  <c r="CC102" i="11"/>
  <c r="CB103" i="11"/>
  <c r="CB102" i="11" s="1"/>
  <c r="AX209" i="11"/>
  <c r="AX207" i="11"/>
  <c r="AX222" i="11"/>
  <c r="AX220" i="11"/>
  <c r="CO89" i="11"/>
  <c r="CN90" i="11"/>
  <c r="CN89" i="11" s="1"/>
  <c r="BJ129" i="11"/>
  <c r="BJ70" i="11"/>
  <c r="BJ72" i="11"/>
  <c r="F34" i="17"/>
  <c r="T33" i="17"/>
  <c r="H33" i="17"/>
  <c r="CC133" i="11"/>
  <c r="CC136" i="11"/>
  <c r="CC125" i="11"/>
  <c r="CO76" i="11"/>
  <c r="CN77" i="11"/>
  <c r="CN76" i="11" s="1"/>
  <c r="BJ116" i="11"/>
  <c r="BJ115" i="11" s="1"/>
  <c r="BK115" i="11"/>
  <c r="F50" i="10"/>
  <c r="BM83" i="11"/>
  <c r="BM85" i="11"/>
  <c r="BP207" i="11"/>
  <c r="BP209" i="11"/>
  <c r="AO112" i="11"/>
  <c r="AP136" i="11"/>
  <c r="AP125" i="11"/>
  <c r="AP133" i="11"/>
  <c r="BV194" i="11"/>
  <c r="BV196" i="11"/>
  <c r="CB223" i="11"/>
  <c r="CL76" i="11"/>
  <c r="CK77" i="11"/>
  <c r="CK76" i="11" s="1"/>
  <c r="CA244" i="11"/>
  <c r="CA247" i="11"/>
  <c r="CA236" i="11"/>
  <c r="BQ76" i="11"/>
  <c r="BP77" i="11"/>
  <c r="BP76" i="11" s="1"/>
  <c r="BQ89" i="11"/>
  <c r="BP90" i="11"/>
  <c r="BP89" i="11" s="1"/>
  <c r="F78" i="25"/>
  <c r="T77" i="25"/>
  <c r="BH213" i="11"/>
  <c r="BG214" i="11"/>
  <c r="BG213" i="11" s="1"/>
  <c r="AL103" i="11"/>
  <c r="AL102" i="11" s="1"/>
  <c r="AM102" i="11"/>
  <c r="AW132" i="11"/>
  <c r="AW127" i="11"/>
  <c r="AW138" i="11"/>
  <c r="AV213" i="11"/>
  <c r="AU214" i="11"/>
  <c r="AU213" i="11" s="1"/>
  <c r="CQ129" i="11"/>
  <c r="CQ72" i="11"/>
  <c r="CQ70" i="11"/>
  <c r="BG85" i="11"/>
  <c r="BG83" i="11"/>
  <c r="BD227" i="11"/>
  <c r="BD226" i="11" s="1"/>
  <c r="BE226" i="11"/>
  <c r="AM213" i="11"/>
  <c r="AL214" i="11"/>
  <c r="AL213" i="11" s="1"/>
  <c r="BM52" i="21"/>
  <c r="BS85" i="11"/>
  <c r="BS83" i="11"/>
  <c r="F34" i="20"/>
  <c r="F40" i="12"/>
  <c r="T39" i="12"/>
  <c r="T39" i="16"/>
  <c r="G39" i="16"/>
  <c r="F40" i="16"/>
  <c r="AU90" i="11"/>
  <c r="AU89" i="11" s="1"/>
  <c r="AV89" i="11"/>
  <c r="AR72" i="11"/>
  <c r="AR129" i="11"/>
  <c r="AR70" i="11"/>
  <c r="CH109" i="11"/>
  <c r="CH111" i="11"/>
  <c r="AW238" i="11"/>
  <c r="AW249" i="11"/>
  <c r="AW243" i="11"/>
  <c r="BZ85" i="11"/>
  <c r="BZ86" i="11" s="1"/>
  <c r="BY86" i="11" s="1"/>
  <c r="BY87" i="11"/>
  <c r="BZ90" i="11"/>
  <c r="CQ240" i="11"/>
  <c r="CQ183" i="11"/>
  <c r="CQ181" i="11"/>
  <c r="BK226" i="11"/>
  <c r="BJ227" i="11"/>
  <c r="BJ226" i="11" s="1"/>
  <c r="CP222" i="11"/>
  <c r="CP223" i="11" s="1"/>
  <c r="CN223" i="11" s="1"/>
  <c r="CP227" i="11"/>
  <c r="CN224" i="11"/>
  <c r="AP102" i="11"/>
  <c r="AO103" i="11"/>
  <c r="AO102" i="11" s="1"/>
  <c r="BD85" i="11"/>
  <c r="BD83" i="11"/>
  <c r="CI226" i="11"/>
  <c r="CH227" i="11"/>
  <c r="CH226" i="11" s="1"/>
  <c r="CE85" i="11"/>
  <c r="CE83" i="11"/>
  <c r="T56" i="28"/>
  <c r="F57" i="28"/>
  <c r="CS132" i="11"/>
  <c r="CS127" i="11"/>
  <c r="CS138" i="11"/>
  <c r="CB207" i="11"/>
  <c r="CB209" i="11"/>
  <c r="CK98" i="11"/>
  <c r="CK96" i="11"/>
  <c r="BW125" i="11"/>
  <c r="BW133" i="11"/>
  <c r="BW136" i="11"/>
  <c r="V64" i="10"/>
  <c r="AB64" i="10"/>
  <c r="AU188" i="11"/>
  <c r="AU187" i="11" s="1"/>
  <c r="AV187" i="11"/>
  <c r="CR115" i="11"/>
  <c r="CQ116" i="11"/>
  <c r="CQ115" i="11" s="1"/>
  <c r="CL209" i="11"/>
  <c r="CL210" i="11" s="1"/>
  <c r="CK210" i="11" s="1"/>
  <c r="CK211" i="11"/>
  <c r="CL214" i="11"/>
  <c r="BH125" i="11"/>
  <c r="BH133" i="11"/>
  <c r="BH136" i="11"/>
  <c r="AL201" i="11"/>
  <c r="AL200" i="11" s="1"/>
  <c r="AM200" i="11"/>
  <c r="AN131" i="11"/>
  <c r="AN126" i="11"/>
  <c r="BT125" i="11"/>
  <c r="BT133" i="11"/>
  <c r="BT136" i="11"/>
  <c r="BF236" i="11"/>
  <c r="BF244" i="11"/>
  <c r="BF247" i="11"/>
  <c r="CH103" i="11"/>
  <c r="CH102" i="11" s="1"/>
  <c r="CI102" i="11"/>
  <c r="CF200" i="11"/>
  <c r="CE201" i="11"/>
  <c r="CE200" i="11" s="1"/>
  <c r="BJ201" i="11"/>
  <c r="BJ200" i="11" s="1"/>
  <c r="BK200" i="11"/>
  <c r="BF127" i="11"/>
  <c r="BF138" i="11"/>
  <c r="BF132" i="11"/>
  <c r="BX131" i="11"/>
  <c r="BX126" i="11"/>
  <c r="CG242" i="11"/>
  <c r="CG237" i="11"/>
  <c r="AX83" i="11"/>
  <c r="AX85" i="11"/>
  <c r="CM244" i="11"/>
  <c r="CM247" i="11"/>
  <c r="CM236" i="11"/>
  <c r="BM111" i="11"/>
  <c r="BM109" i="11"/>
  <c r="BM129" i="11"/>
  <c r="BM72" i="11"/>
  <c r="BM70" i="11"/>
  <c r="AQ125" i="11"/>
  <c r="AQ133" i="11"/>
  <c r="AQ136" i="11"/>
  <c r="BQ236" i="11"/>
  <c r="BQ244" i="11"/>
  <c r="BQ247" i="11"/>
  <c r="AP89" i="11"/>
  <c r="AO90" i="11"/>
  <c r="AO89" i="11" s="1"/>
  <c r="F48" i="19"/>
  <c r="T47" i="19"/>
  <c r="CE77" i="11"/>
  <c r="CE76" i="11" s="1"/>
  <c r="CF76" i="11"/>
  <c r="CC236" i="11"/>
  <c r="CC244" i="11"/>
  <c r="CC247" i="11"/>
  <c r="CL89" i="11"/>
  <c r="CK90" i="11"/>
  <c r="CK89" i="11" s="1"/>
  <c r="BB76" i="11"/>
  <c r="BA77" i="11"/>
  <c r="BA76" i="11" s="1"/>
  <c r="BQ115" i="11"/>
  <c r="BP116" i="11"/>
  <c r="BP115" i="11" s="1"/>
  <c r="AL129" i="11"/>
  <c r="AL70" i="11"/>
  <c r="AL72" i="11"/>
  <c r="CQ98" i="11"/>
  <c r="CQ96" i="11"/>
  <c r="BD197" i="11"/>
  <c r="AL184" i="11"/>
  <c r="CH83" i="11"/>
  <c r="CH85" i="11"/>
  <c r="AT196" i="11"/>
  <c r="AT197" i="11" s="1"/>
  <c r="AR197" i="11" s="1"/>
  <c r="AT201" i="11"/>
  <c r="AR198" i="11"/>
  <c r="CE240" i="11"/>
  <c r="CE183" i="11"/>
  <c r="CE181" i="11"/>
  <c r="BK187" i="11"/>
  <c r="BJ188" i="11"/>
  <c r="BJ187" i="11" s="1"/>
  <c r="CN98" i="11"/>
  <c r="CN96" i="11"/>
  <c r="BK89" i="11"/>
  <c r="BJ90" i="11"/>
  <c r="BJ89" i="11" s="1"/>
  <c r="AY125" i="11"/>
  <c r="AY133" i="11"/>
  <c r="AY136" i="11"/>
  <c r="BX247" i="11"/>
  <c r="BX236" i="11"/>
  <c r="BX244" i="11"/>
  <c r="AU98" i="11"/>
  <c r="AU96" i="11"/>
  <c r="AR85" i="11"/>
  <c r="AR83" i="11"/>
  <c r="BA34" i="22"/>
  <c r="BL34" i="22" s="1"/>
  <c r="AW34" i="22"/>
  <c r="BH34" i="22" s="1"/>
  <c r="AS34" i="22"/>
  <c r="AO34" i="22"/>
  <c r="AK34" i="22"/>
  <c r="AG34" i="22"/>
  <c r="AH34" i="22" s="1"/>
  <c r="AZ34" i="22"/>
  <c r="BK34" i="22" s="1"/>
  <c r="AV34" i="22"/>
  <c r="BG34" i="22" s="1"/>
  <c r="AR34" i="22"/>
  <c r="AN34" i="22"/>
  <c r="AJ34" i="22"/>
  <c r="AF34" i="22"/>
  <c r="BC34" i="22"/>
  <c r="AY34" i="22"/>
  <c r="BJ34" i="22" s="1"/>
  <c r="AU34" i="22"/>
  <c r="BF34" i="22" s="1"/>
  <c r="AQ34" i="22"/>
  <c r="AM34" i="22"/>
  <c r="AI34" i="22"/>
  <c r="BD34" i="22" s="1"/>
  <c r="AE34" i="22"/>
  <c r="F35" i="22"/>
  <c r="BB34" i="22"/>
  <c r="BM34" i="22" s="1"/>
  <c r="AX34" i="22"/>
  <c r="BI34" i="22" s="1"/>
  <c r="AT34" i="22"/>
  <c r="BE34" i="22" s="1"/>
  <c r="AP34" i="22"/>
  <c r="AL34" i="22"/>
  <c r="BN102" i="11"/>
  <c r="BM103" i="11"/>
  <c r="BM102" i="11" s="1"/>
  <c r="BP227" i="11"/>
  <c r="BP226" i="11" s="1"/>
  <c r="BQ226" i="11"/>
  <c r="BS196" i="11"/>
  <c r="BS194" i="11"/>
  <c r="BS209" i="11"/>
  <c r="BS207" i="11"/>
  <c r="BE133" i="11"/>
  <c r="BE136" i="11"/>
  <c r="BE125" i="11"/>
  <c r="CH181" i="11"/>
  <c r="CH240" i="11"/>
  <c r="CH183" i="11"/>
  <c r="CE111" i="11"/>
  <c r="CE109" i="11"/>
  <c r="AS242" i="11"/>
  <c r="AS237" i="11"/>
  <c r="BV209" i="11"/>
  <c r="BV207" i="11"/>
  <c r="BV222" i="11"/>
  <c r="BV220" i="11"/>
  <c r="AQ244" i="11"/>
  <c r="AQ247" i="11"/>
  <c r="AQ236" i="11"/>
  <c r="BB102" i="11"/>
  <c r="BA103" i="11"/>
  <c r="BA102" i="11" s="1"/>
  <c r="BP98" i="11"/>
  <c r="BP96" i="11"/>
  <c r="BG220" i="11"/>
  <c r="BG222" i="11"/>
  <c r="AV226" i="11"/>
  <c r="AU227" i="11"/>
  <c r="AU226" i="11" s="1"/>
  <c r="CQ85" i="11"/>
  <c r="CQ83" i="11"/>
  <c r="AI38" i="26"/>
  <c r="AL38" i="26" s="1"/>
  <c r="AG38" i="26"/>
  <c r="F39" i="26"/>
  <c r="F40" i="26" s="1"/>
  <c r="F41" i="26" s="1"/>
  <c r="F42" i="26" s="1"/>
  <c r="AF38" i="26"/>
  <c r="AK38" i="26"/>
  <c r="AE38" i="26"/>
  <c r="AJ38" i="26"/>
  <c r="BG103" i="11"/>
  <c r="BG102" i="11" s="1"/>
  <c r="BH102" i="11"/>
  <c r="BN209" i="11"/>
  <c r="BN210" i="11" s="1"/>
  <c r="BM210" i="11" s="1"/>
  <c r="BM211" i="11"/>
  <c r="BN214" i="11"/>
  <c r="BZ196" i="11"/>
  <c r="BZ197" i="11" s="1"/>
  <c r="BY197" i="11" s="1"/>
  <c r="BY198" i="11"/>
  <c r="BZ201" i="11"/>
  <c r="BP220" i="11"/>
  <c r="BP222" i="11"/>
  <c r="BE76" i="11"/>
  <c r="BD77" i="11"/>
  <c r="BD76" i="11" s="1"/>
  <c r="AL116" i="11"/>
  <c r="AL115" i="11" s="1"/>
  <c r="AM115" i="11"/>
  <c r="AU222" i="11"/>
  <c r="AU220" i="11"/>
  <c r="AH35" i="26"/>
  <c r="BE187" i="11"/>
  <c r="BD188" i="11"/>
  <c r="BD187" i="11" s="1"/>
  <c r="BS98" i="11"/>
  <c r="BS96" i="11"/>
  <c r="AU103" i="11"/>
  <c r="AU102" i="11" s="1"/>
  <c r="AV102" i="11"/>
  <c r="BN222" i="11"/>
  <c r="BN223" i="11" s="1"/>
  <c r="BM223" i="11" s="1"/>
  <c r="BM224" i="11"/>
  <c r="BN227" i="11"/>
  <c r="AS89" i="11"/>
  <c r="AR90" i="11"/>
  <c r="AR89" i="11" s="1"/>
  <c r="CI76" i="11"/>
  <c r="CH77" i="11"/>
  <c r="CH76" i="11" s="1"/>
  <c r="CR200" i="11"/>
  <c r="CQ201" i="11"/>
  <c r="CQ200" i="11" s="1"/>
  <c r="CB85" i="11"/>
  <c r="CB83" i="11"/>
  <c r="CO115" i="11"/>
  <c r="CN116" i="11"/>
  <c r="CN115" i="11" s="1"/>
  <c r="AX116" i="11"/>
  <c r="AX115" i="11" s="1"/>
  <c r="AY115" i="11"/>
  <c r="CC76" i="11"/>
  <c r="CB77" i="11"/>
  <c r="CB76" i="11" s="1"/>
  <c r="AX201" i="11"/>
  <c r="AX200" i="11" s="1"/>
  <c r="AY200" i="11"/>
  <c r="CN72" i="11"/>
  <c r="CN129" i="11"/>
  <c r="CN70" i="11"/>
  <c r="BJ109" i="11"/>
  <c r="BJ111" i="11"/>
  <c r="BT247" i="11"/>
  <c r="BT236" i="11"/>
  <c r="BT244" i="11"/>
  <c r="AP76" i="11"/>
  <c r="AO77" i="11"/>
  <c r="AO76" i="11" s="1"/>
  <c r="AJ76" i="26"/>
  <c r="AF76" i="26"/>
  <c r="F77" i="26"/>
  <c r="F78" i="26" s="1"/>
  <c r="F79" i="26" s="1"/>
  <c r="F80" i="26" s="1"/>
  <c r="AK76" i="26"/>
  <c r="AG76" i="26"/>
  <c r="AE76" i="26"/>
  <c r="AI76" i="26"/>
  <c r="AL76" i="26" s="1"/>
  <c r="CE103" i="11"/>
  <c r="CE102" i="11" s="1"/>
  <c r="CF102" i="11"/>
  <c r="AZ131" i="11"/>
  <c r="AZ126" i="11"/>
  <c r="BL247" i="11"/>
  <c r="BL236" i="11"/>
  <c r="BL244" i="11"/>
  <c r="CL115" i="11"/>
  <c r="CK116" i="11"/>
  <c r="CK115" i="11" s="1"/>
  <c r="BB89" i="11"/>
  <c r="BA90" i="11"/>
  <c r="BA89" i="11" s="1"/>
  <c r="BW89" i="11"/>
  <c r="BV90" i="11"/>
  <c r="BV89" i="11" s="1"/>
  <c r="BP129" i="11"/>
  <c r="BP72" i="11"/>
  <c r="BP70" i="11"/>
  <c r="BH200" i="11"/>
  <c r="BG201" i="11"/>
  <c r="BG200" i="11" s="1"/>
  <c r="AV200" i="11"/>
  <c r="AU201" i="11"/>
  <c r="AU200" i="11" s="1"/>
  <c r="BD220" i="11"/>
  <c r="BD222" i="11"/>
  <c r="AL209" i="11"/>
  <c r="AL207" i="11"/>
  <c r="AL222" i="11"/>
  <c r="AL220" i="11"/>
  <c r="BC53" i="21"/>
  <c r="AY53" i="21"/>
  <c r="BJ53" i="21" s="1"/>
  <c r="AU53" i="21"/>
  <c r="BF53" i="21" s="1"/>
  <c r="AQ53" i="21"/>
  <c r="AM53" i="21"/>
  <c r="AI53" i="21"/>
  <c r="BD53" i="21" s="1"/>
  <c r="AE53" i="21"/>
  <c r="F54" i="21"/>
  <c r="BB53" i="21"/>
  <c r="BM53" i="21" s="1"/>
  <c r="AX53" i="21"/>
  <c r="BI53" i="21" s="1"/>
  <c r="AT53" i="21"/>
  <c r="BE53" i="21" s="1"/>
  <c r="AP53" i="21"/>
  <c r="AL53" i="21"/>
  <c r="BA53" i="21"/>
  <c r="BL53" i="21" s="1"/>
  <c r="AW53" i="21"/>
  <c r="BH53" i="21" s="1"/>
  <c r="AS53" i="21"/>
  <c r="AO53" i="21"/>
  <c r="AK53" i="21"/>
  <c r="AG53" i="21"/>
  <c r="AZ53" i="21"/>
  <c r="BK53" i="21" s="1"/>
  <c r="AV53" i="21"/>
  <c r="BG53" i="21" s="1"/>
  <c r="AR53" i="21"/>
  <c r="AN53" i="21"/>
  <c r="AJ53" i="21"/>
  <c r="AF53" i="21"/>
  <c r="BG52" i="21"/>
  <c r="F102" i="23"/>
  <c r="F103" i="23" s="1"/>
  <c r="F104" i="23" s="1"/>
  <c r="F105" i="23" s="1"/>
  <c r="F106" i="23" s="1"/>
  <c r="T36" i="16"/>
  <c r="F38" i="16"/>
  <c r="A36" i="16"/>
  <c r="AP196" i="11"/>
  <c r="AP197" i="11" s="1"/>
  <c r="AO197" i="11" s="1"/>
  <c r="AO198" i="11"/>
  <c r="AP201" i="11"/>
  <c r="AU85" i="11"/>
  <c r="AU83" i="11"/>
  <c r="AR73" i="11"/>
  <c r="CF226" i="11"/>
  <c r="CE227" i="11"/>
  <c r="CE226" i="11" s="1"/>
  <c r="BY100" i="11"/>
  <c r="BZ98" i="11"/>
  <c r="BZ99" i="11" s="1"/>
  <c r="BY99" i="11" s="1"/>
  <c r="BZ103" i="11"/>
  <c r="BK213" i="11"/>
  <c r="BJ214" i="11"/>
  <c r="BJ213" i="11" s="1"/>
  <c r="CP240" i="11"/>
  <c r="CP183" i="11"/>
  <c r="CP184" i="11" s="1"/>
  <c r="CN184" i="11" s="1"/>
  <c r="CP188" i="11"/>
  <c r="CN185" i="11"/>
  <c r="BQ200" i="11"/>
  <c r="BP201" i="11"/>
  <c r="BP200" i="11" s="1"/>
  <c r="AO99" i="11"/>
  <c r="BD98" i="11"/>
  <c r="BD96" i="11"/>
  <c r="CI213" i="11"/>
  <c r="CH214" i="11"/>
  <c r="CH213" i="11" s="1"/>
  <c r="BW244" i="11"/>
  <c r="BW247" i="11"/>
  <c r="BW236" i="11"/>
  <c r="CB210" i="11"/>
  <c r="F43" i="20"/>
  <c r="BW76" i="11"/>
  <c r="BV77" i="11"/>
  <c r="BV76" i="11" s="1"/>
  <c r="F34" i="21"/>
  <c r="BB33" i="21"/>
  <c r="AX33" i="21"/>
  <c r="AT33" i="21"/>
  <c r="AP33" i="21"/>
  <c r="AL33" i="21"/>
  <c r="BA33" i="21"/>
  <c r="AW33" i="21"/>
  <c r="AS33" i="21"/>
  <c r="AO33" i="21"/>
  <c r="AK33" i="21"/>
  <c r="AG33" i="21"/>
  <c r="AZ33" i="21"/>
  <c r="AV33" i="21"/>
  <c r="AR33" i="21"/>
  <c r="AN33" i="21"/>
  <c r="AJ33" i="21"/>
  <c r="AF33" i="21"/>
  <c r="BC33" i="21"/>
  <c r="AY33" i="21"/>
  <c r="AU33" i="21"/>
  <c r="AQ33" i="21"/>
  <c r="AM33" i="21"/>
  <c r="AI33" i="21"/>
  <c r="AE33" i="21"/>
  <c r="BH247" i="11"/>
  <c r="BH236" i="11"/>
  <c r="BH244" i="11"/>
  <c r="AK29" i="26"/>
  <c r="BB196" i="11"/>
  <c r="BB197" i="11" s="1"/>
  <c r="BA197" i="11" s="1"/>
  <c r="BA198" i="11"/>
  <c r="BB201" i="11"/>
  <c r="AL90" i="11"/>
  <c r="AL89" i="11" s="1"/>
  <c r="AM89" i="11"/>
  <c r="AU240" i="11"/>
  <c r="AU183" i="11"/>
  <c r="AU181" i="11"/>
  <c r="CQ111" i="11"/>
  <c r="CQ109" i="11"/>
  <c r="CK185" i="11"/>
  <c r="CL240" i="11"/>
  <c r="CL183" i="11"/>
  <c r="CL184" i="11" s="1"/>
  <c r="CK184" i="11" s="1"/>
  <c r="CL188" i="11"/>
  <c r="CL222" i="11"/>
  <c r="CL223" i="11" s="1"/>
  <c r="CK223" i="11" s="1"/>
  <c r="CK224" i="11"/>
  <c r="CL227" i="11"/>
  <c r="BE213" i="11"/>
  <c r="BD214" i="11"/>
  <c r="BD213" i="11" s="1"/>
  <c r="AL194" i="11"/>
  <c r="AL196" i="11"/>
  <c r="CJ247" i="11"/>
  <c r="CJ236" i="11"/>
  <c r="CJ244" i="11"/>
  <c r="BS77" i="11"/>
  <c r="BS76" i="11" s="1"/>
  <c r="BT76" i="11"/>
  <c r="AV125" i="11"/>
  <c r="AV133" i="11"/>
  <c r="AV136" i="11"/>
  <c r="CE196" i="11"/>
  <c r="CE194" i="11"/>
  <c r="CE209" i="11"/>
  <c r="CE207" i="11"/>
  <c r="BJ194" i="11"/>
  <c r="BJ196" i="11"/>
  <c r="AY244" i="11"/>
  <c r="AY247" i="11"/>
  <c r="AY236" i="11"/>
  <c r="BJ96" i="11"/>
  <c r="BJ98" i="11"/>
  <c r="AX103" i="11"/>
  <c r="AX102" i="11" s="1"/>
  <c r="AY102" i="11"/>
  <c r="BM112" i="11"/>
  <c r="BN136" i="11"/>
  <c r="BN125" i="11"/>
  <c r="BN133" i="11"/>
  <c r="BQ187" i="11"/>
  <c r="BP188" i="11"/>
  <c r="BP187" i="11" s="1"/>
  <c r="BT226" i="11"/>
  <c r="BS227" i="11"/>
  <c r="BS226" i="11" s="1"/>
  <c r="AO85" i="11"/>
  <c r="AO83" i="11"/>
  <c r="BD111" i="11"/>
  <c r="BD109" i="11"/>
  <c r="CE129" i="11"/>
  <c r="CE72" i="11"/>
  <c r="CE70" i="11"/>
  <c r="AZ247" i="11"/>
  <c r="AZ236" i="11"/>
  <c r="AZ244" i="11"/>
  <c r="CC187" i="11"/>
  <c r="CB188" i="11"/>
  <c r="CB187" i="11" s="1"/>
  <c r="CC200" i="11"/>
  <c r="CB201" i="11"/>
  <c r="CB200" i="11" s="1"/>
  <c r="CK85" i="11"/>
  <c r="CK83" i="11"/>
  <c r="BB115" i="11"/>
  <c r="BA116" i="11"/>
  <c r="BA115" i="11" s="1"/>
  <c r="BV116" i="11"/>
  <c r="BV115" i="11" s="1"/>
  <c r="BW115" i="11"/>
  <c r="BH115" i="11"/>
  <c r="BG116" i="11"/>
  <c r="BG115" i="11" s="1"/>
  <c r="BD196" i="11"/>
  <c r="BD194" i="11"/>
  <c r="AM244" i="11"/>
  <c r="AM247" i="11"/>
  <c r="AM236" i="11"/>
  <c r="BT115" i="11"/>
  <c r="BS116" i="11"/>
  <c r="BS115" i="11" s="1"/>
  <c r="BR136" i="11"/>
  <c r="BR125" i="11"/>
  <c r="BR133" i="11"/>
  <c r="AR98" i="11"/>
  <c r="AR96" i="11"/>
  <c r="AT209" i="11"/>
  <c r="AT210" i="11" s="1"/>
  <c r="AR210" i="11" s="1"/>
  <c r="AT214" i="11"/>
  <c r="AR211" i="11"/>
  <c r="CR226" i="11"/>
  <c r="CQ227" i="11"/>
  <c r="CQ226" i="11" s="1"/>
  <c r="BJ181" i="11"/>
  <c r="BJ240" i="11"/>
  <c r="BJ183" i="11"/>
  <c r="CC115" i="11"/>
  <c r="CB116" i="11"/>
  <c r="CB115" i="11" s="1"/>
  <c r="BJ83" i="11"/>
  <c r="BJ85" i="11"/>
  <c r="AY76" i="11"/>
  <c r="AX77" i="11"/>
  <c r="AX76" i="11" s="1"/>
  <c r="BC51" i="21" l="1"/>
  <c r="AR51" i="21"/>
  <c r="AJ51" i="21"/>
  <c r="AE51" i="21"/>
  <c r="CL187" i="11"/>
  <c r="CK188" i="11"/>
  <c r="CK187" i="11" s="1"/>
  <c r="AU244" i="11"/>
  <c r="AU247" i="11"/>
  <c r="AU236" i="11"/>
  <c r="AU242" i="11" s="1"/>
  <c r="CN240" i="11"/>
  <c r="CN183" i="11"/>
  <c r="CN181" i="11"/>
  <c r="BY98" i="11"/>
  <c r="BY96" i="11"/>
  <c r="BX242" i="11"/>
  <c r="BX237" i="11"/>
  <c r="AY131" i="11"/>
  <c r="AY126" i="11"/>
  <c r="CC242" i="11"/>
  <c r="CC237" i="11"/>
  <c r="CK222" i="11"/>
  <c r="CK220" i="11"/>
  <c r="CL236" i="11"/>
  <c r="CL244" i="11"/>
  <c r="CL247" i="11"/>
  <c r="BD33" i="21"/>
  <c r="BJ33" i="21"/>
  <c r="AH33" i="21"/>
  <c r="BH33" i="21"/>
  <c r="BE33" i="21"/>
  <c r="BZ102" i="11"/>
  <c r="BY103" i="11"/>
  <c r="BY102" i="11" s="1"/>
  <c r="AP200" i="11"/>
  <c r="AO201" i="11"/>
  <c r="AO200" i="11" s="1"/>
  <c r="A38" i="16"/>
  <c r="F55" i="21"/>
  <c r="F56" i="21" s="1"/>
  <c r="F57" i="21" s="1"/>
  <c r="F58" i="21" s="1"/>
  <c r="BB54" i="21"/>
  <c r="BM54" i="21" s="1"/>
  <c r="AX54" i="21"/>
  <c r="BI54" i="21" s="1"/>
  <c r="AT54" i="21"/>
  <c r="BE54" i="21" s="1"/>
  <c r="AP54" i="21"/>
  <c r="AP51" i="21" s="1"/>
  <c r="AL54" i="21"/>
  <c r="AL51" i="21" s="1"/>
  <c r="BA54" i="21"/>
  <c r="BL54" i="21" s="1"/>
  <c r="AW54" i="21"/>
  <c r="BH54" i="21" s="1"/>
  <c r="AS54" i="21"/>
  <c r="AS51" i="21" s="1"/>
  <c r="AO54" i="21"/>
  <c r="AO51" i="21" s="1"/>
  <c r="AK54" i="21"/>
  <c r="AK51" i="21" s="1"/>
  <c r="AG54" i="21"/>
  <c r="AZ54" i="21"/>
  <c r="BK54" i="21" s="1"/>
  <c r="AV54" i="21"/>
  <c r="AR54" i="21"/>
  <c r="AN54" i="21"/>
  <c r="AN51" i="21" s="1"/>
  <c r="AJ54" i="21"/>
  <c r="AF54" i="21"/>
  <c r="AF51" i="21" s="1"/>
  <c r="BC54" i="21"/>
  <c r="AY54" i="21"/>
  <c r="BJ54" i="21" s="1"/>
  <c r="AU54" i="21"/>
  <c r="BF54" i="21" s="1"/>
  <c r="AQ54" i="21"/>
  <c r="AQ51" i="21" s="1"/>
  <c r="AM54" i="21"/>
  <c r="AM51" i="21" s="1"/>
  <c r="AI54" i="21"/>
  <c r="BD54" i="21" s="1"/>
  <c r="AE54" i="21"/>
  <c r="BT242" i="11"/>
  <c r="BT237" i="11"/>
  <c r="BM214" i="11"/>
  <c r="BM213" i="11" s="1"/>
  <c r="BN213" i="11"/>
  <c r="BE131" i="11"/>
  <c r="BE126" i="11"/>
  <c r="F36" i="22"/>
  <c r="AR196" i="11"/>
  <c r="AR194" i="11"/>
  <c r="BQ242" i="11"/>
  <c r="BQ237" i="11"/>
  <c r="BF242" i="11"/>
  <c r="BF237" i="11"/>
  <c r="CQ244" i="11"/>
  <c r="CQ247" i="11"/>
  <c r="CQ236" i="11"/>
  <c r="CQ242" i="11" s="1"/>
  <c r="K34" i="20"/>
  <c r="F35" i="20"/>
  <c r="AD34" i="31"/>
  <c r="AD37" i="31"/>
  <c r="AD87" i="31"/>
  <c r="CQ125" i="11"/>
  <c r="CQ131" i="11" s="1"/>
  <c r="CQ133" i="11"/>
  <c r="CQ136" i="11"/>
  <c r="CA242" i="11"/>
  <c r="CA237" i="11"/>
  <c r="BJ136" i="11"/>
  <c r="BJ125" i="11"/>
  <c r="BJ131" i="11" s="1"/>
  <c r="BJ133" i="11"/>
  <c r="BC242" i="11"/>
  <c r="BC237" i="11"/>
  <c r="CD242" i="11"/>
  <c r="CD237" i="11"/>
  <c r="BY222" i="11"/>
  <c r="BY220" i="11"/>
  <c r="BZ236" i="11"/>
  <c r="BZ244" i="11"/>
  <c r="BZ247" i="11"/>
  <c r="BK242" i="11"/>
  <c r="BK237" i="11"/>
  <c r="AT187" i="11"/>
  <c r="AR188" i="11"/>
  <c r="AR187" i="11" s="1"/>
  <c r="F64" i="16"/>
  <c r="F62" i="16"/>
  <c r="F61" i="16"/>
  <c r="CF131" i="11"/>
  <c r="CF126" i="11"/>
  <c r="F60" i="23"/>
  <c r="CL200" i="11"/>
  <c r="CK201" i="11"/>
  <c r="CK200" i="11" s="1"/>
  <c r="BB226" i="11"/>
  <c r="BA227" i="11"/>
  <c r="BA226" i="11" s="1"/>
  <c r="F63" i="8"/>
  <c r="U62" i="8"/>
  <c r="CP213" i="11"/>
  <c r="CN214" i="11"/>
  <c r="CN213" i="11" s="1"/>
  <c r="AO222" i="11"/>
  <c r="AO220" i="11"/>
  <c r="AP236" i="11"/>
  <c r="AP244" i="11"/>
  <c r="AP247" i="11"/>
  <c r="BS244" i="11"/>
  <c r="BS247" i="11"/>
  <c r="BS236" i="11"/>
  <c r="BS242" i="11" s="1"/>
  <c r="BN200" i="11"/>
  <c r="BM201" i="11"/>
  <c r="BM200" i="11" s="1"/>
  <c r="AX136" i="11"/>
  <c r="AX125" i="11"/>
  <c r="AX131" i="11" s="1"/>
  <c r="AX133" i="11"/>
  <c r="CF242" i="11"/>
  <c r="CF237" i="11"/>
  <c r="AM131" i="11"/>
  <c r="AM126" i="11"/>
  <c r="AZ43" i="22"/>
  <c r="BK43" i="22" s="1"/>
  <c r="AV43" i="22"/>
  <c r="BG43" i="22" s="1"/>
  <c r="AR43" i="22"/>
  <c r="AN43" i="22"/>
  <c r="AJ43" i="22"/>
  <c r="AF43" i="22"/>
  <c r="BC43" i="22"/>
  <c r="AY43" i="22"/>
  <c r="BJ43" i="22" s="1"/>
  <c r="AU43" i="22"/>
  <c r="BF43" i="22" s="1"/>
  <c r="AQ43" i="22"/>
  <c r="AM43" i="22"/>
  <c r="AI43" i="22"/>
  <c r="BD43" i="22" s="1"/>
  <c r="AE43" i="22"/>
  <c r="F44" i="22"/>
  <c r="BB43" i="22"/>
  <c r="BM43" i="22" s="1"/>
  <c r="AX43" i="22"/>
  <c r="BI43" i="22" s="1"/>
  <c r="AT43" i="22"/>
  <c r="BE43" i="22" s="1"/>
  <c r="AP43" i="22"/>
  <c r="AL43" i="22"/>
  <c r="BA43" i="22"/>
  <c r="BL43" i="22" s="1"/>
  <c r="AW43" i="22"/>
  <c r="BH43" i="22" s="1"/>
  <c r="AS43" i="22"/>
  <c r="AO43" i="22"/>
  <c r="AK43" i="22"/>
  <c r="AG43" i="22"/>
  <c r="AH43" i="22" s="1"/>
  <c r="BS125" i="11"/>
  <c r="BS131" i="11" s="1"/>
  <c r="BS133" i="11"/>
  <c r="BS136" i="11"/>
  <c r="BV136" i="11"/>
  <c r="BV125" i="11"/>
  <c r="BV131" i="11" s="1"/>
  <c r="BV133" i="11"/>
  <c r="CP200" i="11"/>
  <c r="CN201" i="11"/>
  <c r="CN200" i="11" s="1"/>
  <c r="CO249" i="11"/>
  <c r="CO238" i="11"/>
  <c r="CO243" i="11"/>
  <c r="AS131" i="11"/>
  <c r="AS126" i="11"/>
  <c r="AZ51" i="21"/>
  <c r="BK51" i="21" s="1"/>
  <c r="AW51" i="21"/>
  <c r="BH51" i="21" s="1"/>
  <c r="BN187" i="11"/>
  <c r="BM188" i="11"/>
  <c r="BM187" i="11" s="1"/>
  <c r="BL138" i="11"/>
  <c r="BL132" i="11"/>
  <c r="BL127" i="11"/>
  <c r="BJ236" i="11"/>
  <c r="BJ242" i="11" s="1"/>
  <c r="BJ244" i="11"/>
  <c r="BJ247" i="11"/>
  <c r="AR207" i="11"/>
  <c r="AR209" i="11"/>
  <c r="AY242" i="11"/>
  <c r="AY237" i="11"/>
  <c r="AH38" i="26"/>
  <c r="AQ242" i="11"/>
  <c r="AQ237" i="11"/>
  <c r="CH236" i="11"/>
  <c r="CH242" i="11" s="1"/>
  <c r="CH244" i="11"/>
  <c r="CH247" i="11"/>
  <c r="AB139" i="11"/>
  <c r="W139" i="11"/>
  <c r="T57" i="28"/>
  <c r="F58" i="28"/>
  <c r="CP226" i="11"/>
  <c r="CN227" i="11"/>
  <c r="CN226" i="11" s="1"/>
  <c r="BY85" i="11"/>
  <c r="BY83" i="11"/>
  <c r="AR125" i="11"/>
  <c r="AR131" i="11" s="1"/>
  <c r="AR133" i="11"/>
  <c r="AR136" i="11"/>
  <c r="F41" i="16"/>
  <c r="T40" i="16"/>
  <c r="T41" i="12"/>
  <c r="T42" i="12" s="1"/>
  <c r="T43" i="12" s="1"/>
  <c r="T44" i="12" s="1"/>
  <c r="T40" i="12"/>
  <c r="AP131" i="11"/>
  <c r="AP126" i="11"/>
  <c r="BR131" i="11"/>
  <c r="BR126" i="11"/>
  <c r="AM242" i="11"/>
  <c r="AM237" i="11"/>
  <c r="AZ242" i="11"/>
  <c r="AZ237" i="11"/>
  <c r="CE125" i="11"/>
  <c r="CE131" i="11" s="1"/>
  <c r="CE133" i="11"/>
  <c r="CE136" i="11"/>
  <c r="BN131" i="11"/>
  <c r="BN126" i="11"/>
  <c r="AV131" i="11"/>
  <c r="AV126" i="11"/>
  <c r="CJ242" i="11"/>
  <c r="CJ237" i="11"/>
  <c r="CK240" i="11"/>
  <c r="CK183" i="11"/>
  <c r="CK181" i="11"/>
  <c r="BB200" i="11"/>
  <c r="BA201" i="11"/>
  <c r="BA200" i="11" s="1"/>
  <c r="BL33" i="21"/>
  <c r="BI33" i="21"/>
  <c r="F44" i="20"/>
  <c r="K43" i="20"/>
  <c r="BW242" i="11"/>
  <c r="BW237" i="11"/>
  <c r="CP236" i="11"/>
  <c r="CP244" i="11"/>
  <c r="CP247" i="11"/>
  <c r="AO194" i="11"/>
  <c r="AO196" i="11"/>
  <c r="T37" i="16"/>
  <c r="T38" i="16"/>
  <c r="AH53" i="21"/>
  <c r="AZ138" i="11"/>
  <c r="AZ132" i="11"/>
  <c r="AZ127" i="11"/>
  <c r="F81" i="26"/>
  <c r="AG80" i="26"/>
  <c r="AF80" i="26"/>
  <c r="AI80" i="26"/>
  <c r="AL80" i="26" s="1"/>
  <c r="AE80" i="26"/>
  <c r="AK80" i="26"/>
  <c r="AJ80" i="26"/>
  <c r="CN125" i="11"/>
  <c r="CN131" i="11" s="1"/>
  <c r="CN133" i="11"/>
  <c r="CN136" i="11"/>
  <c r="BN226" i="11"/>
  <c r="BM227" i="11"/>
  <c r="BM226" i="11" s="1"/>
  <c r="BZ200" i="11"/>
  <c r="BY201" i="11"/>
  <c r="BY200" i="11" s="1"/>
  <c r="BM209" i="11"/>
  <c r="BM207" i="11"/>
  <c r="AJ42" i="26"/>
  <c r="AF42" i="26"/>
  <c r="AI42" i="26"/>
  <c r="AL42" i="26" s="1"/>
  <c r="AK42" i="26"/>
  <c r="F43" i="26"/>
  <c r="AG42" i="26"/>
  <c r="AH42" i="26" s="1"/>
  <c r="AE42" i="26"/>
  <c r="AS238" i="11"/>
  <c r="AS249" i="11"/>
  <c r="AS243" i="11"/>
  <c r="AT200" i="11"/>
  <c r="AR201" i="11"/>
  <c r="AR200" i="11" s="1"/>
  <c r="BH131" i="11"/>
  <c r="BH126" i="11"/>
  <c r="CN220" i="11"/>
  <c r="CN222" i="11"/>
  <c r="BZ89" i="11"/>
  <c r="BY90" i="11"/>
  <c r="BY89" i="11" s="1"/>
  <c r="T34" i="17"/>
  <c r="F35" i="17"/>
  <c r="CI131" i="11"/>
  <c r="CI126" i="11"/>
  <c r="F37" i="29"/>
  <c r="T36" i="29"/>
  <c r="S35" i="11"/>
  <c r="U34" i="11"/>
  <c r="CA131" i="11"/>
  <c r="CA126" i="11"/>
  <c r="BY240" i="11"/>
  <c r="BY183" i="11"/>
  <c r="BY181" i="11"/>
  <c r="BI132" i="11"/>
  <c r="BI127" i="11"/>
  <c r="BI138" i="11"/>
  <c r="CK194" i="11"/>
  <c r="CK196" i="11"/>
  <c r="AV242" i="11"/>
  <c r="AV237" i="11"/>
  <c r="BA222" i="11"/>
  <c r="BA220" i="11"/>
  <c r="BB236" i="11"/>
  <c r="BB244" i="11"/>
  <c r="BB247" i="11"/>
  <c r="BG244" i="11"/>
  <c r="BG247" i="11"/>
  <c r="BG236" i="11"/>
  <c r="BG242" i="11" s="1"/>
  <c r="A82" i="12"/>
  <c r="F83" i="12"/>
  <c r="BY129" i="11"/>
  <c r="BY72" i="11"/>
  <c r="BY70" i="11"/>
  <c r="AO240" i="11"/>
  <c r="AO183" i="11"/>
  <c r="AO181" i="11"/>
  <c r="AY51" i="21"/>
  <c r="BJ51" i="21" s="1"/>
  <c r="AX51" i="21"/>
  <c r="BI51" i="21" s="1"/>
  <c r="CO131" i="11"/>
  <c r="CO126" i="11"/>
  <c r="BM196" i="11"/>
  <c r="BM194" i="11"/>
  <c r="T71" i="19"/>
  <c r="F72" i="19"/>
  <c r="CB247" i="11"/>
  <c r="CB236" i="11"/>
  <c r="CB242" i="11" s="1"/>
  <c r="CB244" i="11"/>
  <c r="BO242" i="11"/>
  <c r="BO237" i="11"/>
  <c r="BA214" i="11"/>
  <c r="BA213" i="11" s="1"/>
  <c r="BB213" i="11"/>
  <c r="BZ115" i="11"/>
  <c r="BY116" i="11"/>
  <c r="BY115" i="11" s="1"/>
  <c r="CM131" i="11"/>
  <c r="CM126" i="11"/>
  <c r="CK133" i="11"/>
  <c r="CK136" i="11"/>
  <c r="CK125" i="11"/>
  <c r="CK131" i="11" s="1"/>
  <c r="BK131" i="11"/>
  <c r="BK126" i="11"/>
  <c r="BO131" i="11"/>
  <c r="BO126" i="11"/>
  <c r="BD247" i="11"/>
  <c r="BD236" i="11"/>
  <c r="BD242" i="11" s="1"/>
  <c r="BD244" i="11"/>
  <c r="BY214" i="11"/>
  <c r="BY213" i="11" s="1"/>
  <c r="BZ213" i="11"/>
  <c r="F51" i="10"/>
  <c r="F61" i="29"/>
  <c r="T60" i="29"/>
  <c r="BZ187" i="11"/>
  <c r="BY188" i="11"/>
  <c r="BY187" i="11" s="1"/>
  <c r="AT236" i="11"/>
  <c r="AT244" i="11"/>
  <c r="AT247" i="11"/>
  <c r="F36" i="8"/>
  <c r="U35" i="8"/>
  <c r="AD89" i="31"/>
  <c r="BI238" i="11"/>
  <c r="BI249" i="11"/>
  <c r="BI243" i="11"/>
  <c r="AX236" i="11"/>
  <c r="AX242" i="11" s="1"/>
  <c r="AX244" i="11"/>
  <c r="AX247" i="11"/>
  <c r="AU125" i="11"/>
  <c r="AU131" i="11" s="1"/>
  <c r="AU133" i="11"/>
  <c r="AU136" i="11"/>
  <c r="BA240" i="11"/>
  <c r="BA183" i="11"/>
  <c r="BA181" i="11"/>
  <c r="AD90" i="31"/>
  <c r="BV236" i="11"/>
  <c r="BV242" i="11" s="1"/>
  <c r="BV244" i="11"/>
  <c r="BV247" i="11"/>
  <c r="T81" i="12"/>
  <c r="T82" i="12"/>
  <c r="T83" i="12" s="1"/>
  <c r="T84" i="12" s="1"/>
  <c r="T85" i="12" s="1"/>
  <c r="H47" i="30"/>
  <c r="F48" i="30"/>
  <c r="F49" i="30" s="1"/>
  <c r="F50" i="30" s="1"/>
  <c r="F51" i="30" s="1"/>
  <c r="F52" i="30" s="1"/>
  <c r="F53" i="30" s="1"/>
  <c r="F54" i="30" s="1"/>
  <c r="F55" i="30" s="1"/>
  <c r="F56" i="30" s="1"/>
  <c r="F57" i="30" s="1"/>
  <c r="F58" i="30" s="1"/>
  <c r="F59" i="30" s="1"/>
  <c r="F60" i="30" s="1"/>
  <c r="F61" i="30" s="1"/>
  <c r="F62" i="30" s="1"/>
  <c r="F63" i="30" s="1"/>
  <c r="F64" i="30" s="1"/>
  <c r="F65" i="30" s="1"/>
  <c r="F66" i="30" s="1"/>
  <c r="F67" i="30" s="1"/>
  <c r="F68" i="30" s="1"/>
  <c r="F69" i="30" s="1"/>
  <c r="F70" i="30" s="1"/>
  <c r="F71" i="30" s="1"/>
  <c r="F72" i="30" s="1"/>
  <c r="F73" i="30" s="1"/>
  <c r="H73" i="30" s="1"/>
  <c r="BZ136" i="11"/>
  <c r="BZ125" i="11"/>
  <c r="BZ133" i="11"/>
  <c r="AP187" i="11"/>
  <c r="AO188" i="11"/>
  <c r="AO187" i="11" s="1"/>
  <c r="AN242" i="11"/>
  <c r="AN237" i="11"/>
  <c r="AR220" i="11"/>
  <c r="AR222" i="11"/>
  <c r="CD131" i="11"/>
  <c r="CD126" i="11"/>
  <c r="BU249" i="11"/>
  <c r="BU238" i="11"/>
  <c r="BU243" i="11"/>
  <c r="BA209" i="11"/>
  <c r="BA207" i="11"/>
  <c r="T39" i="13"/>
  <c r="AI67" i="26"/>
  <c r="AJ29" i="26"/>
  <c r="AX33" i="22"/>
  <c r="BI33" i="22" s="1"/>
  <c r="BA33" i="22"/>
  <c r="BL33" i="22" s="1"/>
  <c r="AK33" i="22"/>
  <c r="AR33" i="22"/>
  <c r="AY33" i="22"/>
  <c r="BJ33" i="22" s="1"/>
  <c r="AQ33" i="22"/>
  <c r="AI33" i="22"/>
  <c r="BD33" i="22" s="1"/>
  <c r="AP33" i="22"/>
  <c r="AZ33" i="22"/>
  <c r="BK33" i="22" s="1"/>
  <c r="AU33" i="22"/>
  <c r="BF33" i="22" s="1"/>
  <c r="AE29" i="26"/>
  <c r="AE67" i="26"/>
  <c r="AF67" i="26"/>
  <c r="AT33" i="22"/>
  <c r="BE33" i="22" s="1"/>
  <c r="AW33" i="22"/>
  <c r="BH33" i="22" s="1"/>
  <c r="AG33" i="22"/>
  <c r="AN33" i="22"/>
  <c r="BC33" i="22"/>
  <c r="AG29" i="26"/>
  <c r="AF29" i="26"/>
  <c r="AG67" i="26"/>
  <c r="AS33" i="22"/>
  <c r="AJ33" i="22"/>
  <c r="AM33" i="22"/>
  <c r="AK67" i="26"/>
  <c r="AI29" i="26"/>
  <c r="AJ67" i="26"/>
  <c r="BB33" i="22"/>
  <c r="BM33" i="22" s="1"/>
  <c r="AL33" i="22"/>
  <c r="AO33" i="22"/>
  <c r="AV33" i="22"/>
  <c r="BG33" i="22" s="1"/>
  <c r="AF33" i="22"/>
  <c r="AE33" i="22"/>
  <c r="BY111" i="11"/>
  <c r="BY109" i="11"/>
  <c r="AO214" i="11"/>
  <c r="AO213" i="11" s="1"/>
  <c r="AP213" i="11"/>
  <c r="AT51" i="21"/>
  <c r="BE51" i="21" s="1"/>
  <c r="CR131" i="11"/>
  <c r="CR126" i="11"/>
  <c r="BR242" i="11"/>
  <c r="BR237" i="11"/>
  <c r="CH136" i="11"/>
  <c r="CH125" i="11"/>
  <c r="CH131" i="11" s="1"/>
  <c r="CH133" i="11"/>
  <c r="BN236" i="11"/>
  <c r="BN244" i="11"/>
  <c r="BN247" i="11"/>
  <c r="CI242" i="11"/>
  <c r="CI237" i="11"/>
  <c r="AT131" i="11"/>
  <c r="AT126" i="11"/>
  <c r="BD125" i="11"/>
  <c r="BD131" i="11" s="1"/>
  <c r="BD133" i="11"/>
  <c r="BD136" i="11"/>
  <c r="BY209" i="11"/>
  <c r="BY207" i="11"/>
  <c r="BA196" i="11"/>
  <c r="BA194" i="11"/>
  <c r="BG33" i="21"/>
  <c r="BM33" i="21"/>
  <c r="BM222" i="11"/>
  <c r="BM220" i="11"/>
  <c r="BY196" i="11"/>
  <c r="BY194" i="11"/>
  <c r="CM242" i="11"/>
  <c r="CM237" i="11"/>
  <c r="BT131" i="11"/>
  <c r="BT126" i="11"/>
  <c r="CK214" i="11"/>
  <c r="CK213" i="11" s="1"/>
  <c r="CL213" i="11"/>
  <c r="BW131" i="11"/>
  <c r="BW126" i="11"/>
  <c r="AT213" i="11"/>
  <c r="AR214" i="11"/>
  <c r="AR213" i="11" s="1"/>
  <c r="CL226" i="11"/>
  <c r="CK227" i="11"/>
  <c r="CK226" i="11" s="1"/>
  <c r="BH242" i="11"/>
  <c r="BH237" i="11"/>
  <c r="BF33" i="21"/>
  <c r="BK33" i="21"/>
  <c r="BA34" i="21"/>
  <c r="BL34" i="21" s="1"/>
  <c r="AW34" i="21"/>
  <c r="BH34" i="21" s="1"/>
  <c r="AS34" i="21"/>
  <c r="AO34" i="21"/>
  <c r="AK34" i="21"/>
  <c r="AG34" i="21"/>
  <c r="AZ34" i="21"/>
  <c r="BK34" i="21" s="1"/>
  <c r="AV34" i="21"/>
  <c r="BG34" i="21" s="1"/>
  <c r="AR34" i="21"/>
  <c r="AN34" i="21"/>
  <c r="AJ34" i="21"/>
  <c r="AF34" i="21"/>
  <c r="BC34" i="21"/>
  <c r="AY34" i="21"/>
  <c r="BJ34" i="21" s="1"/>
  <c r="AU34" i="21"/>
  <c r="BF34" i="21" s="1"/>
  <c r="AQ34" i="21"/>
  <c r="AM34" i="21"/>
  <c r="AI34" i="21"/>
  <c r="BD34" i="21" s="1"/>
  <c r="AE34" i="21"/>
  <c r="F35" i="21"/>
  <c r="BB34" i="21"/>
  <c r="BM34" i="21" s="1"/>
  <c r="AX34" i="21"/>
  <c r="BI34" i="21" s="1"/>
  <c r="AT34" i="21"/>
  <c r="BE34" i="21" s="1"/>
  <c r="AP34" i="21"/>
  <c r="AL34" i="21"/>
  <c r="CP187" i="11"/>
  <c r="CN188" i="11"/>
  <c r="CN187" i="11" s="1"/>
  <c r="F107" i="23"/>
  <c r="BP125" i="11"/>
  <c r="BP131" i="11" s="1"/>
  <c r="BP133" i="11"/>
  <c r="BP136" i="11"/>
  <c r="BL242" i="11"/>
  <c r="BL237" i="11"/>
  <c r="AH76" i="26"/>
  <c r="CE244" i="11"/>
  <c r="CE247" i="11"/>
  <c r="CE236" i="11"/>
  <c r="CE242" i="11" s="1"/>
  <c r="AL136" i="11"/>
  <c r="AL125" i="11"/>
  <c r="AL131" i="11" s="1"/>
  <c r="AL133" i="11"/>
  <c r="F49" i="19"/>
  <c r="T48" i="19"/>
  <c r="AQ131" i="11"/>
  <c r="AQ126" i="11"/>
  <c r="BM133" i="11"/>
  <c r="BM136" i="11"/>
  <c r="BM125" i="11"/>
  <c r="BM131" i="11" s="1"/>
  <c r="CG249" i="11"/>
  <c r="CG238" i="11"/>
  <c r="CG243" i="11"/>
  <c r="BX138" i="11"/>
  <c r="BX132" i="11"/>
  <c r="BX127" i="11"/>
  <c r="AN138" i="11"/>
  <c r="AN132" i="11"/>
  <c r="AN127" i="11"/>
  <c r="CK209" i="11"/>
  <c r="CK207" i="11"/>
  <c r="F41" i="12"/>
  <c r="BB51" i="21"/>
  <c r="BM51" i="21" s="1"/>
  <c r="F79" i="25"/>
  <c r="T78" i="25"/>
  <c r="CC131" i="11"/>
  <c r="CC126" i="11"/>
  <c r="BE242" i="11"/>
  <c r="BE237" i="11"/>
  <c r="BZ226" i="11"/>
  <c r="BY227" i="11"/>
  <c r="BY226" i="11" s="1"/>
  <c r="S147" i="11"/>
  <c r="U146" i="11"/>
  <c r="BU132" i="11"/>
  <c r="BU127" i="11"/>
  <c r="BU138" i="11"/>
  <c r="AR240" i="11"/>
  <c r="AR183" i="11"/>
  <c r="AR181" i="11"/>
  <c r="BC131" i="11"/>
  <c r="BC126" i="11"/>
  <c r="CP131" i="11"/>
  <c r="CP126" i="11"/>
  <c r="AL236" i="11"/>
  <c r="AL242" i="11" s="1"/>
  <c r="AL244" i="11"/>
  <c r="AL247" i="11"/>
  <c r="BB131" i="11"/>
  <c r="BB126" i="11"/>
  <c r="BG125" i="11"/>
  <c r="BG131" i="11" s="1"/>
  <c r="BG133" i="11"/>
  <c r="BG136" i="11"/>
  <c r="BB187" i="11"/>
  <c r="BA188" i="11"/>
  <c r="BA187" i="11" s="1"/>
  <c r="CN207" i="11"/>
  <c r="CN209" i="11"/>
  <c r="F62" i="17"/>
  <c r="F63" i="17" s="1"/>
  <c r="F64" i="17" s="1"/>
  <c r="T61" i="17"/>
  <c r="T62" i="17" s="1"/>
  <c r="T63" i="17" s="1"/>
  <c r="BZ76" i="11"/>
  <c r="BY77" i="11"/>
  <c r="BY76" i="11" s="1"/>
  <c r="AP226" i="11"/>
  <c r="AO227" i="11"/>
  <c r="AO226" i="11" s="1"/>
  <c r="AI51" i="21"/>
  <c r="BD51" i="21" s="1"/>
  <c r="BA51" i="21"/>
  <c r="BL51" i="21" s="1"/>
  <c r="BQ131" i="11"/>
  <c r="BQ126" i="11"/>
  <c r="CL131" i="11"/>
  <c r="CL126" i="11"/>
  <c r="CJ138" i="11"/>
  <c r="CJ132" i="11"/>
  <c r="CJ127" i="11"/>
  <c r="AO133" i="11"/>
  <c r="AO136" i="11"/>
  <c r="AO125" i="11"/>
  <c r="AO131" i="11" s="1"/>
  <c r="F35" i="25"/>
  <c r="T34" i="25"/>
  <c r="AT226" i="11"/>
  <c r="AR227" i="11"/>
  <c r="AR226" i="11" s="1"/>
  <c r="BA133" i="11"/>
  <c r="BA136" i="11"/>
  <c r="BA125" i="11"/>
  <c r="BA131" i="11" s="1"/>
  <c r="BP247" i="11"/>
  <c r="BP236" i="11"/>
  <c r="BP242" i="11" s="1"/>
  <c r="BP244" i="11"/>
  <c r="F34" i="28"/>
  <c r="T33" i="28"/>
  <c r="CN196" i="11"/>
  <c r="CN194" i="11"/>
  <c r="CR242" i="11"/>
  <c r="CR237" i="11"/>
  <c r="AO209" i="11"/>
  <c r="AO207" i="11"/>
  <c r="AD36" i="31"/>
  <c r="AU51" i="21"/>
  <c r="BF51" i="21" s="1"/>
  <c r="AG51" i="21"/>
  <c r="CB125" i="11"/>
  <c r="CB131" i="11" s="1"/>
  <c r="CB133" i="11"/>
  <c r="CB136" i="11"/>
  <c r="BM240" i="11"/>
  <c r="BM183" i="11"/>
  <c r="BM181" i="11"/>
  <c r="AS32" i="21" l="1"/>
  <c r="AL32" i="21"/>
  <c r="AP32" i="21"/>
  <c r="AO32" i="21"/>
  <c r="U147" i="11"/>
  <c r="S148" i="11"/>
  <c r="BW127" i="11"/>
  <c r="BW138" i="11"/>
  <c r="BV126" i="11"/>
  <c r="BW132" i="11"/>
  <c r="BT138" i="11"/>
  <c r="BS126" i="11"/>
  <c r="BT132" i="11"/>
  <c r="BT127" i="11"/>
  <c r="AT127" i="11"/>
  <c r="AT138" i="11"/>
  <c r="AT132" i="11"/>
  <c r="BO249" i="11"/>
  <c r="BO243" i="11"/>
  <c r="BO238" i="11"/>
  <c r="AO236" i="11"/>
  <c r="AO242" i="11" s="1"/>
  <c r="AO244" i="11"/>
  <c r="AO247" i="11"/>
  <c r="CI127" i="11"/>
  <c r="CI138" i="11"/>
  <c r="CH126" i="11"/>
  <c r="CI132" i="11"/>
  <c r="T35" i="17"/>
  <c r="F36" i="17"/>
  <c r="F65" i="17"/>
  <c r="T64" i="17"/>
  <c r="H64" i="17"/>
  <c r="CP127" i="11"/>
  <c r="CP138" i="11"/>
  <c r="CP132" i="11"/>
  <c r="CC132" i="11"/>
  <c r="CC127" i="11"/>
  <c r="CC138" i="11"/>
  <c r="CB126" i="11"/>
  <c r="T49" i="19"/>
  <c r="F50" i="19"/>
  <c r="AH67" i="26"/>
  <c r="F37" i="8"/>
  <c r="U36" i="8"/>
  <c r="F52" i="10"/>
  <c r="BK127" i="11"/>
  <c r="BK138" i="11"/>
  <c r="BJ126" i="11"/>
  <c r="BK132" i="11"/>
  <c r="CM127" i="11"/>
  <c r="CM138" i="11"/>
  <c r="CM132" i="11"/>
  <c r="BY236" i="11"/>
  <c r="BY242" i="11" s="1"/>
  <c r="BY244" i="11"/>
  <c r="BY247" i="11"/>
  <c r="S36" i="11"/>
  <c r="U35" i="11"/>
  <c r="CP242" i="11"/>
  <c r="CP237" i="11"/>
  <c r="CK236" i="11"/>
  <c r="CK242" i="11" s="1"/>
  <c r="CK244" i="11"/>
  <c r="CK247" i="11"/>
  <c r="AM243" i="11"/>
  <c r="AM238" i="11"/>
  <c r="AM249" i="11"/>
  <c r="AL237" i="11"/>
  <c r="AP127" i="11"/>
  <c r="AP138" i="11"/>
  <c r="AO126" i="11"/>
  <c r="AP132" i="11"/>
  <c r="AB68" i="12"/>
  <c r="V68" i="12"/>
  <c r="AQ243" i="11"/>
  <c r="AQ238" i="11"/>
  <c r="AQ249" i="11"/>
  <c r="AS132" i="11"/>
  <c r="AS127" i="11"/>
  <c r="AS138" i="11"/>
  <c r="AR126" i="11"/>
  <c r="AP242" i="11"/>
  <c r="AP237" i="11"/>
  <c r="A61" i="16"/>
  <c r="T61" i="16"/>
  <c r="F63" i="16"/>
  <c r="AD32" i="31"/>
  <c r="AD39" i="31"/>
  <c r="BE132" i="11"/>
  <c r="BE127" i="11"/>
  <c r="BE138" i="11"/>
  <c r="BD126" i="11"/>
  <c r="F59" i="21"/>
  <c r="F60" i="21" s="1"/>
  <c r="F61" i="21" s="1"/>
  <c r="F62" i="21" s="1"/>
  <c r="BB58" i="21"/>
  <c r="BM58" i="21" s="1"/>
  <c r="AX58" i="21"/>
  <c r="BI58" i="21" s="1"/>
  <c r="AT58" i="21"/>
  <c r="BE58" i="21" s="1"/>
  <c r="AP58" i="21"/>
  <c r="AL58" i="21"/>
  <c r="BA58" i="21"/>
  <c r="BL58" i="21" s="1"/>
  <c r="AW58" i="21"/>
  <c r="BH58" i="21" s="1"/>
  <c r="AS58" i="21"/>
  <c r="AO58" i="21"/>
  <c r="AK58" i="21"/>
  <c r="AG58" i="21"/>
  <c r="AH58" i="21" s="1"/>
  <c r="AZ58" i="21"/>
  <c r="BK58" i="21" s="1"/>
  <c r="AV58" i="21"/>
  <c r="BG58" i="21" s="1"/>
  <c r="AR58" i="21"/>
  <c r="AN58" i="21"/>
  <c r="AJ58" i="21"/>
  <c r="AF58" i="21"/>
  <c r="BC58" i="21"/>
  <c r="AY58" i="21"/>
  <c r="BJ58" i="21" s="1"/>
  <c r="AU58" i="21"/>
  <c r="BF58" i="21" s="1"/>
  <c r="AQ58" i="21"/>
  <c r="AM58" i="21"/>
  <c r="AI58" i="21"/>
  <c r="BD58" i="21" s="1"/>
  <c r="AE58" i="21"/>
  <c r="BL238" i="11"/>
  <c r="BL249" i="11"/>
  <c r="BL243" i="11"/>
  <c r="AZ35" i="21"/>
  <c r="BK35" i="21" s="1"/>
  <c r="AV35" i="21"/>
  <c r="BG35" i="21" s="1"/>
  <c r="AR35" i="21"/>
  <c r="AR32" i="21" s="1"/>
  <c r="AN35" i="21"/>
  <c r="AN32" i="21" s="1"/>
  <c r="AJ35" i="21"/>
  <c r="AJ32" i="21" s="1"/>
  <c r="AF35" i="21"/>
  <c r="AF32" i="21" s="1"/>
  <c r="BC35" i="21"/>
  <c r="BC32" i="21" s="1"/>
  <c r="AY35" i="21"/>
  <c r="BJ35" i="21" s="1"/>
  <c r="AU35" i="21"/>
  <c r="AQ35" i="21"/>
  <c r="AQ32" i="21" s="1"/>
  <c r="AM35" i="21"/>
  <c r="AM32" i="21" s="1"/>
  <c r="AI35" i="21"/>
  <c r="BD35" i="21" s="1"/>
  <c r="AE35" i="21"/>
  <c r="AE32" i="21" s="1"/>
  <c r="F36" i="21"/>
  <c r="BB35" i="21"/>
  <c r="AX35" i="21"/>
  <c r="BI35" i="21" s="1"/>
  <c r="AT35" i="21"/>
  <c r="AP35" i="21"/>
  <c r="AL35" i="21"/>
  <c r="BA35" i="21"/>
  <c r="BL35" i="21" s="1"/>
  <c r="AW35" i="21"/>
  <c r="BH35" i="21" s="1"/>
  <c r="AS35" i="21"/>
  <c r="AO35" i="21"/>
  <c r="AK35" i="21"/>
  <c r="AK32" i="21" s="1"/>
  <c r="AG35" i="21"/>
  <c r="AL29" i="26"/>
  <c r="AN238" i="11"/>
  <c r="AN249" i="11"/>
  <c r="AN243" i="11"/>
  <c r="AT242" i="11"/>
  <c r="AT237" i="11"/>
  <c r="AY243" i="11"/>
  <c r="AY238" i="11"/>
  <c r="AY249" i="11"/>
  <c r="AX237" i="11"/>
  <c r="CF238" i="11"/>
  <c r="CE237" i="11"/>
  <c r="CF249" i="11"/>
  <c r="CF243" i="11"/>
  <c r="U63" i="8"/>
  <c r="F64" i="8"/>
  <c r="F62" i="23"/>
  <c r="F61" i="23"/>
  <c r="BC243" i="11"/>
  <c r="BC238" i="11"/>
  <c r="BC249" i="11"/>
  <c r="BG54" i="21"/>
  <c r="AV51" i="21"/>
  <c r="BG51" i="21" s="1"/>
  <c r="CC249" i="11"/>
  <c r="CC238" i="11"/>
  <c r="CB237" i="11"/>
  <c r="CC243" i="11"/>
  <c r="BX238" i="11"/>
  <c r="BX249" i="11"/>
  <c r="BX243" i="11"/>
  <c r="BM236" i="11"/>
  <c r="BM242" i="11" s="1"/>
  <c r="BM244" i="11"/>
  <c r="BM247" i="11"/>
  <c r="AH51" i="21"/>
  <c r="CL127" i="11"/>
  <c r="CL138" i="11"/>
  <c r="CK126" i="11"/>
  <c r="CL132" i="11"/>
  <c r="AQ127" i="11"/>
  <c r="AQ138" i="11"/>
  <c r="AQ132" i="11"/>
  <c r="AH34" i="21"/>
  <c r="BH238" i="11"/>
  <c r="BH249" i="11"/>
  <c r="BG237" i="11"/>
  <c r="BH243" i="11"/>
  <c r="CM249" i="11"/>
  <c r="CM243" i="11"/>
  <c r="CM238" i="11"/>
  <c r="CI249" i="11"/>
  <c r="CI243" i="11"/>
  <c r="CI238" i="11"/>
  <c r="CH237" i="11"/>
  <c r="CR138" i="11"/>
  <c r="CQ126" i="11"/>
  <c r="CR132" i="11"/>
  <c r="CR127" i="11"/>
  <c r="AH33" i="22"/>
  <c r="AG44" i="23"/>
  <c r="F73" i="19"/>
  <c r="T72" i="19"/>
  <c r="CO132" i="11"/>
  <c r="CO127" i="11"/>
  <c r="CO138" i="11"/>
  <c r="CN126" i="11"/>
  <c r="AV238" i="11"/>
  <c r="AV249" i="11"/>
  <c r="AU237" i="11"/>
  <c r="AV243" i="11"/>
  <c r="CA127" i="11"/>
  <c r="CA138" i="11"/>
  <c r="CA132" i="11"/>
  <c r="BH138" i="11"/>
  <c r="BG126" i="11"/>
  <c r="BH132" i="11"/>
  <c r="BH127" i="11"/>
  <c r="AJ43" i="26"/>
  <c r="AE43" i="26"/>
  <c r="AG43" i="26"/>
  <c r="F44" i="26"/>
  <c r="F45" i="26" s="1"/>
  <c r="AF43" i="26"/>
  <c r="AK43" i="26"/>
  <c r="AI43" i="26"/>
  <c r="AL43" i="26" s="1"/>
  <c r="AH80" i="26"/>
  <c r="BW249" i="11"/>
  <c r="BW243" i="11"/>
  <c r="BW238" i="11"/>
  <c r="BV237" i="11"/>
  <c r="AD85" i="31"/>
  <c r="AD35" i="31"/>
  <c r="CJ249" i="11"/>
  <c r="CJ238" i="11"/>
  <c r="CJ243" i="11"/>
  <c r="BN127" i="11"/>
  <c r="BN138" i="11"/>
  <c r="BM126" i="11"/>
  <c r="BN132" i="11"/>
  <c r="F43" i="16"/>
  <c r="F42" i="16"/>
  <c r="F45" i="16"/>
  <c r="F59" i="28"/>
  <c r="T58" i="28"/>
  <c r="BC44" i="22"/>
  <c r="AY44" i="22"/>
  <c r="BJ44" i="22" s="1"/>
  <c r="AU44" i="22"/>
  <c r="BF44" i="22" s="1"/>
  <c r="AQ44" i="22"/>
  <c r="AM44" i="22"/>
  <c r="AI44" i="22"/>
  <c r="BD44" i="22" s="1"/>
  <c r="AE44" i="22"/>
  <c r="F45" i="22"/>
  <c r="F46" i="22" s="1"/>
  <c r="AG91" i="23" s="1"/>
  <c r="BB44" i="22"/>
  <c r="BM44" i="22" s="1"/>
  <c r="AX44" i="22"/>
  <c r="BI44" i="22" s="1"/>
  <c r="AT44" i="22"/>
  <c r="BE44" i="22" s="1"/>
  <c r="AP44" i="22"/>
  <c r="AL44" i="22"/>
  <c r="BA44" i="22"/>
  <c r="BL44" i="22" s="1"/>
  <c r="AW44" i="22"/>
  <c r="BH44" i="22" s="1"/>
  <c r="AS44" i="22"/>
  <c r="AO44" i="22"/>
  <c r="AK44" i="22"/>
  <c r="AG44" i="22"/>
  <c r="AZ44" i="22"/>
  <c r="BK44" i="22" s="1"/>
  <c r="AV44" i="22"/>
  <c r="BG44" i="22" s="1"/>
  <c r="AR44" i="22"/>
  <c r="AN44" i="22"/>
  <c r="AJ44" i="22"/>
  <c r="AF44" i="22"/>
  <c r="AF101" i="23" s="1"/>
  <c r="CD249" i="11"/>
  <c r="CD243" i="11"/>
  <c r="CD238" i="11"/>
  <c r="AD83" i="31"/>
  <c r="AD84" i="31"/>
  <c r="AD33" i="31"/>
  <c r="AD38" i="31"/>
  <c r="AD88" i="31"/>
  <c r="BT249" i="11"/>
  <c r="BT238" i="11"/>
  <c r="BS237" i="11"/>
  <c r="BT243" i="11"/>
  <c r="AH54" i="21"/>
  <c r="AI32" i="21"/>
  <c r="BD32" i="21" s="1"/>
  <c r="CL242" i="11"/>
  <c r="CL237" i="11"/>
  <c r="AY127" i="11"/>
  <c r="AY138" i="11"/>
  <c r="AX126" i="11"/>
  <c r="AY132" i="11"/>
  <c r="AF54" i="23"/>
  <c r="BQ132" i="11"/>
  <c r="BQ127" i="11"/>
  <c r="BQ138" i="11"/>
  <c r="BP126" i="11"/>
  <c r="F62" i="29"/>
  <c r="T61" i="29"/>
  <c r="F84" i="12"/>
  <c r="A83" i="12"/>
  <c r="AV138" i="11"/>
  <c r="AU126" i="11"/>
  <c r="AV132" i="11"/>
  <c r="AV127" i="11"/>
  <c r="AM127" i="11"/>
  <c r="AM138" i="11"/>
  <c r="AL126" i="11"/>
  <c r="AM132" i="11"/>
  <c r="F35" i="28"/>
  <c r="T34" i="28"/>
  <c r="CR249" i="11"/>
  <c r="CR238" i="11"/>
  <c r="CQ237" i="11"/>
  <c r="CR243" i="11"/>
  <c r="F36" i="25"/>
  <c r="T35" i="25"/>
  <c r="BB127" i="11"/>
  <c r="BB138" i="11"/>
  <c r="BA126" i="11"/>
  <c r="BB132" i="11"/>
  <c r="BC127" i="11"/>
  <c r="BC138" i="11"/>
  <c r="BC132" i="11"/>
  <c r="AR247" i="11"/>
  <c r="AR236" i="11"/>
  <c r="AR242" i="11" s="1"/>
  <c r="AR244" i="11"/>
  <c r="BE238" i="11"/>
  <c r="BE249" i="11"/>
  <c r="BD237" i="11"/>
  <c r="BE243" i="11"/>
  <c r="F80" i="25"/>
  <c r="T79" i="25"/>
  <c r="F42" i="12"/>
  <c r="A41" i="12"/>
  <c r="F108" i="23"/>
  <c r="F109" i="23"/>
  <c r="AV32" i="21"/>
  <c r="BG32" i="21" s="1"/>
  <c r="BN242" i="11"/>
  <c r="BN237" i="11"/>
  <c r="BR243" i="11"/>
  <c r="BR249" i="11"/>
  <c r="BR238" i="11"/>
  <c r="AH29" i="26"/>
  <c r="AL67" i="26"/>
  <c r="CD127" i="11"/>
  <c r="CD138" i="11"/>
  <c r="CD132" i="11"/>
  <c r="BZ131" i="11"/>
  <c r="BZ126" i="11"/>
  <c r="BA236" i="11"/>
  <c r="BA242" i="11" s="1"/>
  <c r="BA244" i="11"/>
  <c r="BA247" i="11"/>
  <c r="AG54" i="23"/>
  <c r="BO127" i="11"/>
  <c r="BO138" i="11"/>
  <c r="BO132" i="11"/>
  <c r="BY133" i="11"/>
  <c r="BY136" i="11"/>
  <c r="BY125" i="11"/>
  <c r="BY131" i="11" s="1"/>
  <c r="BB242" i="11"/>
  <c r="BB237" i="11"/>
  <c r="F38" i="29"/>
  <c r="T37" i="29"/>
  <c r="AJ81" i="26"/>
  <c r="AF81" i="26"/>
  <c r="F82" i="26"/>
  <c r="F83" i="26" s="1"/>
  <c r="AK81" i="26"/>
  <c r="AG81" i="26"/>
  <c r="AE81" i="26"/>
  <c r="AI81" i="26"/>
  <c r="AL81" i="26" s="1"/>
  <c r="AX32" i="21"/>
  <c r="BI32" i="21" s="1"/>
  <c r="AZ238" i="11"/>
  <c r="AZ249" i="11"/>
  <c r="AZ243" i="11"/>
  <c r="BR127" i="11"/>
  <c r="BR138" i="11"/>
  <c r="BR132" i="11"/>
  <c r="CF138" i="11"/>
  <c r="CE126" i="11"/>
  <c r="CF132" i="11"/>
  <c r="CF127" i="11"/>
  <c r="T64" i="16"/>
  <c r="G64" i="16"/>
  <c r="BK243" i="11"/>
  <c r="BK238" i="11"/>
  <c r="BK249" i="11"/>
  <c r="BJ237" i="11"/>
  <c r="BZ242" i="11"/>
  <c r="BZ237" i="11"/>
  <c r="CA249" i="11"/>
  <c r="CA243" i="11"/>
  <c r="CA238" i="11"/>
  <c r="AD86" i="31"/>
  <c r="BF249" i="11"/>
  <c r="BF243" i="11"/>
  <c r="BF238" i="11"/>
  <c r="BQ249" i="11"/>
  <c r="BQ238" i="11"/>
  <c r="BP237" i="11"/>
  <c r="BQ243" i="11"/>
  <c r="AY32" i="21"/>
  <c r="BJ32" i="21" s="1"/>
  <c r="CN247" i="11"/>
  <c r="CN236" i="11"/>
  <c r="CN242" i="11" s="1"/>
  <c r="CN244" i="11"/>
  <c r="BB249" i="11" l="1"/>
  <c r="BA237" i="11"/>
  <c r="BB243" i="11"/>
  <c r="BB238" i="11"/>
  <c r="T45" i="16"/>
  <c r="G45" i="16"/>
  <c r="AJ29" i="21" s="1"/>
  <c r="BG127" i="11"/>
  <c r="BG138" i="11"/>
  <c r="BG132" i="11"/>
  <c r="F63" i="21"/>
  <c r="F64" i="21" s="1"/>
  <c r="BB62" i="21"/>
  <c r="BM62" i="21" s="1"/>
  <c r="AX62" i="21"/>
  <c r="BI62" i="21" s="1"/>
  <c r="AT62" i="21"/>
  <c r="BE62" i="21" s="1"/>
  <c r="AP62" i="21"/>
  <c r="AL62" i="21"/>
  <c r="BA62" i="21"/>
  <c r="BL62" i="21" s="1"/>
  <c r="AW62" i="21"/>
  <c r="BH62" i="21" s="1"/>
  <c r="AS62" i="21"/>
  <c r="AO62" i="21"/>
  <c r="AK62" i="21"/>
  <c r="AG62" i="21"/>
  <c r="AZ62" i="21"/>
  <c r="BK62" i="21" s="1"/>
  <c r="AV62" i="21"/>
  <c r="BG62" i="21" s="1"/>
  <c r="AR62" i="21"/>
  <c r="AN62" i="21"/>
  <c r="AJ62" i="21"/>
  <c r="AF62" i="21"/>
  <c r="BC62" i="21"/>
  <c r="AY62" i="21"/>
  <c r="BJ62" i="21" s="1"/>
  <c r="AU62" i="21"/>
  <c r="BF62" i="21" s="1"/>
  <c r="AQ62" i="21"/>
  <c r="AM62" i="21"/>
  <c r="AI62" i="21"/>
  <c r="BD62" i="21" s="1"/>
  <c r="AE62" i="21"/>
  <c r="T63" i="16"/>
  <c r="T62" i="16"/>
  <c r="U36" i="11"/>
  <c r="S37" i="11"/>
  <c r="BJ127" i="11"/>
  <c r="BJ138" i="11"/>
  <c r="BJ132" i="11"/>
  <c r="T65" i="17"/>
  <c r="F66" i="17"/>
  <c r="BS127" i="11"/>
  <c r="BS138" i="11"/>
  <c r="BS132" i="11"/>
  <c r="BJ249" i="11"/>
  <c r="BJ243" i="11"/>
  <c r="BJ238" i="11"/>
  <c r="A42" i="12"/>
  <c r="F43" i="12"/>
  <c r="BD238" i="11"/>
  <c r="BD249" i="11"/>
  <c r="BD243" i="11"/>
  <c r="BP138" i="11"/>
  <c r="BP132" i="11"/>
  <c r="BP127" i="11"/>
  <c r="AW32" i="21"/>
  <c r="BH32" i="21" s="1"/>
  <c r="AX48" i="21"/>
  <c r="BS249" i="11"/>
  <c r="BS243" i="11"/>
  <c r="BS238" i="11"/>
  <c r="T42" i="16"/>
  <c r="F44" i="16"/>
  <c r="A42" i="16"/>
  <c r="AK33" i="26"/>
  <c r="AT48" i="21"/>
  <c r="AO48" i="21"/>
  <c r="AO61" i="21" s="1"/>
  <c r="BC48" i="21"/>
  <c r="BC61" i="21" s="1"/>
  <c r="BC64" i="21" s="1"/>
  <c r="BC47" i="21" s="1"/>
  <c r="AG71" i="26"/>
  <c r="AI48" i="21"/>
  <c r="AW48" i="21"/>
  <c r="AT29" i="21"/>
  <c r="AU243" i="11"/>
  <c r="AU238" i="11"/>
  <c r="AU249" i="11"/>
  <c r="F74" i="19"/>
  <c r="T73" i="19"/>
  <c r="AF91" i="23"/>
  <c r="AF81" i="23"/>
  <c r="F63" i="23"/>
  <c r="AX249" i="11"/>
  <c r="AX243" i="11"/>
  <c r="AX238" i="11"/>
  <c r="AK48" i="21"/>
  <c r="AK61" i="21" s="1"/>
  <c r="AK64" i="21" s="1"/>
  <c r="AK47" i="21" s="1"/>
  <c r="BD138" i="11"/>
  <c r="BD132" i="11"/>
  <c r="BD127" i="11"/>
  <c r="AR138" i="11"/>
  <c r="AR132" i="11"/>
  <c r="AR127" i="11"/>
  <c r="AB40" i="13"/>
  <c r="V40" i="13"/>
  <c r="BA32" i="21"/>
  <c r="BL32" i="21" s="1"/>
  <c r="F38" i="8"/>
  <c r="U37" i="8"/>
  <c r="T50" i="19"/>
  <c r="CQ249" i="11"/>
  <c r="CQ243" i="11"/>
  <c r="CQ238" i="11"/>
  <c r="T62" i="29"/>
  <c r="F63" i="29"/>
  <c r="AQ48" i="21"/>
  <c r="AQ61" i="21" s="1"/>
  <c r="AH81" i="26"/>
  <c r="F37" i="25"/>
  <c r="T36" i="25"/>
  <c r="AL127" i="11"/>
  <c r="AL138" i="11"/>
  <c r="AL132" i="11"/>
  <c r="A84" i="12"/>
  <c r="F85" i="12"/>
  <c r="CL249" i="11"/>
  <c r="CK237" i="11"/>
  <c r="CL243" i="11"/>
  <c r="CL238" i="11"/>
  <c r="AS48" i="21"/>
  <c r="AS61" i="21" s="1"/>
  <c r="AK29" i="21"/>
  <c r="AG34" i="23"/>
  <c r="AG81" i="23"/>
  <c r="AF34" i="23"/>
  <c r="AJ48" i="21"/>
  <c r="AJ61" i="21" s="1"/>
  <c r="BV249" i="11"/>
  <c r="BV243" i="11"/>
  <c r="BV238" i="11"/>
  <c r="AJ45" i="26"/>
  <c r="AF45" i="26"/>
  <c r="AK45" i="26"/>
  <c r="AE45" i="26"/>
  <c r="AI45" i="26"/>
  <c r="AL45" i="26" s="1"/>
  <c r="F46" i="26"/>
  <c r="AG45" i="26"/>
  <c r="CQ127" i="11"/>
  <c r="CQ138" i="11"/>
  <c r="CQ132" i="11"/>
  <c r="CK132" i="11"/>
  <c r="CK127" i="11"/>
  <c r="CK138" i="11"/>
  <c r="CB249" i="11"/>
  <c r="CB238" i="11"/>
  <c r="CB243" i="11"/>
  <c r="AT249" i="11"/>
  <c r="AT243" i="11"/>
  <c r="AT238" i="11"/>
  <c r="AR237" i="11"/>
  <c r="BM35" i="21"/>
  <c r="BB32" i="21"/>
  <c r="BM32" i="21" s="1"/>
  <c r="AP249" i="11"/>
  <c r="AO237" i="11"/>
  <c r="AP243" i="11"/>
  <c r="AP238" i="11"/>
  <c r="AL249" i="11"/>
  <c r="AL243" i="11"/>
  <c r="AL238" i="11"/>
  <c r="CP243" i="11"/>
  <c r="CP249" i="11"/>
  <c r="CP238" i="11"/>
  <c r="CN237" i="11"/>
  <c r="CH127" i="11"/>
  <c r="CH138" i="11"/>
  <c r="CH132" i="11"/>
  <c r="U148" i="11"/>
  <c r="S149" i="11"/>
  <c r="AV48" i="21"/>
  <c r="BP238" i="11"/>
  <c r="BP249" i="11"/>
  <c r="BP243" i="11"/>
  <c r="F36" i="28"/>
  <c r="T35" i="28"/>
  <c r="T59" i="28"/>
  <c r="F60" i="28"/>
  <c r="BM132" i="11"/>
  <c r="BM127" i="11"/>
  <c r="BM138" i="11"/>
  <c r="CN138" i="11"/>
  <c r="CN132" i="11"/>
  <c r="CN127" i="11"/>
  <c r="CH243" i="11"/>
  <c r="CH249" i="11"/>
  <c r="CH238" i="11"/>
  <c r="BG243" i="11"/>
  <c r="BG238" i="11"/>
  <c r="BG249" i="11"/>
  <c r="AH35" i="21"/>
  <c r="AG32" i="21"/>
  <c r="AH32" i="21" s="1"/>
  <c r="BE35" i="21"/>
  <c r="AT32" i="21"/>
  <c r="BE32" i="21" s="1"/>
  <c r="BF35" i="21"/>
  <c r="AU32" i="21"/>
  <c r="BF32" i="21" s="1"/>
  <c r="BA48" i="21"/>
  <c r="AY48" i="21"/>
  <c r="BY237" i="11"/>
  <c r="BZ243" i="11"/>
  <c r="BZ249" i="11"/>
  <c r="BZ238" i="11"/>
  <c r="CE127" i="11"/>
  <c r="CE138" i="11"/>
  <c r="CE132" i="11"/>
  <c r="AJ83" i="26"/>
  <c r="AE83" i="26"/>
  <c r="AK83" i="26"/>
  <c r="F84" i="26"/>
  <c r="AI83" i="26"/>
  <c r="AL83" i="26" s="1"/>
  <c r="AG83" i="26"/>
  <c r="AH83" i="26" s="1"/>
  <c r="AF83" i="26"/>
  <c r="F39" i="29"/>
  <c r="T38" i="29"/>
  <c r="BZ127" i="11"/>
  <c r="BZ138" i="11"/>
  <c r="BY126" i="11"/>
  <c r="BZ132" i="11"/>
  <c r="BN249" i="11"/>
  <c r="BM237" i="11"/>
  <c r="BN243" i="11"/>
  <c r="BN238" i="11"/>
  <c r="F110" i="23"/>
  <c r="F81" i="25"/>
  <c r="T80" i="25"/>
  <c r="BA132" i="11"/>
  <c r="BA127" i="11"/>
  <c r="BA138" i="11"/>
  <c r="AU127" i="11"/>
  <c r="AU138" i="11"/>
  <c r="AU132" i="11"/>
  <c r="AX127" i="11"/>
  <c r="AX138" i="11"/>
  <c r="AX132" i="11"/>
  <c r="AG29" i="21"/>
  <c r="AN29" i="21"/>
  <c r="AH44" i="22"/>
  <c r="AH43" i="26"/>
  <c r="AF44" i="23"/>
  <c r="AZ32" i="21"/>
  <c r="BK32" i="21" s="1"/>
  <c r="AG101" i="23"/>
  <c r="F65" i="8"/>
  <c r="U64" i="8"/>
  <c r="CE249" i="11"/>
  <c r="CE243" i="11"/>
  <c r="CE238" i="11"/>
  <c r="F37" i="21"/>
  <c r="AR29" i="21"/>
  <c r="AL29" i="21"/>
  <c r="A63" i="16"/>
  <c r="AF48" i="21"/>
  <c r="AF61" i="21" s="1"/>
  <c r="BB29" i="21"/>
  <c r="AU48" i="21"/>
  <c r="AN48" i="21"/>
  <c r="AN61" i="21" s="1"/>
  <c r="AN64" i="21" s="1"/>
  <c r="AN47" i="21" s="1"/>
  <c r="BB48" i="21"/>
  <c r="AY29" i="21"/>
  <c r="AL48" i="21"/>
  <c r="AL61" i="21" s="1"/>
  <c r="AO29" i="21"/>
  <c r="AG48" i="21"/>
  <c r="AR48" i="21"/>
  <c r="AR61" i="21" s="1"/>
  <c r="AR64" i="21" s="1"/>
  <c r="AR47" i="21" s="1"/>
  <c r="AJ33" i="26"/>
  <c r="AO132" i="11"/>
  <c r="AO127" i="11"/>
  <c r="AO138" i="11"/>
  <c r="F53" i="10"/>
  <c r="F54" i="10" s="1"/>
  <c r="F55" i="10" s="1"/>
  <c r="F56" i="10" s="1"/>
  <c r="F57" i="10" s="1"/>
  <c r="F58" i="10" s="1"/>
  <c r="F59" i="10" s="1"/>
  <c r="F60" i="10" s="1"/>
  <c r="F61" i="10" s="1"/>
  <c r="F62" i="10" s="1"/>
  <c r="F63" i="10" s="1"/>
  <c r="BB71" i="12"/>
  <c r="BB73" i="12" s="1"/>
  <c r="AS30" i="12"/>
  <c r="AS32" i="12" s="1"/>
  <c r="AL30" i="12"/>
  <c r="AL32" i="12" s="1"/>
  <c r="CB138" i="11"/>
  <c r="CB132" i="11"/>
  <c r="CB127" i="11"/>
  <c r="F37" i="17"/>
  <c r="T36" i="17"/>
  <c r="T37" i="17" s="1"/>
  <c r="T38" i="17" s="1"/>
  <c r="BV127" i="11"/>
  <c r="BV138" i="11"/>
  <c r="BV132" i="11"/>
  <c r="AJ71" i="26"/>
  <c r="BJ29" i="21" l="1"/>
  <c r="F111" i="23"/>
  <c r="F112" i="23" s="1"/>
  <c r="F113" i="23" s="1"/>
  <c r="F114" i="23" s="1"/>
  <c r="F115" i="23" s="1"/>
  <c r="F116" i="23" s="1"/>
  <c r="F117" i="23" s="1"/>
  <c r="F118" i="23" s="1"/>
  <c r="F119" i="23" s="1"/>
  <c r="F120" i="23" s="1"/>
  <c r="F121" i="23" s="1"/>
  <c r="BY132" i="11"/>
  <c r="BY127" i="11"/>
  <c r="BY138" i="11"/>
  <c r="T39" i="29"/>
  <c r="F40" i="29"/>
  <c r="F38" i="25"/>
  <c r="T37" i="25"/>
  <c r="T66" i="17"/>
  <c r="F67" i="17"/>
  <c r="AG61" i="21"/>
  <c r="AH48" i="21"/>
  <c r="CK249" i="11"/>
  <c r="CK238" i="11"/>
  <c r="CK243" i="11"/>
  <c r="AT71" i="12"/>
  <c r="AT73" i="12" s="1"/>
  <c r="AW71" i="12"/>
  <c r="AW73" i="12" s="1"/>
  <c r="AR71" i="12"/>
  <c r="AR73" i="12" s="1"/>
  <c r="AQ71" i="12"/>
  <c r="AQ73" i="12" s="1"/>
  <c r="AP71" i="12"/>
  <c r="AP73" i="12" s="1"/>
  <c r="AG30" i="12"/>
  <c r="AG32" i="12" s="1"/>
  <c r="AO71" i="12"/>
  <c r="AO73" i="12" s="1"/>
  <c r="AY71" i="12"/>
  <c r="AY73" i="12" s="1"/>
  <c r="AE30" i="12"/>
  <c r="AE32" i="12" s="1"/>
  <c r="AU71" i="12"/>
  <c r="AU73" i="12" s="1"/>
  <c r="AR30" i="12"/>
  <c r="AR32" i="12" s="1"/>
  <c r="AF71" i="12"/>
  <c r="AF73" i="12" s="1"/>
  <c r="AX30" i="12"/>
  <c r="AX32" i="12" s="1"/>
  <c r="AF30" i="12"/>
  <c r="AF32" i="12" s="1"/>
  <c r="AO30" i="12"/>
  <c r="AO32" i="12" s="1"/>
  <c r="AS71" i="12"/>
  <c r="AS73" i="12" s="1"/>
  <c r="BB30" i="12"/>
  <c r="BB32" i="12" s="1"/>
  <c r="AW30" i="12"/>
  <c r="AW32" i="12" s="1"/>
  <c r="AV30" i="12"/>
  <c r="AV32" i="12" s="1"/>
  <c r="AK71" i="12"/>
  <c r="AK73" i="12" s="1"/>
  <c r="AV71" i="12"/>
  <c r="AV73" i="12" s="1"/>
  <c r="AK30" i="12"/>
  <c r="AK32" i="12" s="1"/>
  <c r="AP30" i="12"/>
  <c r="AP32" i="12" s="1"/>
  <c r="AI71" i="12"/>
  <c r="AI73" i="12" s="1"/>
  <c r="AY30" i="12"/>
  <c r="AY32" i="12" s="1"/>
  <c r="AN71" i="12"/>
  <c r="AN73" i="12" s="1"/>
  <c r="AJ71" i="12"/>
  <c r="AJ73" i="12" s="1"/>
  <c r="AN30" i="12"/>
  <c r="AN32" i="12" s="1"/>
  <c r="AJ30" i="12"/>
  <c r="AJ32" i="12" s="1"/>
  <c r="AU30" i="12"/>
  <c r="AU32" i="12" s="1"/>
  <c r="AM30" i="12"/>
  <c r="AM32" i="12" s="1"/>
  <c r="AE71" i="12"/>
  <c r="AE73" i="12" s="1"/>
  <c r="AH30" i="12"/>
  <c r="AH32" i="12" s="1"/>
  <c r="AX71" i="12"/>
  <c r="AX73" i="12" s="1"/>
  <c r="AT30" i="12"/>
  <c r="AT32" i="12" s="1"/>
  <c r="AZ30" i="12"/>
  <c r="AZ32" i="12" s="1"/>
  <c r="AZ71" i="12"/>
  <c r="AZ73" i="12" s="1"/>
  <c r="AI30" i="12"/>
  <c r="AI32" i="12" s="1"/>
  <c r="AH71" i="12"/>
  <c r="AH73" i="12" s="1"/>
  <c r="BA30" i="12"/>
  <c r="BA32" i="12" s="1"/>
  <c r="AL71" i="12"/>
  <c r="AL73" i="12" s="1"/>
  <c r="AQ30" i="12"/>
  <c r="AQ32" i="12" s="1"/>
  <c r="AG71" i="12"/>
  <c r="AG73" i="12" s="1"/>
  <c r="BA71" i="12"/>
  <c r="BA73" i="12" s="1"/>
  <c r="AL64" i="21"/>
  <c r="AL47" i="21" s="1"/>
  <c r="AU61" i="21"/>
  <c r="BF48" i="21"/>
  <c r="U65" i="8"/>
  <c r="F66" i="8"/>
  <c r="F82" i="25"/>
  <c r="T81" i="25"/>
  <c r="BY249" i="11"/>
  <c r="BY238" i="11"/>
  <c r="BY243" i="11"/>
  <c r="AM29" i="21"/>
  <c r="F61" i="28"/>
  <c r="T60" i="28"/>
  <c r="S150" i="11"/>
  <c r="U149" i="11"/>
  <c r="AO238" i="11"/>
  <c r="AO249" i="11"/>
  <c r="AO243" i="11"/>
  <c r="BA29" i="21"/>
  <c r="AJ64" i="21"/>
  <c r="AJ47" i="21" s="1"/>
  <c r="F86" i="12"/>
  <c r="A85" i="12"/>
  <c r="F64" i="29"/>
  <c r="T63" i="29"/>
  <c r="AU29" i="21"/>
  <c r="AI61" i="21"/>
  <c r="BD48" i="21"/>
  <c r="AT61" i="21"/>
  <c r="BE48" i="21"/>
  <c r="T43" i="16"/>
  <c r="T44" i="16"/>
  <c r="AX61" i="21"/>
  <c r="BI48" i="21"/>
  <c r="F44" i="12"/>
  <c r="A43" i="12"/>
  <c r="BM29" i="21"/>
  <c r="AY61" i="21"/>
  <c r="BJ48" i="21"/>
  <c r="AH71" i="26"/>
  <c r="AF64" i="21"/>
  <c r="AF47" i="21" s="1"/>
  <c r="BM238" i="11"/>
  <c r="BM249" i="11"/>
  <c r="BM243" i="11"/>
  <c r="AH45" i="26"/>
  <c r="AI36" i="26" s="1"/>
  <c r="AL36" i="26" s="1"/>
  <c r="AQ64" i="21"/>
  <c r="AQ47" i="21" s="1"/>
  <c r="F39" i="8"/>
  <c r="U38" i="8"/>
  <c r="F64" i="23"/>
  <c r="F65" i="23" s="1"/>
  <c r="F66" i="23" s="1"/>
  <c r="F67" i="23" s="1"/>
  <c r="F68" i="23" s="1"/>
  <c r="F69" i="23" s="1"/>
  <c r="F70" i="23" s="1"/>
  <c r="F71" i="23" s="1"/>
  <c r="F72" i="23" s="1"/>
  <c r="F73" i="23" s="1"/>
  <c r="F74" i="23" s="1"/>
  <c r="T74" i="19"/>
  <c r="BE29" i="21"/>
  <c r="U37" i="11"/>
  <c r="S38" i="11"/>
  <c r="BA238" i="11"/>
  <c r="BA249" i="11"/>
  <c r="BA243" i="11"/>
  <c r="F38" i="17"/>
  <c r="F39" i="17" s="1"/>
  <c r="BB61" i="21"/>
  <c r="BM48" i="21"/>
  <c r="AH29" i="21"/>
  <c r="AJ84" i="26"/>
  <c r="AJ74" i="26" s="1"/>
  <c r="AF84" i="26"/>
  <c r="AF74" i="26" s="1"/>
  <c r="AK84" i="26"/>
  <c r="AK74" i="26" s="1"/>
  <c r="AE84" i="26"/>
  <c r="AE74" i="26" s="1"/>
  <c r="AI84" i="26"/>
  <c r="AL84" i="26" s="1"/>
  <c r="AG84" i="26"/>
  <c r="AH84" i="26" s="1"/>
  <c r="AI74" i="26" s="1"/>
  <c r="AL74" i="26" s="1"/>
  <c r="F85" i="26"/>
  <c r="AM71" i="12"/>
  <c r="AM73" i="12" s="1"/>
  <c r="F38" i="21"/>
  <c r="F39" i="21" s="1"/>
  <c r="AG33" i="26"/>
  <c r="BL48" i="21"/>
  <c r="BA61" i="21"/>
  <c r="F37" i="28"/>
  <c r="T36" i="28"/>
  <c r="BG48" i="21"/>
  <c r="AV61" i="21"/>
  <c r="CN238" i="11"/>
  <c r="CN249" i="11"/>
  <c r="CN243" i="11"/>
  <c r="AE33" i="26"/>
  <c r="AR238" i="11"/>
  <c r="AR249" i="11"/>
  <c r="AR243" i="11"/>
  <c r="AK46" i="26"/>
  <c r="AK36" i="26" s="1"/>
  <c r="AF46" i="26"/>
  <c r="AF36" i="26" s="1"/>
  <c r="AI46" i="26"/>
  <c r="AL46" i="26" s="1"/>
  <c r="AG46" i="26"/>
  <c r="AH46" i="26" s="1"/>
  <c r="F47" i="26"/>
  <c r="AE46" i="26"/>
  <c r="AE36" i="26" s="1"/>
  <c r="AJ46" i="26"/>
  <c r="AJ36" i="26" s="1"/>
  <c r="AS64" i="21"/>
  <c r="AS47" i="21" s="1"/>
  <c r="AZ29" i="21"/>
  <c r="AB126" i="14"/>
  <c r="V126" i="14"/>
  <c r="BH48" i="21"/>
  <c r="AW61" i="21"/>
  <c r="AO64" i="21"/>
  <c r="AO47" i="21" s="1"/>
  <c r="A44" i="16"/>
  <c r="AP48" i="21"/>
  <c r="AP61" i="21" s="1"/>
  <c r="AP64" i="21" s="1"/>
  <c r="AP47" i="21" s="1"/>
  <c r="AX29" i="21"/>
  <c r="AI33" i="26"/>
  <c r="AL33" i="26" s="1"/>
  <c r="AP29" i="21"/>
  <c r="AM48" i="21"/>
  <c r="AM61" i="21" s="1"/>
  <c r="AM64" i="21" s="1"/>
  <c r="AM47" i="21" s="1"/>
  <c r="AI71" i="26"/>
  <c r="AL71" i="26" s="1"/>
  <c r="AZ48" i="21"/>
  <c r="AF29" i="21"/>
  <c r="AW29" i="21"/>
  <c r="AS29" i="21"/>
  <c r="AQ29" i="21"/>
  <c r="BC29" i="21"/>
  <c r="AE48" i="21"/>
  <c r="AE61" i="21" s="1"/>
  <c r="AE64" i="21" s="1"/>
  <c r="AE47" i="21" s="1"/>
  <c r="AV29" i="21"/>
  <c r="AE71" i="26"/>
  <c r="AE29" i="21"/>
  <c r="AK71" i="26"/>
  <c r="AF71" i="26"/>
  <c r="AI29" i="21"/>
  <c r="AF33" i="26"/>
  <c r="AH62" i="21"/>
  <c r="A44" i="12" l="1"/>
  <c r="F45" i="12"/>
  <c r="AI64" i="21"/>
  <c r="BD61" i="21"/>
  <c r="BH29" i="21"/>
  <c r="S39" i="11"/>
  <c r="U38" i="11"/>
  <c r="BL29" i="21"/>
  <c r="F62" i="28"/>
  <c r="T61" i="28"/>
  <c r="U39" i="8"/>
  <c r="F40" i="8"/>
  <c r="AG36" i="26"/>
  <c r="AH36" i="26" s="1"/>
  <c r="F65" i="29"/>
  <c r="T64" i="29"/>
  <c r="F48" i="26"/>
  <c r="T47" i="26"/>
  <c r="AY64" i="21"/>
  <c r="BJ61" i="21"/>
  <c r="F67" i="8"/>
  <c r="U66" i="8"/>
  <c r="T37" i="28"/>
  <c r="F38" i="28"/>
  <c r="BD29" i="21"/>
  <c r="BK48" i="21"/>
  <c r="AZ61" i="21"/>
  <c r="AB39" i="15"/>
  <c r="V39" i="15"/>
  <c r="AV64" i="21"/>
  <c r="BG61" i="21"/>
  <c r="BA64" i="21"/>
  <c r="BL61" i="21"/>
  <c r="AH33" i="26"/>
  <c r="AZ39" i="21"/>
  <c r="BK39" i="21" s="1"/>
  <c r="AV39" i="21"/>
  <c r="BG39" i="21" s="1"/>
  <c r="AR39" i="21"/>
  <c r="AR42" i="21" s="1"/>
  <c r="AN39" i="21"/>
  <c r="AN42" i="21" s="1"/>
  <c r="AJ39" i="21"/>
  <c r="AJ42" i="21" s="1"/>
  <c r="AF39" i="21"/>
  <c r="AF42" i="21" s="1"/>
  <c r="BC39" i="21"/>
  <c r="BC42" i="21" s="1"/>
  <c r="AY39" i="21"/>
  <c r="AU39" i="21"/>
  <c r="BF39" i="21" s="1"/>
  <c r="AQ39" i="21"/>
  <c r="AQ42" i="21" s="1"/>
  <c r="AM39" i="21"/>
  <c r="AM42" i="21" s="1"/>
  <c r="AI39" i="21"/>
  <c r="BD39" i="21" s="1"/>
  <c r="AE39" i="21"/>
  <c r="AE42" i="21" s="1"/>
  <c r="F40" i="21"/>
  <c r="BB39" i="21"/>
  <c r="AX39" i="21"/>
  <c r="BI39" i="21" s="1"/>
  <c r="AT39" i="21"/>
  <c r="AP39" i="21"/>
  <c r="AP42" i="21" s="1"/>
  <c r="AL39" i="21"/>
  <c r="AL42" i="21" s="1"/>
  <c r="BA39" i="21"/>
  <c r="BL39" i="21" s="1"/>
  <c r="AW39" i="21"/>
  <c r="BH39" i="21" s="1"/>
  <c r="AS39" i="21"/>
  <c r="AO39" i="21"/>
  <c r="AO42" i="21" s="1"/>
  <c r="AK39" i="21"/>
  <c r="AK42" i="21" s="1"/>
  <c r="AG39" i="21"/>
  <c r="AX64" i="21"/>
  <c r="BI61" i="21"/>
  <c r="AT64" i="21"/>
  <c r="BE61" i="21"/>
  <c r="AG74" i="26"/>
  <c r="AH74" i="26" s="1"/>
  <c r="S151" i="11"/>
  <c r="U150" i="11"/>
  <c r="F83" i="25"/>
  <c r="T82" i="25"/>
  <c r="AH61" i="21"/>
  <c r="AG64" i="21"/>
  <c r="F39" i="25"/>
  <c r="T38" i="25"/>
  <c r="T85" i="26"/>
  <c r="F86" i="26"/>
  <c r="AV42" i="21"/>
  <c r="BG29" i="21"/>
  <c r="AS42" i="21"/>
  <c r="BI29" i="21"/>
  <c r="AX42" i="21"/>
  <c r="AW64" i="21"/>
  <c r="BH61" i="21"/>
  <c r="AZ42" i="21"/>
  <c r="BK29" i="21"/>
  <c r="BB64" i="21"/>
  <c r="BM61" i="21"/>
  <c r="F40" i="17"/>
  <c r="T39" i="17"/>
  <c r="H39" i="17"/>
  <c r="BF29" i="21"/>
  <c r="AU42" i="21"/>
  <c r="T86" i="12"/>
  <c r="F87" i="12"/>
  <c r="AU64" i="21"/>
  <c r="BF61" i="21"/>
  <c r="F68" i="17"/>
  <c r="F69" i="17" s="1"/>
  <c r="F70" i="17" s="1"/>
  <c r="T67" i="17"/>
  <c r="T68" i="17" s="1"/>
  <c r="T69" i="17" s="1"/>
  <c r="T40" i="29"/>
  <c r="F41" i="29"/>
  <c r="F42" i="29" l="1"/>
  <c r="T41" i="29"/>
  <c r="BF42" i="21"/>
  <c r="AH39" i="21"/>
  <c r="AG42" i="21"/>
  <c r="BE39" i="21"/>
  <c r="AT42" i="21"/>
  <c r="AZ64" i="21"/>
  <c r="BK61" i="21"/>
  <c r="AI42" i="21"/>
  <c r="BJ64" i="21"/>
  <c r="BJ47" i="21" s="1"/>
  <c r="AY47" i="21"/>
  <c r="F41" i="8"/>
  <c r="U40" i="8"/>
  <c r="F40" i="25"/>
  <c r="T39" i="25"/>
  <c r="BH64" i="21"/>
  <c r="BH47" i="21" s="1"/>
  <c r="AW47" i="21"/>
  <c r="AG47" i="21"/>
  <c r="AH64" i="21"/>
  <c r="AH47" i="21" s="1"/>
  <c r="BE64" i="21"/>
  <c r="BE47" i="21" s="1"/>
  <c r="AT47" i="21"/>
  <c r="BJ39" i="21"/>
  <c r="AY42" i="21"/>
  <c r="BG64" i="21"/>
  <c r="BG47" i="21" s="1"/>
  <c r="AV47" i="21"/>
  <c r="T38" i="28"/>
  <c r="F39" i="28"/>
  <c r="T65" i="29"/>
  <c r="F66" i="29"/>
  <c r="T62" i="28"/>
  <c r="F63" i="28"/>
  <c r="S40" i="11"/>
  <c r="U39" i="11"/>
  <c r="BD64" i="21"/>
  <c r="BD47" i="21" s="1"/>
  <c r="AI47" i="21"/>
  <c r="U151" i="11"/>
  <c r="S152" i="11"/>
  <c r="BM39" i="21"/>
  <c r="BB42" i="21"/>
  <c r="U67" i="8"/>
  <c r="F68" i="8"/>
  <c r="T48" i="26"/>
  <c r="T49" i="26" s="1"/>
  <c r="T50" i="26" s="1"/>
  <c r="T51" i="26" s="1"/>
  <c r="T52" i="26" s="1"/>
  <c r="T53" i="26" s="1"/>
  <c r="T54" i="26" s="1"/>
  <c r="T55" i="26" s="1"/>
  <c r="T56" i="26" s="1"/>
  <c r="T57" i="26" s="1"/>
  <c r="T58" i="26" s="1"/>
  <c r="T59" i="26" s="1"/>
  <c r="T60" i="26" s="1"/>
  <c r="T61" i="26" s="1"/>
  <c r="T62" i="26" s="1"/>
  <c r="T63" i="26" s="1"/>
  <c r="T64" i="26" s="1"/>
  <c r="F49" i="26"/>
  <c r="F46" i="12"/>
  <c r="T45" i="12"/>
  <c r="BM64" i="21"/>
  <c r="BM47" i="21" s="1"/>
  <c r="BB47" i="21"/>
  <c r="F84" i="25"/>
  <c r="T83" i="25"/>
  <c r="BF64" i="21"/>
  <c r="BF47" i="21" s="1"/>
  <c r="AU47" i="21"/>
  <c r="F88" i="12"/>
  <c r="T87" i="12"/>
  <c r="T40" i="17"/>
  <c r="F41" i="17"/>
  <c r="BI42" i="21"/>
  <c r="BG42" i="21"/>
  <c r="F71" i="17"/>
  <c r="T70" i="17"/>
  <c r="H70" i="17"/>
  <c r="BK42" i="21"/>
  <c r="T86" i="26"/>
  <c r="T87" i="26" s="1"/>
  <c r="T88" i="26" s="1"/>
  <c r="T89" i="26" s="1"/>
  <c r="T90" i="26" s="1"/>
  <c r="T91" i="26" s="1"/>
  <c r="T92" i="26" s="1"/>
  <c r="T93" i="26" s="1"/>
  <c r="T94" i="26" s="1"/>
  <c r="T95" i="26" s="1"/>
  <c r="T96" i="26" s="1"/>
  <c r="T97" i="26" s="1"/>
  <c r="T98" i="26" s="1"/>
  <c r="T99" i="26" s="1"/>
  <c r="T100" i="26" s="1"/>
  <c r="T101" i="26" s="1"/>
  <c r="T102" i="26" s="1"/>
  <c r="F87" i="26"/>
  <c r="BI64" i="21"/>
  <c r="BI47" i="21" s="1"/>
  <c r="AX47" i="21"/>
  <c r="F41" i="21"/>
  <c r="BL64" i="21"/>
  <c r="BL47" i="21" s="1"/>
  <c r="BA47" i="21"/>
  <c r="AB46" i="16"/>
  <c r="V46" i="16"/>
  <c r="BA42" i="21"/>
  <c r="AW42" i="21"/>
  <c r="BL42" i="21" l="1"/>
  <c r="AB52" i="17"/>
  <c r="V52" i="17"/>
  <c r="T71" i="17"/>
  <c r="F72" i="17"/>
  <c r="BH42" i="21"/>
  <c r="T88" i="12"/>
  <c r="T90" i="12" s="1"/>
  <c r="F89" i="12"/>
  <c r="F85" i="25"/>
  <c r="T84" i="25"/>
  <c r="U68" i="8"/>
  <c r="F69" i="8"/>
  <c r="U40" i="11"/>
  <c r="S41" i="11"/>
  <c r="BK64" i="21"/>
  <c r="BK47" i="21" s="1"/>
  <c r="AZ47" i="21"/>
  <c r="AH42" i="21"/>
  <c r="F88" i="26"/>
  <c r="F89" i="26" s="1"/>
  <c r="F90" i="26" s="1"/>
  <c r="F91" i="26" s="1"/>
  <c r="T46" i="12"/>
  <c r="F47" i="12"/>
  <c r="T63" i="28"/>
  <c r="F64" i="28"/>
  <c r="T39" i="28"/>
  <c r="F40" i="28"/>
  <c r="T42" i="29"/>
  <c r="F43" i="29"/>
  <c r="T41" i="17"/>
  <c r="F42" i="17"/>
  <c r="F42" i="21"/>
  <c r="F50" i="26"/>
  <c r="F51" i="26" s="1"/>
  <c r="F52" i="26" s="1"/>
  <c r="F53" i="26" s="1"/>
  <c r="BJ42" i="21"/>
  <c r="BD42" i="21"/>
  <c r="BE42" i="21"/>
  <c r="BM42" i="21"/>
  <c r="U152" i="11"/>
  <c r="S153" i="11"/>
  <c r="T66" i="29"/>
  <c r="F67" i="29"/>
  <c r="F41" i="25"/>
  <c r="T40" i="25"/>
  <c r="F42" i="8"/>
  <c r="U41" i="8"/>
  <c r="T67" i="29" l="1"/>
  <c r="F68" i="29"/>
  <c r="U69" i="8"/>
  <c r="F70" i="8"/>
  <c r="F90" i="12"/>
  <c r="F91" i="12" s="1"/>
  <c r="F92" i="12" s="1"/>
  <c r="F93" i="12" s="1"/>
  <c r="F94" i="12" s="1"/>
  <c r="L89" i="12"/>
  <c r="T89" i="12" s="1"/>
  <c r="AB41" i="18"/>
  <c r="V41" i="18"/>
  <c r="F43" i="8"/>
  <c r="U42" i="8"/>
  <c r="F44" i="29"/>
  <c r="T43" i="29"/>
  <c r="T64" i="28"/>
  <c r="F65" i="28"/>
  <c r="F48" i="12"/>
  <c r="T47" i="12"/>
  <c r="T49" i="12" s="1"/>
  <c r="AJ91" i="26"/>
  <c r="AE91" i="26"/>
  <c r="AG91" i="26"/>
  <c r="AK91" i="26"/>
  <c r="AI91" i="26"/>
  <c r="AF91" i="26"/>
  <c r="F92" i="26"/>
  <c r="F93" i="26" s="1"/>
  <c r="F94" i="26" s="1"/>
  <c r="F95" i="26" s="1"/>
  <c r="F96" i="26" s="1"/>
  <c r="F97" i="26" s="1"/>
  <c r="F98" i="26" s="1"/>
  <c r="F99" i="26" s="1"/>
  <c r="F100" i="26" s="1"/>
  <c r="F101" i="26" s="1"/>
  <c r="F102" i="26" s="1"/>
  <c r="T91" i="12"/>
  <c r="T92" i="12"/>
  <c r="T93" i="12" s="1"/>
  <c r="T72" i="17"/>
  <c r="F73" i="17"/>
  <c r="S154" i="11"/>
  <c r="U153" i="11"/>
  <c r="AJ53" i="26"/>
  <c r="AF53" i="26"/>
  <c r="AI53" i="26"/>
  <c r="AK53" i="26"/>
  <c r="AG53" i="26"/>
  <c r="F54" i="26"/>
  <c r="F55" i="26" s="1"/>
  <c r="F56" i="26" s="1"/>
  <c r="F57" i="26" s="1"/>
  <c r="F58" i="26" s="1"/>
  <c r="F59" i="26" s="1"/>
  <c r="F60" i="26" s="1"/>
  <c r="F61" i="26" s="1"/>
  <c r="F62" i="26" s="1"/>
  <c r="F63" i="26" s="1"/>
  <c r="F64" i="26" s="1"/>
  <c r="AE53" i="26"/>
  <c r="F43" i="21"/>
  <c r="U41" i="11"/>
  <c r="S42" i="11"/>
  <c r="F42" i="25"/>
  <c r="T41" i="25"/>
  <c r="F43" i="17"/>
  <c r="F44" i="17" s="1"/>
  <c r="F45" i="17" s="1"/>
  <c r="T42" i="17"/>
  <c r="T43" i="17" s="1"/>
  <c r="T44" i="17" s="1"/>
  <c r="F41" i="28"/>
  <c r="T40" i="28"/>
  <c r="F86" i="25"/>
  <c r="T85" i="25"/>
  <c r="F87" i="25" l="1"/>
  <c r="T86" i="25"/>
  <c r="F46" i="17"/>
  <c r="T45" i="17"/>
  <c r="H45" i="17"/>
  <c r="F43" i="25"/>
  <c r="T42" i="25"/>
  <c r="AF55" i="26"/>
  <c r="AF49" i="26"/>
  <c r="AF51" i="26" s="1"/>
  <c r="F74" i="17"/>
  <c r="F75" i="17" s="1"/>
  <c r="F76" i="17" s="1"/>
  <c r="T73" i="17"/>
  <c r="T74" i="17" s="1"/>
  <c r="T75" i="17" s="1"/>
  <c r="AH91" i="26"/>
  <c r="AG93" i="26"/>
  <c r="AG87" i="26"/>
  <c r="L48" i="12"/>
  <c r="F49" i="12"/>
  <c r="F50" i="12" s="1"/>
  <c r="F51" i="12" s="1"/>
  <c r="F52" i="12" s="1"/>
  <c r="F53" i="12" s="1"/>
  <c r="T48" i="12"/>
  <c r="F45" i="29"/>
  <c r="T44" i="29"/>
  <c r="AB51" i="19"/>
  <c r="V51" i="19"/>
  <c r="F71" i="8"/>
  <c r="U70" i="8"/>
  <c r="AH53" i="26"/>
  <c r="AG55" i="26"/>
  <c r="AH55" i="26" s="1"/>
  <c r="AG49" i="26"/>
  <c r="AJ55" i="26"/>
  <c r="AJ49" i="26"/>
  <c r="AJ51" i="26" s="1"/>
  <c r="AF93" i="26"/>
  <c r="AF87" i="26"/>
  <c r="AF89" i="26" s="1"/>
  <c r="AE93" i="26"/>
  <c r="AE87" i="26"/>
  <c r="AE89" i="26" s="1"/>
  <c r="T65" i="28"/>
  <c r="F66" i="28"/>
  <c r="F42" i="28"/>
  <c r="T41" i="28"/>
  <c r="S43" i="11"/>
  <c r="U42" i="11"/>
  <c r="AZ43" i="21"/>
  <c r="AV43" i="21"/>
  <c r="AR43" i="21"/>
  <c r="AR45" i="21" s="1"/>
  <c r="AR28" i="21" s="1"/>
  <c r="AN43" i="21"/>
  <c r="AN45" i="21" s="1"/>
  <c r="AN28" i="21" s="1"/>
  <c r="AJ43" i="21"/>
  <c r="AJ45" i="21" s="1"/>
  <c r="AJ28" i="21" s="1"/>
  <c r="AF43" i="21"/>
  <c r="AF45" i="21" s="1"/>
  <c r="AF28" i="21" s="1"/>
  <c r="BC43" i="21"/>
  <c r="BC45" i="21" s="1"/>
  <c r="BC28" i="21" s="1"/>
  <c r="AY43" i="21"/>
  <c r="AU43" i="21"/>
  <c r="AQ43" i="21"/>
  <c r="AQ45" i="21" s="1"/>
  <c r="AQ28" i="21" s="1"/>
  <c r="AM43" i="21"/>
  <c r="AM45" i="21" s="1"/>
  <c r="AM28" i="21" s="1"/>
  <c r="AI43" i="21"/>
  <c r="AE43" i="21"/>
  <c r="AE45" i="21" s="1"/>
  <c r="AE28" i="21" s="1"/>
  <c r="F44" i="21"/>
  <c r="BB43" i="21"/>
  <c r="AX43" i="21"/>
  <c r="AT43" i="21"/>
  <c r="AP43" i="21"/>
  <c r="AP45" i="21" s="1"/>
  <c r="AP28" i="21" s="1"/>
  <c r="AL43" i="21"/>
  <c r="AL45" i="21" s="1"/>
  <c r="AL28" i="21" s="1"/>
  <c r="BA43" i="21"/>
  <c r="AW43" i="21"/>
  <c r="AS43" i="21"/>
  <c r="AS45" i="21" s="1"/>
  <c r="AS28" i="21" s="1"/>
  <c r="AO43" i="21"/>
  <c r="AO45" i="21" s="1"/>
  <c r="AO28" i="21" s="1"/>
  <c r="AK43" i="21"/>
  <c r="AK45" i="21" s="1"/>
  <c r="AK28" i="21" s="1"/>
  <c r="AG43" i="21"/>
  <c r="AK55" i="26"/>
  <c r="AK49" i="26"/>
  <c r="AK51" i="26" s="1"/>
  <c r="AL91" i="26"/>
  <c r="AI93" i="26"/>
  <c r="AL93" i="26" s="1"/>
  <c r="AI87" i="26"/>
  <c r="AJ93" i="26"/>
  <c r="AJ87" i="26"/>
  <c r="AJ89" i="26" s="1"/>
  <c r="F44" i="8"/>
  <c r="U43" i="8"/>
  <c r="F69" i="29"/>
  <c r="T68" i="29"/>
  <c r="AE55" i="26"/>
  <c r="AE49" i="26"/>
  <c r="AE51" i="26" s="1"/>
  <c r="AI55" i="26"/>
  <c r="AL55" i="26" s="1"/>
  <c r="AL53" i="26"/>
  <c r="AI49" i="26"/>
  <c r="S155" i="11"/>
  <c r="U154" i="11"/>
  <c r="AK93" i="26"/>
  <c r="AK87" i="26"/>
  <c r="AK89" i="26" s="1"/>
  <c r="T51" i="12"/>
  <c r="T52" i="12" s="1"/>
  <c r="T50" i="12"/>
  <c r="A94" i="12"/>
  <c r="T94" i="12"/>
  <c r="F95" i="12"/>
  <c r="T96" i="12" l="1"/>
  <c r="T97" i="12"/>
  <c r="F45" i="8"/>
  <c r="U44" i="8"/>
  <c r="BL43" i="21"/>
  <c r="BA45" i="21"/>
  <c r="BI43" i="21"/>
  <c r="AX45" i="21"/>
  <c r="BD43" i="21"/>
  <c r="AI45" i="21"/>
  <c r="BJ43" i="21"/>
  <c r="AY45" i="21"/>
  <c r="T66" i="28"/>
  <c r="F67" i="28"/>
  <c r="AG51" i="26"/>
  <c r="AH51" i="26" s="1"/>
  <c r="AH49" i="26"/>
  <c r="U71" i="8"/>
  <c r="F72" i="8"/>
  <c r="F46" i="29"/>
  <c r="T45" i="29"/>
  <c r="AH87" i="26"/>
  <c r="AG89" i="26"/>
  <c r="AH89" i="26" s="1"/>
  <c r="T76" i="17"/>
  <c r="H76" i="17"/>
  <c r="T46" i="17"/>
  <c r="F47" i="17"/>
  <c r="BM43" i="21"/>
  <c r="BB45" i="21"/>
  <c r="AM29" i="25"/>
  <c r="BC29" i="25"/>
  <c r="S44" i="11"/>
  <c r="U43" i="11"/>
  <c r="AH93" i="26"/>
  <c r="F44" i="25"/>
  <c r="T43" i="25"/>
  <c r="L95" i="12"/>
  <c r="T95" i="12" s="1"/>
  <c r="F96" i="12"/>
  <c r="F97" i="12" s="1"/>
  <c r="U155" i="11"/>
  <c r="S156" i="11"/>
  <c r="F70" i="29"/>
  <c r="T69" i="29"/>
  <c r="AS29" i="25"/>
  <c r="AP29" i="25"/>
  <c r="F45" i="21"/>
  <c r="AP73" i="25"/>
  <c r="AZ73" i="25"/>
  <c r="BK73" i="25" s="1"/>
  <c r="AT73" i="25"/>
  <c r="BE73" i="25" s="1"/>
  <c r="AK73" i="25"/>
  <c r="AQ29" i="25"/>
  <c r="AF29" i="25"/>
  <c r="BG43" i="21"/>
  <c r="AV45" i="21"/>
  <c r="AB36" i="20"/>
  <c r="V36" i="20"/>
  <c r="F54" i="12"/>
  <c r="A53" i="12"/>
  <c r="T53" i="12"/>
  <c r="F88" i="25"/>
  <c r="T87" i="25"/>
  <c r="AI51" i="26"/>
  <c r="AL51" i="26" s="1"/>
  <c r="AL49" i="26"/>
  <c r="AL87" i="26"/>
  <c r="AI89" i="26"/>
  <c r="AL89" i="26" s="1"/>
  <c r="AH43" i="21"/>
  <c r="AG45" i="21"/>
  <c r="BH43" i="21"/>
  <c r="AW45" i="21"/>
  <c r="BE43" i="21"/>
  <c r="AT45" i="21"/>
  <c r="AE29" i="25"/>
  <c r="BF43" i="21"/>
  <c r="AU45" i="21"/>
  <c r="AJ29" i="25"/>
  <c r="BK43" i="21"/>
  <c r="AZ45" i="21"/>
  <c r="F43" i="28"/>
  <c r="T42" i="28"/>
  <c r="AL73" i="25"/>
  <c r="F89" i="25" l="1"/>
  <c r="T88" i="25"/>
  <c r="V46" i="21"/>
  <c r="AB46" i="21"/>
  <c r="A97" i="12"/>
  <c r="F98" i="12"/>
  <c r="F44" i="28"/>
  <c r="T43" i="28"/>
  <c r="BF45" i="21"/>
  <c r="BF28" i="21" s="1"/>
  <c r="AU28" i="21"/>
  <c r="AU29" i="25" s="1"/>
  <c r="BF29" i="25" s="1"/>
  <c r="BG45" i="21"/>
  <c r="BG28" i="21" s="1"/>
  <c r="AV28" i="21"/>
  <c r="AV29" i="25" s="1"/>
  <c r="BG29" i="25" s="1"/>
  <c r="AE73" i="25"/>
  <c r="AS73" i="25"/>
  <c r="AI73" i="25"/>
  <c r="BD73" i="25" s="1"/>
  <c r="AW73" i="25"/>
  <c r="BH73" i="25" s="1"/>
  <c r="AY73" i="25"/>
  <c r="BJ73" i="25" s="1"/>
  <c r="AG73" i="25"/>
  <c r="BA73" i="25"/>
  <c r="BL73" i="25" s="1"/>
  <c r="AU73" i="25"/>
  <c r="BF73" i="25" s="1"/>
  <c r="AN73" i="25"/>
  <c r="AR73" i="25"/>
  <c r="AV73" i="25"/>
  <c r="BG73" i="25" s="1"/>
  <c r="AO73" i="25"/>
  <c r="AF73" i="25"/>
  <c r="AQ73" i="25"/>
  <c r="BB73" i="25"/>
  <c r="BM73" i="25" s="1"/>
  <c r="AJ73" i="25"/>
  <c r="AX73" i="25"/>
  <c r="BI73" i="25" s="1"/>
  <c r="AM73" i="25"/>
  <c r="BC73" i="25"/>
  <c r="T70" i="29"/>
  <c r="F71" i="29"/>
  <c r="U44" i="11"/>
  <c r="S45" i="11"/>
  <c r="BM45" i="21"/>
  <c r="BM28" i="21" s="1"/>
  <c r="BB28" i="21"/>
  <c r="BB29" i="25" s="1"/>
  <c r="BM29" i="25" s="1"/>
  <c r="T47" i="17"/>
  <c r="F48" i="17"/>
  <c r="F73" i="8"/>
  <c r="U72" i="8"/>
  <c r="T67" i="28"/>
  <c r="F68" i="28"/>
  <c r="BE45" i="21"/>
  <c r="BE28" i="21" s="1"/>
  <c r="AT28" i="21"/>
  <c r="AT29" i="25" s="1"/>
  <c r="BE29" i="25" s="1"/>
  <c r="AH45" i="21"/>
  <c r="AH28" i="21" s="1"/>
  <c r="AG28" i="21"/>
  <c r="AG29" i="25" s="1"/>
  <c r="T56" i="12"/>
  <c r="T55" i="12"/>
  <c r="BK45" i="21"/>
  <c r="BK28" i="21" s="1"/>
  <c r="AZ28" i="21"/>
  <c r="AZ29" i="25" s="1"/>
  <c r="BK29" i="25" s="1"/>
  <c r="BH45" i="21"/>
  <c r="BH28" i="21" s="1"/>
  <c r="AW28" i="21"/>
  <c r="AW29" i="25" s="1"/>
  <c r="BH29" i="25" s="1"/>
  <c r="F55" i="12"/>
  <c r="F56" i="12" s="1"/>
  <c r="L54" i="12"/>
  <c r="T54" i="12" s="1"/>
  <c r="U156" i="11"/>
  <c r="S157" i="11"/>
  <c r="F45" i="25"/>
  <c r="T44" i="25"/>
  <c r="AR29" i="25"/>
  <c r="AI28" i="21"/>
  <c r="AI29" i="25" s="1"/>
  <c r="BD29" i="25" s="1"/>
  <c r="BD45" i="21"/>
  <c r="BD28" i="21" s="1"/>
  <c r="BL45" i="21"/>
  <c r="BL28" i="21" s="1"/>
  <c r="BA28" i="21"/>
  <c r="BA29" i="25" s="1"/>
  <c r="BL29" i="25" s="1"/>
  <c r="U45" i="8"/>
  <c r="F46" i="8"/>
  <c r="AL29" i="25"/>
  <c r="AN29" i="25"/>
  <c r="AO29" i="25"/>
  <c r="T46" i="29"/>
  <c r="F47" i="29"/>
  <c r="BJ45" i="21"/>
  <c r="BJ28" i="21" s="1"/>
  <c r="AY28" i="21"/>
  <c r="AY29" i="25" s="1"/>
  <c r="BJ29" i="25" s="1"/>
  <c r="BI45" i="21"/>
  <c r="BI28" i="21" s="1"/>
  <c r="AX28" i="21"/>
  <c r="AX29" i="25" s="1"/>
  <c r="BI29" i="25" s="1"/>
  <c r="AK29" i="25"/>
  <c r="F49" i="17" l="1"/>
  <c r="T48" i="17"/>
  <c r="T49" i="17" s="1"/>
  <c r="T50" i="17" s="1"/>
  <c r="U45" i="11"/>
  <c r="S46" i="11"/>
  <c r="T44" i="28"/>
  <c r="F45" i="28"/>
  <c r="F47" i="8"/>
  <c r="U46" i="8"/>
  <c r="AH29" i="25"/>
  <c r="U73" i="8"/>
  <c r="F74" i="8"/>
  <c r="AH73" i="25"/>
  <c r="F99" i="12"/>
  <c r="T98" i="12"/>
  <c r="F46" i="25"/>
  <c r="T45" i="25"/>
  <c r="F57" i="12"/>
  <c r="A56" i="12"/>
  <c r="F69" i="28"/>
  <c r="T68" i="28"/>
  <c r="T71" i="29"/>
  <c r="F72" i="29"/>
  <c r="F90" i="25"/>
  <c r="T89" i="25"/>
  <c r="T47" i="29"/>
  <c r="F48" i="29"/>
  <c r="S158" i="11"/>
  <c r="U157" i="11"/>
  <c r="AB37" i="22"/>
  <c r="V37" i="22"/>
  <c r="S159" i="11" l="1"/>
  <c r="U158" i="11"/>
  <c r="T69" i="28"/>
  <c r="F70" i="28"/>
  <c r="AB75" i="23"/>
  <c r="V75" i="23"/>
  <c r="T57" i="12"/>
  <c r="F58" i="12"/>
  <c r="F47" i="25"/>
  <c r="T46" i="25"/>
  <c r="F75" i="8"/>
  <c r="U74" i="8"/>
  <c r="S47" i="11"/>
  <c r="U46" i="11"/>
  <c r="F48" i="8"/>
  <c r="U47" i="8"/>
  <c r="F91" i="25"/>
  <c r="T90" i="25"/>
  <c r="T99" i="12"/>
  <c r="F100" i="12"/>
  <c r="F46" i="28"/>
  <c r="T45" i="28"/>
  <c r="T48" i="29"/>
  <c r="F49" i="29"/>
  <c r="F73" i="29"/>
  <c r="T72" i="29"/>
  <c r="F50" i="17"/>
  <c r="F51" i="17" l="1"/>
  <c r="AI34" i="26"/>
  <c r="AL34" i="26" s="1"/>
  <c r="AJ34" i="26"/>
  <c r="AK72" i="26"/>
  <c r="AG34" i="26"/>
  <c r="F49" i="8"/>
  <c r="U48" i="8"/>
  <c r="U75" i="8"/>
  <c r="F76" i="8"/>
  <c r="F59" i="12"/>
  <c r="T58" i="12"/>
  <c r="F71" i="28"/>
  <c r="T70" i="28"/>
  <c r="T73" i="29"/>
  <c r="F74" i="29"/>
  <c r="F47" i="28"/>
  <c r="T46" i="28"/>
  <c r="F92" i="25"/>
  <c r="T91" i="25"/>
  <c r="S48" i="11"/>
  <c r="U47" i="11"/>
  <c r="F50" i="29"/>
  <c r="T49" i="29"/>
  <c r="F101" i="12"/>
  <c r="T100" i="12"/>
  <c r="F48" i="25"/>
  <c r="T47" i="25"/>
  <c r="AB71" i="25"/>
  <c r="V71" i="25"/>
  <c r="U159" i="11"/>
  <c r="S160" i="11"/>
  <c r="F102" i="12" l="1"/>
  <c r="T101" i="12"/>
  <c r="U48" i="11"/>
  <c r="S49" i="11"/>
  <c r="F48" i="28"/>
  <c r="T47" i="28"/>
  <c r="T71" i="28"/>
  <c r="F72" i="28"/>
  <c r="F75" i="29"/>
  <c r="T74" i="29"/>
  <c r="F49" i="25"/>
  <c r="T48" i="25"/>
  <c r="T50" i="29"/>
  <c r="F51" i="29"/>
  <c r="F93" i="25"/>
  <c r="T92" i="25"/>
  <c r="T59" i="12"/>
  <c r="F60" i="12"/>
  <c r="F50" i="8"/>
  <c r="U49" i="8"/>
  <c r="U160" i="11"/>
  <c r="S161" i="11"/>
  <c r="V65" i="26"/>
  <c r="AB65" i="26"/>
  <c r="U76" i="8"/>
  <c r="F77" i="8"/>
  <c r="T51" i="17"/>
  <c r="H51" i="17"/>
  <c r="AE72" i="26"/>
  <c r="AJ31" i="19"/>
  <c r="AJ28" i="19" s="1"/>
  <c r="AI31" i="19"/>
  <c r="AF55" i="19"/>
  <c r="AF52" i="19" s="1"/>
  <c r="AF31" i="19"/>
  <c r="AF28" i="19" s="1"/>
  <c r="AG31" i="19"/>
  <c r="AE31" i="19"/>
  <c r="AE28" i="19" s="1"/>
  <c r="AG55" i="19"/>
  <c r="AK34" i="26"/>
  <c r="AF72" i="26"/>
  <c r="AE34" i="26"/>
  <c r="AK55" i="19"/>
  <c r="AK52" i="19" s="1"/>
  <c r="AG72" i="26"/>
  <c r="AH72" i="26" s="1"/>
  <c r="AI72" i="26"/>
  <c r="AL72" i="26" s="1"/>
  <c r="AI55" i="19"/>
  <c r="AE55" i="19"/>
  <c r="AE52" i="19" s="1"/>
  <c r="AE72" i="25" s="1"/>
  <c r="AJ72" i="26"/>
  <c r="AF34" i="26"/>
  <c r="AH34" i="26" s="1"/>
  <c r="AJ55" i="19"/>
  <c r="AJ52" i="19" s="1"/>
  <c r="AK31" i="19"/>
  <c r="AK28" i="19" s="1"/>
  <c r="AG28" i="19" l="1"/>
  <c r="AH31" i="19"/>
  <c r="F51" i="8"/>
  <c r="U50" i="8"/>
  <c r="F94" i="25"/>
  <c r="T93" i="25"/>
  <c r="T94" i="25" s="1"/>
  <c r="T95" i="25" s="1"/>
  <c r="T96" i="25" s="1"/>
  <c r="T97" i="25" s="1"/>
  <c r="T98" i="25" s="1"/>
  <c r="T99" i="25" s="1"/>
  <c r="T72" i="28"/>
  <c r="F73" i="28"/>
  <c r="U49" i="11"/>
  <c r="S50" i="11"/>
  <c r="AF34" i="20"/>
  <c r="AF28" i="25"/>
  <c r="AF32" i="23"/>
  <c r="U77" i="8"/>
  <c r="F78" i="8"/>
  <c r="S162" i="11"/>
  <c r="U161" i="11"/>
  <c r="T60" i="12"/>
  <c r="F61" i="12"/>
  <c r="F52" i="29"/>
  <c r="T51" i="29"/>
  <c r="F50" i="25"/>
  <c r="T49" i="25"/>
  <c r="T50" i="25" s="1"/>
  <c r="T51" i="25" s="1"/>
  <c r="T52" i="25" s="1"/>
  <c r="T53" i="25" s="1"/>
  <c r="T54" i="25" s="1"/>
  <c r="T55" i="25" s="1"/>
  <c r="AG52" i="19"/>
  <c r="AH55" i="19"/>
  <c r="AG79" i="23"/>
  <c r="AF72" i="25"/>
  <c r="AF79" i="23"/>
  <c r="T104" i="12"/>
  <c r="T105" i="12" s="1"/>
  <c r="T106" i="12" s="1"/>
  <c r="T107" i="12" s="1"/>
  <c r="T103" i="12"/>
  <c r="AL55" i="19"/>
  <c r="AI52" i="19"/>
  <c r="AE34" i="20"/>
  <c r="AE28" i="25"/>
  <c r="AI28" i="19"/>
  <c r="AL31" i="19"/>
  <c r="AB41" i="27"/>
  <c r="V41" i="27"/>
  <c r="T75" i="29"/>
  <c r="F76" i="29"/>
  <c r="F49" i="28"/>
  <c r="T48" i="28"/>
  <c r="F103" i="12"/>
  <c r="F104" i="12" s="1"/>
  <c r="L102" i="12"/>
  <c r="T102" i="12" s="1"/>
  <c r="F105" i="12" l="1"/>
  <c r="A104" i="12"/>
  <c r="AL28" i="19"/>
  <c r="AI28" i="25"/>
  <c r="AI34" i="20"/>
  <c r="T73" i="28"/>
  <c r="F74" i="28"/>
  <c r="T74" i="28" s="1"/>
  <c r="T52" i="29"/>
  <c r="F53" i="29"/>
  <c r="T53" i="29" s="1"/>
  <c r="S163" i="11"/>
  <c r="U162" i="11"/>
  <c r="F50" i="28"/>
  <c r="T50" i="28" s="1"/>
  <c r="T49" i="28"/>
  <c r="AB51" i="28"/>
  <c r="V51" i="28"/>
  <c r="L61" i="12"/>
  <c r="T61" i="12" s="1"/>
  <c r="F62" i="12"/>
  <c r="F63" i="12" s="1"/>
  <c r="U78" i="8"/>
  <c r="F79" i="8"/>
  <c r="F52" i="8"/>
  <c r="U51" i="8"/>
  <c r="T76" i="29"/>
  <c r="F77" i="29"/>
  <c r="AL52" i="19"/>
  <c r="AI43" i="20"/>
  <c r="AI72" i="25"/>
  <c r="AH52" i="19"/>
  <c r="AG72" i="25"/>
  <c r="AT50" i="25"/>
  <c r="BE50" i="25" s="1"/>
  <c r="F51" i="25"/>
  <c r="AJ50" i="25"/>
  <c r="T62" i="12"/>
  <c r="T63" i="12"/>
  <c r="T64" i="12" s="1"/>
  <c r="T65" i="12" s="1"/>
  <c r="T66" i="12" s="1"/>
  <c r="S51" i="11"/>
  <c r="U50" i="11"/>
  <c r="F95" i="25"/>
  <c r="F96" i="25" s="1"/>
  <c r="F97" i="25" s="1"/>
  <c r="F98" i="25" s="1"/>
  <c r="F99" i="25" s="1"/>
  <c r="F100" i="25" s="1"/>
  <c r="AJ94" i="25"/>
  <c r="AT94" i="25"/>
  <c r="BE94" i="25" s="1"/>
  <c r="AH28" i="19"/>
  <c r="AH34" i="20" s="1"/>
  <c r="AG34" i="20"/>
  <c r="AG32" i="23"/>
  <c r="AG28" i="25"/>
  <c r="AH28" i="25" l="1"/>
  <c r="AH72" i="25"/>
  <c r="A63" i="12"/>
  <c r="F64" i="12"/>
  <c r="BD28" i="25"/>
  <c r="F53" i="8"/>
  <c r="U52" i="8"/>
  <c r="T100" i="25"/>
  <c r="F101" i="25"/>
  <c r="S52" i="11"/>
  <c r="U51" i="11"/>
  <c r="F52" i="25"/>
  <c r="F53" i="25" s="1"/>
  <c r="F54" i="25" s="1"/>
  <c r="F55" i="25" s="1"/>
  <c r="F56" i="25" s="1"/>
  <c r="T77" i="29"/>
  <c r="F78" i="29"/>
  <c r="U79" i="8"/>
  <c r="F80" i="8"/>
  <c r="BD72" i="25"/>
  <c r="V54" i="29"/>
  <c r="AB54" i="29"/>
  <c r="S164" i="11"/>
  <c r="U163" i="11"/>
  <c r="F106" i="12"/>
  <c r="A105" i="12"/>
  <c r="F81" i="8" l="1"/>
  <c r="U80" i="8"/>
  <c r="A106" i="12"/>
  <c r="F107" i="12"/>
  <c r="U164" i="11"/>
  <c r="S165" i="11"/>
  <c r="U52" i="11"/>
  <c r="S53" i="11"/>
  <c r="F54" i="8"/>
  <c r="U54" i="8" s="1"/>
  <c r="U53" i="8"/>
  <c r="A64" i="12"/>
  <c r="F65" i="12"/>
  <c r="F102" i="25"/>
  <c r="F103" i="25" s="1"/>
  <c r="F104" i="25" s="1"/>
  <c r="F105" i="25" s="1"/>
  <c r="T101" i="25"/>
  <c r="T102" i="25" s="1"/>
  <c r="T103" i="25" s="1"/>
  <c r="T104" i="25" s="1"/>
  <c r="T56" i="25"/>
  <c r="F57" i="25"/>
  <c r="AB74" i="30"/>
  <c r="V74" i="30"/>
  <c r="F79" i="29"/>
  <c r="T78" i="29"/>
  <c r="F58" i="25" l="1"/>
  <c r="F59" i="25" s="1"/>
  <c r="F60" i="25" s="1"/>
  <c r="F61" i="25" s="1"/>
  <c r="T57" i="25"/>
  <c r="T58" i="25" s="1"/>
  <c r="T59" i="25" s="1"/>
  <c r="T60" i="25" s="1"/>
  <c r="F66" i="12"/>
  <c r="A65" i="12"/>
  <c r="U53" i="11"/>
  <c r="S54" i="11"/>
  <c r="A107" i="12"/>
  <c r="F108" i="12"/>
  <c r="T79" i="29"/>
  <c r="F80" i="29"/>
  <c r="T80" i="29" s="1"/>
  <c r="T114" i="25"/>
  <c r="T107" i="25"/>
  <c r="T108" i="25" s="1"/>
  <c r="T109" i="25" s="1"/>
  <c r="T110" i="25" s="1"/>
  <c r="T111" i="25" s="1"/>
  <c r="T112" i="25" s="1"/>
  <c r="T113" i="25" s="1"/>
  <c r="U165" i="11"/>
  <c r="S166" i="11"/>
  <c r="V80" i="31"/>
  <c r="AB80" i="31"/>
  <c r="AZ105" i="25"/>
  <c r="BK105" i="25" s="1"/>
  <c r="AV105" i="25"/>
  <c r="BG105" i="25" s="1"/>
  <c r="AR105" i="25"/>
  <c r="AN105" i="25"/>
  <c r="AJ105" i="25"/>
  <c r="BA105" i="25"/>
  <c r="BL105" i="25" s="1"/>
  <c r="AU105" i="25"/>
  <c r="BF105" i="25" s="1"/>
  <c r="AP105" i="25"/>
  <c r="AK105" i="25"/>
  <c r="F106" i="25"/>
  <c r="F107" i="25" s="1"/>
  <c r="AY105" i="25"/>
  <c r="BJ105" i="25" s="1"/>
  <c r="AS105" i="25"/>
  <c r="AL105" i="25"/>
  <c r="AX105" i="25"/>
  <c r="BI105" i="25" s="1"/>
  <c r="AQ105" i="25"/>
  <c r="AI105" i="25"/>
  <c r="BD105" i="25" s="1"/>
  <c r="T105" i="25"/>
  <c r="T106" i="25" s="1"/>
  <c r="BC105" i="25"/>
  <c r="AW105" i="25"/>
  <c r="BH105" i="25" s="1"/>
  <c r="AO105" i="25"/>
  <c r="AT105" i="25"/>
  <c r="BE105" i="25" s="1"/>
  <c r="AM105" i="25"/>
  <c r="BB105" i="25"/>
  <c r="BM105" i="25" s="1"/>
  <c r="U81" i="8"/>
  <c r="AN29" i="20"/>
  <c r="AJ28" i="20"/>
  <c r="AS29" i="20"/>
  <c r="AZ37" i="20"/>
  <c r="BC37" i="20"/>
  <c r="BC28" i="20"/>
  <c r="AN37" i="20"/>
  <c r="BB28" i="20"/>
  <c r="AX37" i="20"/>
  <c r="BA37" i="20"/>
  <c r="AV37" i="20"/>
  <c r="AN30" i="20"/>
  <c r="BB37" i="20"/>
  <c r="AJ38" i="20"/>
  <c r="AY37" i="20"/>
  <c r="AK37" i="20"/>
  <c r="AZ28" i="20"/>
  <c r="AT28" i="20"/>
  <c r="AW37" i="20"/>
  <c r="AS28" i="20"/>
  <c r="AP37" i="20"/>
  <c r="AM29" i="20"/>
  <c r="AR37" i="20"/>
  <c r="AU37" i="20"/>
  <c r="AU28" i="20"/>
  <c r="AX28" i="20"/>
  <c r="AS30" i="20"/>
  <c r="BA28" i="20"/>
  <c r="AW28" i="20"/>
  <c r="AK29" i="20"/>
  <c r="AK30" i="20"/>
  <c r="AZ30" i="20"/>
  <c r="AO30" i="20"/>
  <c r="AM30" i="20"/>
  <c r="AJ37" i="20"/>
  <c r="AO28" i="20"/>
  <c r="AS37" i="20"/>
  <c r="AM37" i="20"/>
  <c r="AV28" i="20"/>
  <c r="AK28" i="20"/>
  <c r="AT37" i="20"/>
  <c r="AP29" i="20"/>
  <c r="AP30" i="20"/>
  <c r="AU39" i="20"/>
  <c r="AK38" i="20"/>
  <c r="AJ30" i="20"/>
  <c r="AK39" i="20"/>
  <c r="AO37" i="20"/>
  <c r="AL28" i="20"/>
  <c r="AY39" i="20"/>
  <c r="AN28" i="20"/>
  <c r="AO29" i="20"/>
  <c r="AO38" i="20"/>
  <c r="AT30" i="20"/>
  <c r="AM39" i="20"/>
  <c r="AW39" i="20"/>
  <c r="BC30" i="20"/>
  <c r="BC39" i="20"/>
  <c r="AP38" i="20"/>
  <c r="AO39" i="20"/>
  <c r="AX30" i="20"/>
  <c r="AU30" i="20"/>
  <c r="AJ29" i="20"/>
  <c r="AM28" i="20"/>
  <c r="BB39" i="20"/>
  <c r="BA30" i="20"/>
  <c r="BA39" i="20"/>
  <c r="AL38" i="20"/>
  <c r="AQ30" i="20"/>
  <c r="AL37" i="20"/>
  <c r="AL29" i="20"/>
  <c r="AV39" i="20"/>
  <c r="AP28" i="20"/>
  <c r="AR39" i="20"/>
  <c r="AN38" i="20"/>
  <c r="AQ28" i="20"/>
  <c r="AW30" i="20"/>
  <c r="AR29" i="20"/>
  <c r="AY28" i="20"/>
  <c r="AR38" i="20"/>
  <c r="AV30" i="20"/>
  <c r="AX39" i="20"/>
  <c r="AQ37" i="20"/>
  <c r="AN39" i="20"/>
  <c r="AQ29" i="20"/>
  <c r="AL39" i="20"/>
  <c r="AR28" i="20"/>
  <c r="AQ39" i="20"/>
  <c r="BB30" i="20"/>
  <c r="AS39" i="20"/>
  <c r="AP39" i="20"/>
  <c r="AQ38" i="20"/>
  <c r="AM38" i="20"/>
  <c r="AL30" i="20"/>
  <c r="AS38" i="20"/>
  <c r="AY30" i="20"/>
  <c r="AJ39" i="20"/>
  <c r="AR30" i="20"/>
  <c r="AQ33" i="20"/>
  <c r="AT39" i="20"/>
  <c r="AZ39" i="20"/>
  <c r="AT33" i="20"/>
  <c r="AV42" i="20"/>
  <c r="AS33" i="20"/>
  <c r="BA42" i="20"/>
  <c r="AO33" i="20"/>
  <c r="AW42" i="20"/>
  <c r="AM33" i="20"/>
  <c r="AN42" i="20"/>
  <c r="AO42" i="20"/>
  <c r="AZ42" i="20"/>
  <c r="AK33" i="20"/>
  <c r="AK42" i="20"/>
  <c r="AP33" i="20"/>
  <c r="AZ33" i="20"/>
  <c r="AM42" i="20"/>
  <c r="AY42" i="20"/>
  <c r="AX33" i="20"/>
  <c r="AV33" i="20"/>
  <c r="AT42" i="20"/>
  <c r="AR33" i="20"/>
  <c r="AS42" i="20"/>
  <c r="AQ42" i="20"/>
  <c r="BC33" i="20"/>
  <c r="BB33" i="20"/>
  <c r="AJ33" i="20"/>
  <c r="BA33" i="20"/>
  <c r="AN33" i="20"/>
  <c r="AU42" i="20"/>
  <c r="AY33" i="20"/>
  <c r="AP42" i="20"/>
  <c r="AU33" i="20"/>
  <c r="AX42" i="20"/>
  <c r="AL33" i="20"/>
  <c r="BC42" i="20"/>
  <c r="AL42" i="20"/>
  <c r="AW33" i="20"/>
  <c r="BB42" i="20"/>
  <c r="AR42" i="20"/>
  <c r="AJ42" i="20"/>
  <c r="AP35" i="20" l="1"/>
  <c r="AL35" i="20"/>
  <c r="AT44" i="20"/>
  <c r="AT43" i="20" s="1"/>
  <c r="AS44" i="20"/>
  <c r="AW35" i="20"/>
  <c r="AU35" i="20"/>
  <c r="AP44" i="20"/>
  <c r="AZ35" i="20"/>
  <c r="BB44" i="20"/>
  <c r="AX44" i="20"/>
  <c r="BC44" i="20"/>
  <c r="F108" i="25"/>
  <c r="F109" i="25" s="1"/>
  <c r="F110" i="25" s="1"/>
  <c r="F111" i="25" s="1"/>
  <c r="F112" i="25" s="1"/>
  <c r="F113" i="25" s="1"/>
  <c r="F114" i="25" s="1"/>
  <c r="AZ107" i="25"/>
  <c r="AZ110" i="25" s="1"/>
  <c r="AV107" i="25"/>
  <c r="AV110" i="25" s="1"/>
  <c r="AR107" i="25"/>
  <c r="AR110" i="25" s="1"/>
  <c r="AN107" i="25"/>
  <c r="AN110" i="25" s="1"/>
  <c r="AJ107" i="25"/>
  <c r="AJ110" i="25" s="1"/>
  <c r="BB107" i="25"/>
  <c r="BB110" i="25" s="1"/>
  <c r="AW107" i="25"/>
  <c r="AW110" i="25" s="1"/>
  <c r="AQ107" i="25"/>
  <c r="AQ110" i="25" s="1"/>
  <c r="AL107" i="25"/>
  <c r="AL110" i="25" s="1"/>
  <c r="BC107" i="25"/>
  <c r="BC110" i="25" s="1"/>
  <c r="AU107" i="25"/>
  <c r="AU110" i="25" s="1"/>
  <c r="AO107" i="25"/>
  <c r="AO110" i="25" s="1"/>
  <c r="AE107" i="25"/>
  <c r="AE110" i="25" s="1"/>
  <c r="BA107" i="25"/>
  <c r="BA110" i="25" s="1"/>
  <c r="AT107" i="25"/>
  <c r="AT110" i="25" s="1"/>
  <c r="AM107" i="25"/>
  <c r="AM110" i="25" s="1"/>
  <c r="AY107" i="25"/>
  <c r="AY110" i="25" s="1"/>
  <c r="AS107" i="25"/>
  <c r="AS110" i="25" s="1"/>
  <c r="AK107" i="25"/>
  <c r="AK110" i="25" s="1"/>
  <c r="AX107" i="25"/>
  <c r="AX110" i="25" s="1"/>
  <c r="AP107" i="25"/>
  <c r="AP110" i="25" s="1"/>
  <c r="AI107" i="25"/>
  <c r="AI110" i="25" s="1"/>
  <c r="T108" i="12"/>
  <c r="AF41" i="22"/>
  <c r="AF96" i="23" s="1"/>
  <c r="AG42" i="22"/>
  <c r="AQ35" i="20"/>
  <c r="AM35" i="20"/>
  <c r="AO44" i="20"/>
  <c r="AK35" i="20"/>
  <c r="AO35" i="20"/>
  <c r="BA35" i="20"/>
  <c r="AU44" i="20"/>
  <c r="AS35" i="20"/>
  <c r="AK44" i="20"/>
  <c r="BB35" i="20"/>
  <c r="AZ44" i="20"/>
  <c r="F67" i="12"/>
  <c r="T67" i="12" s="1"/>
  <c r="A66" i="12"/>
  <c r="AR35" i="20"/>
  <c r="AQ44" i="20"/>
  <c r="AY35" i="20"/>
  <c r="AN35" i="20"/>
  <c r="AV35" i="20"/>
  <c r="AJ44" i="20"/>
  <c r="AR44" i="20"/>
  <c r="AW44" i="20"/>
  <c r="AY44" i="20"/>
  <c r="AV44" i="20"/>
  <c r="AN44" i="20"/>
  <c r="S167" i="11"/>
  <c r="U166" i="11"/>
  <c r="S55" i="11"/>
  <c r="U54" i="11"/>
  <c r="T70" i="25"/>
  <c r="T63" i="25"/>
  <c r="T64" i="25" s="1"/>
  <c r="T65" i="25" s="1"/>
  <c r="T66" i="25" s="1"/>
  <c r="T67" i="25" s="1"/>
  <c r="T68" i="25" s="1"/>
  <c r="T69" i="25" s="1"/>
  <c r="AL44" i="20"/>
  <c r="AM44" i="20"/>
  <c r="AX35" i="20"/>
  <c r="AT35" i="20"/>
  <c r="AT34" i="20" s="1"/>
  <c r="BA44" i="20"/>
  <c r="BC35" i="20"/>
  <c r="AJ35" i="20"/>
  <c r="AJ34" i="20" s="1"/>
  <c r="BA61" i="25"/>
  <c r="BL61" i="25" s="1"/>
  <c r="AW61" i="25"/>
  <c r="BH61" i="25" s="1"/>
  <c r="AS61" i="25"/>
  <c r="AO61" i="25"/>
  <c r="AK61" i="25"/>
  <c r="BB61" i="25"/>
  <c r="BM61" i="25" s="1"/>
  <c r="AV61" i="25"/>
  <c r="BG61" i="25" s="1"/>
  <c r="AQ61" i="25"/>
  <c r="AL61" i="25"/>
  <c r="T61" i="25"/>
  <c r="T62" i="25" s="1"/>
  <c r="AZ61" i="25"/>
  <c r="BK61" i="25" s="1"/>
  <c r="AU61" i="25"/>
  <c r="BF61" i="25" s="1"/>
  <c r="AP61" i="25"/>
  <c r="AJ61" i="25"/>
  <c r="AT61" i="25"/>
  <c r="BE61" i="25" s="1"/>
  <c r="AI61" i="25"/>
  <c r="BD61" i="25" s="1"/>
  <c r="F62" i="25"/>
  <c r="F63" i="25" s="1"/>
  <c r="BC61" i="25"/>
  <c r="AR61" i="25"/>
  <c r="AY61" i="25"/>
  <c r="BJ61" i="25" s="1"/>
  <c r="AN61" i="25"/>
  <c r="AX61" i="25"/>
  <c r="BI61" i="25" s="1"/>
  <c r="AM61" i="25"/>
  <c r="AG46" i="22" l="1"/>
  <c r="AU40" i="22"/>
  <c r="S56" i="11"/>
  <c r="U55" i="11"/>
  <c r="AF42" i="22"/>
  <c r="AF46" i="22" s="1"/>
  <c r="AF105" i="25" s="1"/>
  <c r="AF40" i="22"/>
  <c r="AS31" i="22"/>
  <c r="AM41" i="22"/>
  <c r="AQ40" i="22"/>
  <c r="AL40" i="22"/>
  <c r="AV41" i="22"/>
  <c r="BG41" i="22" s="1"/>
  <c r="AM31" i="22"/>
  <c r="AK41" i="22"/>
  <c r="AN31" i="22"/>
  <c r="AT41" i="22"/>
  <c r="BE41" i="22" s="1"/>
  <c r="AT40" i="22"/>
  <c r="AL31" i="22"/>
  <c r="AP41" i="22"/>
  <c r="AU30" i="22"/>
  <c r="AS41" i="22"/>
  <c r="AP31" i="22"/>
  <c r="AE30" i="22"/>
  <c r="AG30" i="22"/>
  <c r="AN30" i="22"/>
  <c r="AN35" i="22" s="1"/>
  <c r="AN28" i="22" s="1"/>
  <c r="AS40" i="22"/>
  <c r="AS45" i="22" s="1"/>
  <c r="AG41" i="22"/>
  <c r="AT30" i="22"/>
  <c r="BB31" i="22"/>
  <c r="BM31" i="22" s="1"/>
  <c r="AJ32" i="26"/>
  <c r="AJ28" i="26" s="1"/>
  <c r="AJ57" i="26" s="1"/>
  <c r="AO30" i="22"/>
  <c r="BC40" i="22"/>
  <c r="AR30" i="22"/>
  <c r="AV30" i="22"/>
  <c r="AK31" i="22"/>
  <c r="AJ43" i="20"/>
  <c r="AK43" i="20" s="1"/>
  <c r="BE34" i="20"/>
  <c r="AU34" i="20"/>
  <c r="AT28" i="25"/>
  <c r="AG40" i="22"/>
  <c r="AN40" i="22"/>
  <c r="AJ41" i="22"/>
  <c r="AT31" i="22"/>
  <c r="BE31" i="22" s="1"/>
  <c r="BC41" i="22"/>
  <c r="AX31" i="22"/>
  <c r="BI31" i="22" s="1"/>
  <c r="AX40" i="22"/>
  <c r="AF31" i="22"/>
  <c r="AF49" i="23" s="1"/>
  <c r="AL41" i="22"/>
  <c r="AE31" i="22"/>
  <c r="AI41" i="22"/>
  <c r="BD41" i="22" s="1"/>
  <c r="AK30" i="22"/>
  <c r="AK35" i="22" s="1"/>
  <c r="AK28" i="22" s="1"/>
  <c r="AR40" i="22"/>
  <c r="AI30" i="22"/>
  <c r="AE32" i="22"/>
  <c r="AE36" i="22" s="1"/>
  <c r="AE61" i="25" s="1"/>
  <c r="AI31" i="22"/>
  <c r="BD31" i="22" s="1"/>
  <c r="AW30" i="22"/>
  <c r="AW31" i="22"/>
  <c r="BH31" i="22" s="1"/>
  <c r="AE32" i="26"/>
  <c r="AE28" i="26" s="1"/>
  <c r="AE57" i="26" s="1"/>
  <c r="AK40" i="22"/>
  <c r="AK45" i="22" s="1"/>
  <c r="AP30" i="22"/>
  <c r="AP35" i="22" s="1"/>
  <c r="AR41" i="22"/>
  <c r="AJ31" i="22"/>
  <c r="AF32" i="26"/>
  <c r="AF28" i="26" s="1"/>
  <c r="AF57" i="26" s="1"/>
  <c r="BA30" i="22"/>
  <c r="BC30" i="22"/>
  <c r="BC31" i="22"/>
  <c r="AG70" i="26"/>
  <c r="BE43" i="20"/>
  <c r="AU43" i="20"/>
  <c r="AT72" i="25"/>
  <c r="BA63" i="25"/>
  <c r="BA66" i="25" s="1"/>
  <c r="AW63" i="25"/>
  <c r="AW66" i="25" s="1"/>
  <c r="AS63" i="25"/>
  <c r="AS66" i="25" s="1"/>
  <c r="AO63" i="25"/>
  <c r="AO66" i="25" s="1"/>
  <c r="AK63" i="25"/>
  <c r="AK66" i="25" s="1"/>
  <c r="F64" i="25"/>
  <c r="F65" i="25" s="1"/>
  <c r="F66" i="25" s="1"/>
  <c r="F67" i="25" s="1"/>
  <c r="F68" i="25" s="1"/>
  <c r="F69" i="25" s="1"/>
  <c r="F70" i="25" s="1"/>
  <c r="AY63" i="25"/>
  <c r="AY66" i="25" s="1"/>
  <c r="AT63" i="25"/>
  <c r="AT66" i="25" s="1"/>
  <c r="AN63" i="25"/>
  <c r="AN66" i="25" s="1"/>
  <c r="AI63" i="25"/>
  <c r="AI66" i="25" s="1"/>
  <c r="BC63" i="25"/>
  <c r="BC66" i="25" s="1"/>
  <c r="AX63" i="25"/>
  <c r="AX66" i="25" s="1"/>
  <c r="AR63" i="25"/>
  <c r="AR66" i="25" s="1"/>
  <c r="AM63" i="25"/>
  <c r="AM66" i="25" s="1"/>
  <c r="AE63" i="25"/>
  <c r="AE66" i="25" s="1"/>
  <c r="AU63" i="25"/>
  <c r="AU66" i="25" s="1"/>
  <c r="AJ63" i="25"/>
  <c r="AJ66" i="25" s="1"/>
  <c r="BB63" i="25"/>
  <c r="BB66" i="25" s="1"/>
  <c r="AQ63" i="25"/>
  <c r="AQ66" i="25" s="1"/>
  <c r="AZ63" i="25"/>
  <c r="AZ66" i="25" s="1"/>
  <c r="AP63" i="25"/>
  <c r="AP66" i="25" s="1"/>
  <c r="AV63" i="25"/>
  <c r="AV66" i="25" s="1"/>
  <c r="AL63" i="25"/>
  <c r="AL66" i="25" s="1"/>
  <c r="AK34" i="20"/>
  <c r="AJ28" i="25"/>
  <c r="S168" i="11"/>
  <c r="U167" i="11"/>
  <c r="BA41" i="22"/>
  <c r="BL41" i="22" s="1"/>
  <c r="AV40" i="22"/>
  <c r="BB40" i="22"/>
  <c r="AX41" i="22"/>
  <c r="BI41" i="22" s="1"/>
  <c r="AE40" i="22"/>
  <c r="AE42" i="22"/>
  <c r="AE46" i="22" s="1"/>
  <c r="AZ41" i="22"/>
  <c r="BK41" i="22" s="1"/>
  <c r="BA31" i="22"/>
  <c r="BL31" i="22" s="1"/>
  <c r="AJ40" i="22"/>
  <c r="AJ45" i="22" s="1"/>
  <c r="AZ40" i="22"/>
  <c r="AN41" i="22"/>
  <c r="AO40" i="22"/>
  <c r="AW41" i="22"/>
  <c r="BH41" i="22" s="1"/>
  <c r="AQ30" i="22"/>
  <c r="AQ35" i="22" s="1"/>
  <c r="AI40" i="22"/>
  <c r="AG32" i="22"/>
  <c r="AL30" i="22"/>
  <c r="AL35" i="22" s="1"/>
  <c r="AY40" i="22"/>
  <c r="AX30" i="22"/>
  <c r="AW40" i="22"/>
  <c r="AQ31" i="22"/>
  <c r="AE70" i="26"/>
  <c r="AE66" i="26" s="1"/>
  <c r="AE95" i="26" s="1"/>
  <c r="AO31" i="22"/>
  <c r="AY30" i="22"/>
  <c r="AK32" i="26"/>
  <c r="AK28" i="26" s="1"/>
  <c r="AK57" i="26" s="1"/>
  <c r="AM30" i="22"/>
  <c r="AM35" i="22" s="1"/>
  <c r="AM28" i="22" s="1"/>
  <c r="AI32" i="26"/>
  <c r="AJ70" i="26"/>
  <c r="AJ66" i="26" s="1"/>
  <c r="AJ95" i="26" s="1"/>
  <c r="BA40" i="22"/>
  <c r="AO41" i="22"/>
  <c r="AQ41" i="22"/>
  <c r="AY41" i="22"/>
  <c r="BJ41" i="22" s="1"/>
  <c r="BB41" i="22"/>
  <c r="BM41" i="22" s="1"/>
  <c r="AZ31" i="22"/>
  <c r="BK31" i="22" s="1"/>
  <c r="AM40" i="22"/>
  <c r="AM45" i="22" s="1"/>
  <c r="AU41" i="22"/>
  <c r="BF41" i="22" s="1"/>
  <c r="AR31" i="22"/>
  <c r="AG31" i="22"/>
  <c r="AG32" i="26"/>
  <c r="AF70" i="26"/>
  <c r="AF66" i="26" s="1"/>
  <c r="AF95" i="26" s="1"/>
  <c r="AF32" i="22"/>
  <c r="AF36" i="22" s="1"/>
  <c r="AF61" i="25" s="1"/>
  <c r="AS30" i="22"/>
  <c r="AS35" i="22" s="1"/>
  <c r="AP40" i="22"/>
  <c r="AP45" i="22" s="1"/>
  <c r="AF30" i="22"/>
  <c r="AE41" i="22"/>
  <c r="AU31" i="22"/>
  <c r="BF31" i="22" s="1"/>
  <c r="AK70" i="26"/>
  <c r="AK66" i="26" s="1"/>
  <c r="AK95" i="26" s="1"/>
  <c r="AZ30" i="22"/>
  <c r="AJ30" i="22"/>
  <c r="AJ35" i="22" s="1"/>
  <c r="AY31" i="22"/>
  <c r="BJ31" i="22" s="1"/>
  <c r="AV31" i="22"/>
  <c r="BG31" i="22" s="1"/>
  <c r="BB30" i="22"/>
  <c r="AI70" i="26"/>
  <c r="AL70" i="26" l="1"/>
  <c r="AI66" i="26"/>
  <c r="AJ28" i="22"/>
  <c r="AJ30" i="25"/>
  <c r="BL40" i="22"/>
  <c r="BA45" i="22"/>
  <c r="AL32" i="26"/>
  <c r="AI28" i="26"/>
  <c r="BI30" i="22"/>
  <c r="AX35" i="22"/>
  <c r="BD40" i="22"/>
  <c r="AI45" i="22"/>
  <c r="BM40" i="22"/>
  <c r="BB45" i="22"/>
  <c r="BE72" i="25"/>
  <c r="BL30" i="22"/>
  <c r="BA35" i="22"/>
  <c r="AP28" i="22"/>
  <c r="AP30" i="25"/>
  <c r="BH30" i="22"/>
  <c r="AW35" i="22"/>
  <c r="AR45" i="22"/>
  <c r="AH40" i="22"/>
  <c r="AG45" i="22"/>
  <c r="AL43" i="20"/>
  <c r="AK72" i="25"/>
  <c r="AG59" i="23"/>
  <c r="AF110" i="23"/>
  <c r="AF62" i="23"/>
  <c r="AF60" i="23"/>
  <c r="AS38" i="30"/>
  <c r="AU38" i="30" s="1"/>
  <c r="AQ38" i="30"/>
  <c r="AM38" i="30"/>
  <c r="AO38" i="30" s="1"/>
  <c r="BF37" i="30"/>
  <c r="AP37" i="30"/>
  <c r="BC37" i="30"/>
  <c r="AW38" i="30"/>
  <c r="AJ38" i="30"/>
  <c r="AL38" i="30" s="1"/>
  <c r="BE37" i="30"/>
  <c r="AK37" i="30"/>
  <c r="AM83" i="30"/>
  <c r="AQ84" i="30"/>
  <c r="AD83" i="30"/>
  <c r="AH84" i="30"/>
  <c r="AJ84" i="30"/>
  <c r="AL84" i="30" s="1"/>
  <c r="AS83" i="30"/>
  <c r="BE83" i="30"/>
  <c r="AD84" i="30"/>
  <c r="AT84" i="30"/>
  <c r="AE38" i="30"/>
  <c r="AV84" i="30"/>
  <c r="AX84" i="30" s="1"/>
  <c r="AP84" i="30"/>
  <c r="AR84" i="30" s="1"/>
  <c r="AP83" i="30"/>
  <c r="BC83" i="30"/>
  <c r="AN83" i="30"/>
  <c r="AG84" i="30"/>
  <c r="AI84" i="30" s="1"/>
  <c r="BG30" i="22"/>
  <c r="AV35" i="22"/>
  <c r="AJ60" i="26"/>
  <c r="AJ63" i="26" s="1"/>
  <c r="AJ58" i="26"/>
  <c r="AJ61" i="26" s="1"/>
  <c r="AS38" i="22"/>
  <c r="AS74" i="25"/>
  <c r="AQ45" i="22"/>
  <c r="AF39" i="23"/>
  <c r="AF38" i="23" s="1"/>
  <c r="AF33" i="23" s="1"/>
  <c r="AF35" i="22"/>
  <c r="AF96" i="26"/>
  <c r="AF99" i="26" s="1"/>
  <c r="AF98" i="26"/>
  <c r="AF101" i="26" s="1"/>
  <c r="AE98" i="26"/>
  <c r="AE101" i="26" s="1"/>
  <c r="AE96" i="26"/>
  <c r="AE99" i="26" s="1"/>
  <c r="BJ40" i="22"/>
  <c r="AY45" i="22"/>
  <c r="AQ28" i="22"/>
  <c r="AQ30" i="25"/>
  <c r="BK40" i="22"/>
  <c r="AZ45" i="22"/>
  <c r="AE105" i="25"/>
  <c r="BG40" i="22"/>
  <c r="AV45" i="22"/>
  <c r="S169" i="11"/>
  <c r="U168" i="11"/>
  <c r="BF43" i="20"/>
  <c r="AV43" i="20"/>
  <c r="AH70" i="26"/>
  <c r="AG66" i="26"/>
  <c r="AF60" i="26"/>
  <c r="AF63" i="26" s="1"/>
  <c r="AF58" i="26"/>
  <c r="AF61" i="26" s="1"/>
  <c r="AK38" i="22"/>
  <c r="AK30" i="25"/>
  <c r="AK74" i="25"/>
  <c r="BE28" i="25"/>
  <c r="AJ72" i="25"/>
  <c r="AF59" i="23"/>
  <c r="AG110" i="23"/>
  <c r="AF109" i="23"/>
  <c r="AG60" i="23"/>
  <c r="BF38" i="30"/>
  <c r="AP38" i="30"/>
  <c r="AR38" i="30" s="1"/>
  <c r="AY38" i="30"/>
  <c r="BA38" i="30" s="1"/>
  <c r="AZ38" i="30"/>
  <c r="BB37" i="30"/>
  <c r="AM37" i="30"/>
  <c r="AQ37" i="30"/>
  <c r="AQ36" i="30" s="1"/>
  <c r="AT37" i="30"/>
  <c r="AJ37" i="30"/>
  <c r="AV38" i="30"/>
  <c r="AX38" i="30" s="1"/>
  <c r="AZ84" i="30"/>
  <c r="AV37" i="30"/>
  <c r="AM84" i="30"/>
  <c r="AO84" i="30" s="1"/>
  <c r="BB83" i="30"/>
  <c r="AK83" i="30"/>
  <c r="AW83" i="30"/>
  <c r="BF83" i="30"/>
  <c r="BB84" i="30"/>
  <c r="BD84" i="30" s="1"/>
  <c r="AE83" i="30"/>
  <c r="AN84" i="30"/>
  <c r="AR35" i="22"/>
  <c r="BE40" i="22"/>
  <c r="AT45" i="22"/>
  <c r="BF40" i="22"/>
  <c r="AU45" i="22"/>
  <c r="BK30" i="22"/>
  <c r="AZ35" i="22"/>
  <c r="AK96" i="26"/>
  <c r="AK99" i="26" s="1"/>
  <c r="AK98" i="26"/>
  <c r="AK101" i="26" s="1"/>
  <c r="AP38" i="22"/>
  <c r="AP74" i="25"/>
  <c r="AH32" i="26"/>
  <c r="AG28" i="26"/>
  <c r="AM38" i="22"/>
  <c r="AM30" i="25"/>
  <c r="AM74" i="25"/>
  <c r="AK58" i="26"/>
  <c r="AK61" i="26" s="1"/>
  <c r="AK60" i="26"/>
  <c r="AK63" i="26" s="1"/>
  <c r="AL28" i="22"/>
  <c r="AL30" i="25"/>
  <c r="AJ38" i="22"/>
  <c r="AJ74" i="25"/>
  <c r="AE45" i="22"/>
  <c r="AE38" i="22" s="1"/>
  <c r="AJ58" i="25"/>
  <c r="AJ60" i="25" s="1"/>
  <c r="AE60" i="26"/>
  <c r="AE63" i="26" s="1"/>
  <c r="AE58" i="26"/>
  <c r="AE61" i="26" s="1"/>
  <c r="BI40" i="22"/>
  <c r="AX45" i="22"/>
  <c r="AV34" i="20"/>
  <c r="BF34" i="20"/>
  <c r="AU28" i="25"/>
  <c r="AG63" i="23"/>
  <c r="AG62" i="23"/>
  <c r="AG109" i="23"/>
  <c r="AG106" i="23"/>
  <c r="BE38" i="30"/>
  <c r="BG38" i="30" s="1"/>
  <c r="AT38" i="30"/>
  <c r="BB38" i="30"/>
  <c r="BD38" i="30" s="1"/>
  <c r="BF84" i="30"/>
  <c r="AS37" i="30"/>
  <c r="AZ37" i="30"/>
  <c r="AZ36" i="30" s="1"/>
  <c r="AY37" i="30"/>
  <c r="AN38" i="30"/>
  <c r="AJ83" i="30"/>
  <c r="AW37" i="30"/>
  <c r="AW36" i="30" s="1"/>
  <c r="AQ83" i="30"/>
  <c r="AQ82" i="30" s="1"/>
  <c r="AG37" i="30"/>
  <c r="BE84" i="30"/>
  <c r="BG84" i="30" s="1"/>
  <c r="AG83" i="30"/>
  <c r="AV83" i="30"/>
  <c r="BC45" i="22"/>
  <c r="BE30" i="22"/>
  <c r="AT35" i="22"/>
  <c r="AH30" i="22"/>
  <c r="AG39" i="23"/>
  <c r="AG38" i="23" s="1"/>
  <c r="AG33" i="23" s="1"/>
  <c r="AG30" i="23" s="1"/>
  <c r="AG29" i="23" s="1"/>
  <c r="AO72" i="23" s="1"/>
  <c r="AO74" i="23" s="1"/>
  <c r="AG35" i="22"/>
  <c r="BF30" i="22"/>
  <c r="AU35" i="22"/>
  <c r="AU72" i="25"/>
  <c r="AH46" i="22"/>
  <c r="AG30" i="25"/>
  <c r="AG86" i="23"/>
  <c r="AG105" i="25"/>
  <c r="AH105" i="25" s="1"/>
  <c r="BM30" i="22"/>
  <c r="BB35" i="22"/>
  <c r="AS28" i="22"/>
  <c r="AS30" i="25"/>
  <c r="AH31" i="22"/>
  <c r="AG49" i="23"/>
  <c r="AJ96" i="26"/>
  <c r="AJ99" i="26" s="1"/>
  <c r="AJ98" i="26"/>
  <c r="AJ101" i="26" s="1"/>
  <c r="BJ30" i="22"/>
  <c r="AY35" i="22"/>
  <c r="BH40" i="22"/>
  <c r="AW45" i="22"/>
  <c r="AH32" i="22"/>
  <c r="AG36" i="22"/>
  <c r="AO45" i="22"/>
  <c r="AL34" i="20"/>
  <c r="AK28" i="25"/>
  <c r="AK58" i="25" s="1"/>
  <c r="AK60" i="25" s="1"/>
  <c r="BC35" i="22"/>
  <c r="BC28" i="22" s="1"/>
  <c r="BD30" i="22"/>
  <c r="AI35" i="22"/>
  <c r="AN45" i="22"/>
  <c r="AF63" i="23"/>
  <c r="AF107" i="23"/>
  <c r="AG107" i="23"/>
  <c r="AF106" i="23"/>
  <c r="AK38" i="30"/>
  <c r="AD38" i="30"/>
  <c r="AF38" i="30" s="1"/>
  <c r="AH37" i="30"/>
  <c r="AH36" i="30" s="1"/>
  <c r="AH38" i="30"/>
  <c r="AG38" i="30"/>
  <c r="AI38" i="30" s="1"/>
  <c r="AD37" i="30"/>
  <c r="AE37" i="30"/>
  <c r="AE36" i="30" s="1"/>
  <c r="BC38" i="30"/>
  <c r="AY84" i="30"/>
  <c r="BA84" i="30" s="1"/>
  <c r="BC84" i="30"/>
  <c r="AY83" i="30"/>
  <c r="AZ83" i="30"/>
  <c r="AZ82" i="30" s="1"/>
  <c r="AT83" i="30"/>
  <c r="AT82" i="30" s="1"/>
  <c r="AK84" i="30"/>
  <c r="AS84" i="30"/>
  <c r="AU84" i="30" s="1"/>
  <c r="AN37" i="30"/>
  <c r="AN36" i="30" s="1"/>
  <c r="AH83" i="30"/>
  <c r="AH82" i="30" s="1"/>
  <c r="AW84" i="30"/>
  <c r="AE84" i="30"/>
  <c r="AO35" i="22"/>
  <c r="AH41" i="22"/>
  <c r="AG96" i="23"/>
  <c r="AE35" i="22"/>
  <c r="AL45" i="22"/>
  <c r="AF45" i="22"/>
  <c r="AF86" i="23"/>
  <c r="AF85" i="23" s="1"/>
  <c r="AF80" i="23" s="1"/>
  <c r="AF77" i="23" s="1"/>
  <c r="AF76" i="23" s="1"/>
  <c r="AI119" i="23" s="1"/>
  <c r="AI121" i="23" s="1"/>
  <c r="S57" i="11"/>
  <c r="U56" i="11"/>
  <c r="AH42" i="22"/>
  <c r="AY82" i="30" l="1"/>
  <c r="BA82" i="30" s="1"/>
  <c r="BA83" i="30"/>
  <c r="AD36" i="30"/>
  <c r="AF36" i="30" s="1"/>
  <c r="AF37" i="30"/>
  <c r="BD35" i="22"/>
  <c r="BD28" i="22" s="1"/>
  <c r="AI28" i="22"/>
  <c r="AM34" i="20"/>
  <c r="AL28" i="25"/>
  <c r="AL58" i="25" s="1"/>
  <c r="AL60" i="25" s="1"/>
  <c r="AW38" i="22"/>
  <c r="BH45" i="22"/>
  <c r="BH38" i="22" s="1"/>
  <c r="AW74" i="25"/>
  <c r="BH74" i="25" s="1"/>
  <c r="BF72" i="25"/>
  <c r="BC38" i="22"/>
  <c r="BC30" i="25"/>
  <c r="BC74" i="25"/>
  <c r="AI83" i="30"/>
  <c r="AG82" i="30"/>
  <c r="AI82" i="30" s="1"/>
  <c r="BI45" i="22"/>
  <c r="BI38" i="22" s="1"/>
  <c r="AX38" i="22"/>
  <c r="AX30" i="25"/>
  <c r="BI30" i="25" s="1"/>
  <c r="AX74" i="25"/>
  <c r="BI74" i="25" s="1"/>
  <c r="AJ62" i="25"/>
  <c r="AJ67" i="25"/>
  <c r="AJ69" i="25"/>
  <c r="AJ65" i="25" s="1"/>
  <c r="AD33" i="30" s="1"/>
  <c r="AE82" i="30"/>
  <c r="AW82" i="30"/>
  <c r="BD83" i="30"/>
  <c r="BB82" i="30"/>
  <c r="BD82" i="30" s="1"/>
  <c r="AJ102" i="25"/>
  <c r="AJ104" i="25" s="1"/>
  <c r="AH66" i="26"/>
  <c r="AG95" i="26"/>
  <c r="AF28" i="22"/>
  <c r="AF30" i="25"/>
  <c r="AF58" i="25" s="1"/>
  <c r="AF60" i="25" s="1"/>
  <c r="AF62" i="25" s="1"/>
  <c r="AO83" i="30"/>
  <c r="AM82" i="30"/>
  <c r="AO82" i="30" s="1"/>
  <c r="AR37" i="30"/>
  <c r="AP36" i="30"/>
  <c r="AR36" i="30" s="1"/>
  <c r="BD45" i="22"/>
  <c r="BD38" i="22" s="1"/>
  <c r="AI38" i="22"/>
  <c r="AI30" i="25"/>
  <c r="AI74" i="25"/>
  <c r="AI57" i="26"/>
  <c r="AL28" i="26"/>
  <c r="AO38" i="22"/>
  <c r="AO74" i="25"/>
  <c r="AG85" i="23"/>
  <c r="AG80" i="23" s="1"/>
  <c r="AG77" i="23" s="1"/>
  <c r="AG76" i="23" s="1"/>
  <c r="AO119" i="23" s="1"/>
  <c r="AO121" i="23" s="1"/>
  <c r="BF35" i="22"/>
  <c r="BF28" i="22" s="1"/>
  <c r="AU28" i="22"/>
  <c r="AU30" i="25"/>
  <c r="BF30" i="25" s="1"/>
  <c r="AL83" i="30"/>
  <c r="AJ82" i="30"/>
  <c r="AL82" i="30" s="1"/>
  <c r="BF28" i="25"/>
  <c r="BK35" i="22"/>
  <c r="BK28" i="22" s="1"/>
  <c r="AZ28" i="22"/>
  <c r="AZ30" i="25"/>
  <c r="BK30" i="25" s="1"/>
  <c r="BE45" i="22"/>
  <c r="BE38" i="22" s="1"/>
  <c r="AT38" i="22"/>
  <c r="AT30" i="25"/>
  <c r="AT74" i="25"/>
  <c r="BF82" i="30"/>
  <c r="AK82" i="30"/>
  <c r="AV36" i="30"/>
  <c r="AX36" i="30" s="1"/>
  <c r="AX37" i="30"/>
  <c r="S170" i="11"/>
  <c r="U169" i="11"/>
  <c r="AE74" i="25"/>
  <c r="AE102" i="25" s="1"/>
  <c r="AE104" i="25" s="1"/>
  <c r="AF30" i="23"/>
  <c r="AF29" i="23" s="1"/>
  <c r="AI72" i="23" s="1"/>
  <c r="AI74" i="23" s="1"/>
  <c r="AN82" i="30"/>
  <c r="AF84" i="30"/>
  <c r="BF36" i="30"/>
  <c r="AK102" i="25"/>
  <c r="AK104" i="25" s="1"/>
  <c r="AR38" i="22"/>
  <c r="AR74" i="25"/>
  <c r="AH36" i="22"/>
  <c r="AG61" i="25"/>
  <c r="AH61" i="25" s="1"/>
  <c r="BJ35" i="22"/>
  <c r="BJ28" i="22" s="1"/>
  <c r="AY28" i="22"/>
  <c r="AY30" i="25"/>
  <c r="BJ30" i="25" s="1"/>
  <c r="BM35" i="22"/>
  <c r="BM28" i="22" s="1"/>
  <c r="BB28" i="22"/>
  <c r="BB30" i="25"/>
  <c r="BM30" i="25" s="1"/>
  <c r="AH30" i="25"/>
  <c r="AG58" i="25"/>
  <c r="BE35" i="22"/>
  <c r="BE28" i="22" s="1"/>
  <c r="AT28" i="22"/>
  <c r="AJ36" i="30"/>
  <c r="AL36" i="30" s="1"/>
  <c r="AL37" i="30"/>
  <c r="AO37" i="30"/>
  <c r="AM36" i="30"/>
  <c r="AO36" i="30" s="1"/>
  <c r="AW43" i="20"/>
  <c r="BG43" i="20"/>
  <c r="AV72" i="25"/>
  <c r="AV38" i="22"/>
  <c r="BG45" i="22"/>
  <c r="BG38" i="22" s="1"/>
  <c r="AV74" i="25"/>
  <c r="BG74" i="25" s="1"/>
  <c r="AZ38" i="22"/>
  <c r="BK45" i="22"/>
  <c r="BK38" i="22" s="1"/>
  <c r="AZ74" i="25"/>
  <c r="BK74" i="25" s="1"/>
  <c r="BJ45" i="22"/>
  <c r="BJ38" i="22" s="1"/>
  <c r="AY38" i="22"/>
  <c r="AY74" i="25"/>
  <c r="BJ74" i="25" s="1"/>
  <c r="AQ38" i="22"/>
  <c r="AQ74" i="25"/>
  <c r="BC82" i="30"/>
  <c r="BG83" i="30"/>
  <c r="BE82" i="30"/>
  <c r="BG82" i="30" s="1"/>
  <c r="AF83" i="30"/>
  <c r="AD82" i="30"/>
  <c r="AF82" i="30" s="1"/>
  <c r="AK36" i="30"/>
  <c r="AM43" i="20"/>
  <c r="AL72" i="25"/>
  <c r="AL102" i="25" s="1"/>
  <c r="AL104" i="25" s="1"/>
  <c r="BH35" i="22"/>
  <c r="BH28" i="22" s="1"/>
  <c r="AW28" i="22"/>
  <c r="AW30" i="25"/>
  <c r="BH30" i="25" s="1"/>
  <c r="BL35" i="22"/>
  <c r="BL28" i="22" s="1"/>
  <c r="BA28" i="22"/>
  <c r="BA30" i="25"/>
  <c r="BL30" i="25" s="1"/>
  <c r="BM45" i="22"/>
  <c r="BM38" i="22" s="1"/>
  <c r="BB38" i="22"/>
  <c r="BB74" i="25"/>
  <c r="BM74" i="25" s="1"/>
  <c r="BI35" i="22"/>
  <c r="BI28" i="22" s="1"/>
  <c r="AX28" i="22"/>
  <c r="BA38" i="22"/>
  <c r="BL45" i="22"/>
  <c r="BL38" i="22" s="1"/>
  <c r="BA74" i="25"/>
  <c r="BL74" i="25" s="1"/>
  <c r="AL66" i="26"/>
  <c r="AI95" i="26"/>
  <c r="AF38" i="22"/>
  <c r="AF74" i="25"/>
  <c r="AF102" i="25" s="1"/>
  <c r="AF104" i="25" s="1"/>
  <c r="AF106" i="25" s="1"/>
  <c r="AL38" i="22"/>
  <c r="AL74" i="25"/>
  <c r="AO28" i="22"/>
  <c r="AO30" i="25"/>
  <c r="U57" i="11"/>
  <c r="S58" i="11"/>
  <c r="AE28" i="22"/>
  <c r="AE30" i="25"/>
  <c r="AE58" i="25" s="1"/>
  <c r="AE60" i="25" s="1"/>
  <c r="AN38" i="22"/>
  <c r="AN30" i="25"/>
  <c r="AN74" i="25"/>
  <c r="AK69" i="25"/>
  <c r="AK62" i="25"/>
  <c r="AH35" i="22"/>
  <c r="AH28" i="22" s="1"/>
  <c r="AG28" i="22"/>
  <c r="AX83" i="30"/>
  <c r="AV82" i="30"/>
  <c r="AX82" i="30" s="1"/>
  <c r="AI37" i="30"/>
  <c r="AG36" i="30"/>
  <c r="AI36" i="30" s="1"/>
  <c r="AY36" i="30"/>
  <c r="BA36" i="30" s="1"/>
  <c r="BA37" i="30"/>
  <c r="AU37" i="30"/>
  <c r="AS36" i="30"/>
  <c r="AU36" i="30" s="1"/>
  <c r="BG34" i="20"/>
  <c r="AW34" i="20"/>
  <c r="AV28" i="25"/>
  <c r="AG57" i="26"/>
  <c r="AH28" i="26"/>
  <c r="BF45" i="22"/>
  <c r="BF38" i="22" s="1"/>
  <c r="AU38" i="22"/>
  <c r="AU74" i="25"/>
  <c r="BF74" i="25" s="1"/>
  <c r="AR28" i="22"/>
  <c r="AR30" i="25"/>
  <c r="AT36" i="30"/>
  <c r="BD37" i="30"/>
  <c r="BB36" i="30"/>
  <c r="BD36" i="30" s="1"/>
  <c r="BG35" i="22"/>
  <c r="BG28" i="22" s="1"/>
  <c r="AV28" i="22"/>
  <c r="AV30" i="25"/>
  <c r="BG30" i="25" s="1"/>
  <c r="AP82" i="30"/>
  <c r="AR82" i="30" s="1"/>
  <c r="AR83" i="30"/>
  <c r="AS82" i="30"/>
  <c r="AU82" i="30" s="1"/>
  <c r="AU83" i="30"/>
  <c r="BG37" i="30"/>
  <c r="BE36" i="30"/>
  <c r="BG36" i="30" s="1"/>
  <c r="BC36" i="30"/>
  <c r="AH45" i="22"/>
  <c r="AH38" i="22" s="1"/>
  <c r="AG38" i="22"/>
  <c r="AG74" i="25"/>
  <c r="BH34" i="20" l="1"/>
  <c r="AX34" i="20"/>
  <c r="AW28" i="25"/>
  <c r="AL106" i="25"/>
  <c r="AL113" i="25"/>
  <c r="AG60" i="25"/>
  <c r="AH58" i="25"/>
  <c r="AN43" i="20"/>
  <c r="AM72" i="25"/>
  <c r="AM102" i="25" s="1"/>
  <c r="AM104" i="25" s="1"/>
  <c r="BH43" i="20"/>
  <c r="AX43" i="20"/>
  <c r="AW72" i="25"/>
  <c r="AE106" i="25"/>
  <c r="AE113" i="25"/>
  <c r="BE30" i="25"/>
  <c r="AT58" i="25"/>
  <c r="AH95" i="26"/>
  <c r="AG98" i="26"/>
  <c r="AG96" i="26"/>
  <c r="AK65" i="25"/>
  <c r="AJ68" i="25"/>
  <c r="AD34" i="30"/>
  <c r="AL69" i="25"/>
  <c r="AL62" i="25"/>
  <c r="AE62" i="25"/>
  <c r="AE69" i="25"/>
  <c r="AL57" i="26"/>
  <c r="AI60" i="26"/>
  <c r="AI58" i="26"/>
  <c r="AN34" i="20"/>
  <c r="AM28" i="25"/>
  <c r="AM58" i="25" s="1"/>
  <c r="AM60" i="25" s="1"/>
  <c r="AG58" i="26"/>
  <c r="AG60" i="26"/>
  <c r="AH57" i="26"/>
  <c r="AV58" i="25"/>
  <c r="BG28" i="25"/>
  <c r="AV102" i="25"/>
  <c r="BG72" i="25"/>
  <c r="S171" i="11"/>
  <c r="U170" i="11"/>
  <c r="BD74" i="25"/>
  <c r="AI102" i="25"/>
  <c r="AJ113" i="25"/>
  <c r="AJ109" i="25" s="1"/>
  <c r="AD79" i="30" s="1"/>
  <c r="AJ106" i="25"/>
  <c r="AJ111" i="25"/>
  <c r="AH74" i="25"/>
  <c r="AG102" i="25"/>
  <c r="S59" i="11"/>
  <c r="U58" i="11"/>
  <c r="AL95" i="26"/>
  <c r="AI98" i="26"/>
  <c r="AI96" i="26"/>
  <c r="AK106" i="25"/>
  <c r="AK113" i="25"/>
  <c r="BE74" i="25"/>
  <c r="AT102" i="25"/>
  <c r="AU58" i="25"/>
  <c r="BD30" i="25"/>
  <c r="AI58" i="25"/>
  <c r="AD35" i="30"/>
  <c r="AF33" i="30"/>
  <c r="AD39" i="30"/>
  <c r="AU102" i="25"/>
  <c r="AD85" i="30" l="1"/>
  <c r="S172" i="11"/>
  <c r="U171" i="11"/>
  <c r="AV60" i="25"/>
  <c r="BG58" i="25"/>
  <c r="BE58" i="25"/>
  <c r="AT60" i="25"/>
  <c r="AU60" i="25"/>
  <c r="BF58" i="25"/>
  <c r="BD102" i="25"/>
  <c r="AI104" i="25"/>
  <c r="AO34" i="20"/>
  <c r="AN28" i="25"/>
  <c r="AN58" i="25" s="1"/>
  <c r="AN60" i="25" s="1"/>
  <c r="AH96" i="26"/>
  <c r="AG99" i="26"/>
  <c r="AH99" i="26" s="1"/>
  <c r="BI43" i="20"/>
  <c r="AY43" i="20"/>
  <c r="AX72" i="25"/>
  <c r="AF34" i="30"/>
  <c r="AD40" i="30"/>
  <c r="AF40" i="30" s="1"/>
  <c r="AH98" i="26"/>
  <c r="AG101" i="26"/>
  <c r="AH101" i="26" s="1"/>
  <c r="AH60" i="25"/>
  <c r="AG62" i="25"/>
  <c r="AH62" i="25" s="1"/>
  <c r="AW58" i="25"/>
  <c r="BH28" i="25"/>
  <c r="AT104" i="25"/>
  <c r="BE102" i="25"/>
  <c r="AJ112" i="25"/>
  <c r="AK109" i="25"/>
  <c r="AD80" i="30"/>
  <c r="AD81" i="30" s="1"/>
  <c r="AV104" i="25"/>
  <c r="BG102" i="25"/>
  <c r="AG63" i="26"/>
  <c r="AH63" i="26" s="1"/>
  <c r="AH60" i="26"/>
  <c r="AL58" i="26"/>
  <c r="AI61" i="26"/>
  <c r="AL61" i="26" s="1"/>
  <c r="AU104" i="25"/>
  <c r="BF102" i="25"/>
  <c r="AI60" i="25"/>
  <c r="BD58" i="25"/>
  <c r="AL96" i="26"/>
  <c r="AI99" i="26"/>
  <c r="AL99" i="26" s="1"/>
  <c r="S60" i="11"/>
  <c r="U59" i="11"/>
  <c r="AH58" i="26"/>
  <c r="AG61" i="26"/>
  <c r="AH61" i="26" s="1"/>
  <c r="AL60" i="26"/>
  <c r="AI63" i="26"/>
  <c r="AL63" i="26" s="1"/>
  <c r="AM113" i="25"/>
  <c r="AM106" i="25"/>
  <c r="BI34" i="20"/>
  <c r="AY34" i="20"/>
  <c r="AX28" i="25"/>
  <c r="AD41" i="30"/>
  <c r="AF39" i="30"/>
  <c r="AL98" i="26"/>
  <c r="AI101" i="26"/>
  <c r="AL101" i="26" s="1"/>
  <c r="AG104" i="25"/>
  <c r="AH102" i="25"/>
  <c r="AM62" i="25"/>
  <c r="AM69" i="25"/>
  <c r="AG33" i="30"/>
  <c r="AK67" i="25"/>
  <c r="AW102" i="25"/>
  <c r="BH72" i="25"/>
  <c r="AO43" i="20"/>
  <c r="AN72" i="25"/>
  <c r="AN102" i="25" s="1"/>
  <c r="AN104" i="25" s="1"/>
  <c r="BI28" i="25" l="1"/>
  <c r="AX58" i="25"/>
  <c r="AK68" i="25"/>
  <c r="AL65" i="25"/>
  <c r="AG34" i="30"/>
  <c r="AZ34" i="20"/>
  <c r="BJ34" i="20"/>
  <c r="AY28" i="25"/>
  <c r="AU113" i="25"/>
  <c r="BF104" i="25"/>
  <c r="AU106" i="25"/>
  <c r="BF106" i="25" s="1"/>
  <c r="AG79" i="30"/>
  <c r="AK111" i="25"/>
  <c r="AX102" i="25"/>
  <c r="BI72" i="25"/>
  <c r="S173" i="11"/>
  <c r="U172" i="11"/>
  <c r="BH102" i="25"/>
  <c r="AW104" i="25"/>
  <c r="AN106" i="25"/>
  <c r="AN113" i="25"/>
  <c r="AP43" i="20"/>
  <c r="AO72" i="25"/>
  <c r="AO102" i="25" s="1"/>
  <c r="AO104" i="25" s="1"/>
  <c r="AN69" i="25"/>
  <c r="AN62" i="25"/>
  <c r="AG39" i="30"/>
  <c r="AG35" i="30"/>
  <c r="AI33" i="30"/>
  <c r="BH58" i="25"/>
  <c r="AW60" i="25"/>
  <c r="BJ43" i="20"/>
  <c r="AZ43" i="20"/>
  <c r="AY72" i="25"/>
  <c r="AH104" i="25"/>
  <c r="AG106" i="25"/>
  <c r="AH106" i="25" s="1"/>
  <c r="U60" i="11"/>
  <c r="S61" i="11"/>
  <c r="AI62" i="25"/>
  <c r="BD62" i="25" s="1"/>
  <c r="AI69" i="25"/>
  <c r="BD60" i="25"/>
  <c r="BG104" i="25"/>
  <c r="AV113" i="25"/>
  <c r="AV106" i="25"/>
  <c r="BG106" i="25" s="1"/>
  <c r="AP34" i="20"/>
  <c r="AO28" i="25"/>
  <c r="AO58" i="25" s="1"/>
  <c r="AO60" i="25" s="1"/>
  <c r="AU62" i="25"/>
  <c r="BF62" i="25" s="1"/>
  <c r="BF60" i="25"/>
  <c r="AU69" i="25"/>
  <c r="AV62" i="25"/>
  <c r="BG62" i="25" s="1"/>
  <c r="BG60" i="25"/>
  <c r="AV69" i="25"/>
  <c r="AD86" i="30"/>
  <c r="AT106" i="25"/>
  <c r="BE106" i="25" s="1"/>
  <c r="AT113" i="25"/>
  <c r="AT109" i="25" s="1"/>
  <c r="AE79" i="30" s="1"/>
  <c r="BE104" i="25"/>
  <c r="AI113" i="25"/>
  <c r="AI106" i="25"/>
  <c r="BD106" i="25" s="1"/>
  <c r="BD104" i="25"/>
  <c r="AT62" i="25"/>
  <c r="BE62" i="25" s="1"/>
  <c r="AT69" i="25"/>
  <c r="AT65" i="25" s="1"/>
  <c r="AE33" i="30" s="1"/>
  <c r="BE60" i="25"/>
  <c r="AD87" i="30"/>
  <c r="AE35" i="30" l="1"/>
  <c r="AE39" i="30"/>
  <c r="AE41" i="30" s="1"/>
  <c r="BH104" i="25"/>
  <c r="AW106" i="25"/>
  <c r="BH106" i="25" s="1"/>
  <c r="AW113" i="25"/>
  <c r="AY58" i="25"/>
  <c r="BJ28" i="25"/>
  <c r="AJ33" i="30"/>
  <c r="AL67" i="25"/>
  <c r="AI79" i="30"/>
  <c r="AG85" i="30"/>
  <c r="AG81" i="30"/>
  <c r="AQ34" i="20"/>
  <c r="AP28" i="25"/>
  <c r="AP58" i="25" s="1"/>
  <c r="AP60" i="25" s="1"/>
  <c r="S62" i="11"/>
  <c r="U61" i="11"/>
  <c r="BA43" i="20"/>
  <c r="BK43" i="20"/>
  <c r="AZ72" i="25"/>
  <c r="AX104" i="25"/>
  <c r="BI102" i="25"/>
  <c r="AE85" i="30"/>
  <c r="AF79" i="30"/>
  <c r="AO113" i="25"/>
  <c r="AO106" i="25"/>
  <c r="U173" i="11"/>
  <c r="S174" i="11"/>
  <c r="BJ72" i="25"/>
  <c r="AY102" i="25"/>
  <c r="AQ43" i="20"/>
  <c r="AP72" i="25"/>
  <c r="AP102" i="25" s="1"/>
  <c r="AP104" i="25" s="1"/>
  <c r="AT67" i="25"/>
  <c r="AT111" i="25"/>
  <c r="AL109" i="25"/>
  <c r="AK112" i="25"/>
  <c r="AG80" i="30"/>
  <c r="BK34" i="20"/>
  <c r="BA34" i="20"/>
  <c r="AZ28" i="25"/>
  <c r="BI58" i="25"/>
  <c r="AX60" i="25"/>
  <c r="AO69" i="25"/>
  <c r="AO62" i="25"/>
  <c r="AW69" i="25"/>
  <c r="AW62" i="25"/>
  <c r="BH62" i="25" s="1"/>
  <c r="BH60" i="25"/>
  <c r="AG41" i="30"/>
  <c r="AI39" i="30"/>
  <c r="AG40" i="30"/>
  <c r="AI40" i="30" s="1"/>
  <c r="AI34" i="30"/>
  <c r="AI80" i="30" l="1"/>
  <c r="AG86" i="30"/>
  <c r="AI86" i="30" s="1"/>
  <c r="AU109" i="25"/>
  <c r="AT112" i="25"/>
  <c r="AE80" i="30"/>
  <c r="BJ102" i="25"/>
  <c r="AY104" i="25"/>
  <c r="AZ102" i="25"/>
  <c r="BK72" i="25"/>
  <c r="S63" i="11"/>
  <c r="U62" i="11"/>
  <c r="AI85" i="30"/>
  <c r="AG87" i="30"/>
  <c r="AZ58" i="25"/>
  <c r="BK28" i="25"/>
  <c r="AT68" i="25"/>
  <c r="AU65" i="25"/>
  <c r="AE34" i="30"/>
  <c r="AE40" i="30" s="1"/>
  <c r="AF85" i="30"/>
  <c r="AP62" i="25"/>
  <c r="AP69" i="25"/>
  <c r="AY60" i="25"/>
  <c r="BJ58" i="25"/>
  <c r="AR43" i="20"/>
  <c r="AQ72" i="25"/>
  <c r="AQ102" i="25" s="1"/>
  <c r="AQ104" i="25" s="1"/>
  <c r="AX106" i="25"/>
  <c r="BI106" i="25" s="1"/>
  <c r="BI104" i="25"/>
  <c r="AX113" i="25"/>
  <c r="BL34" i="20"/>
  <c r="BB34" i="20"/>
  <c r="BA28" i="25"/>
  <c r="AJ79" i="30"/>
  <c r="AL111" i="25"/>
  <c r="AP106" i="25"/>
  <c r="AP113" i="25"/>
  <c r="U174" i="11"/>
  <c r="S175" i="11"/>
  <c r="BL43" i="20"/>
  <c r="BB43" i="20"/>
  <c r="BA72" i="25"/>
  <c r="AR34" i="20"/>
  <c r="AQ28" i="25"/>
  <c r="AQ58" i="25" s="1"/>
  <c r="AQ60" i="25" s="1"/>
  <c r="AL68" i="25"/>
  <c r="AM65" i="25"/>
  <c r="AJ34" i="30"/>
  <c r="AX69" i="25"/>
  <c r="BI60" i="25"/>
  <c r="AX62" i="25"/>
  <c r="BI62" i="25" s="1"/>
  <c r="AL33" i="30"/>
  <c r="AJ35" i="30"/>
  <c r="AJ39" i="30"/>
  <c r="AJ40" i="30" l="1"/>
  <c r="AL40" i="30" s="1"/>
  <c r="AL34" i="30"/>
  <c r="AS34" i="20"/>
  <c r="AS28" i="25" s="1"/>
  <c r="AS58" i="25" s="1"/>
  <c r="AS60" i="25" s="1"/>
  <c r="AR28" i="25"/>
  <c r="AR58" i="25" s="1"/>
  <c r="AR60" i="25" s="1"/>
  <c r="S176" i="11"/>
  <c r="U175" i="11"/>
  <c r="BM34" i="20"/>
  <c r="BC34" i="20"/>
  <c r="BC28" i="25" s="1"/>
  <c r="BC58" i="25" s="1"/>
  <c r="BC60" i="25" s="1"/>
  <c r="BB28" i="25"/>
  <c r="AH33" i="30"/>
  <c r="AU67" i="25"/>
  <c r="AJ41" i="30"/>
  <c r="AL39" i="30"/>
  <c r="AM33" i="30"/>
  <c r="AM67" i="25"/>
  <c r="BL72" i="25"/>
  <c r="BA102" i="25"/>
  <c r="AM109" i="25"/>
  <c r="AL112" i="25"/>
  <c r="AJ80" i="30"/>
  <c r="AY62" i="25"/>
  <c r="BJ62" i="25" s="1"/>
  <c r="BJ60" i="25"/>
  <c r="AY69" i="25"/>
  <c r="BK102" i="25"/>
  <c r="AZ104" i="25"/>
  <c r="BM43" i="20"/>
  <c r="BC43" i="20"/>
  <c r="BC72" i="25" s="1"/>
  <c r="BC102" i="25" s="1"/>
  <c r="BC104" i="25" s="1"/>
  <c r="BB72" i="25"/>
  <c r="AJ85" i="30"/>
  <c r="AJ81" i="30"/>
  <c r="AL79" i="30"/>
  <c r="AQ113" i="25"/>
  <c r="AQ106" i="25"/>
  <c r="AY113" i="25"/>
  <c r="BJ104" i="25"/>
  <c r="AY106" i="25"/>
  <c r="BJ106" i="25" s="1"/>
  <c r="AH79" i="30"/>
  <c r="AU111" i="25"/>
  <c r="BA58" i="25"/>
  <c r="BL28" i="25"/>
  <c r="BK58" i="25"/>
  <c r="AZ60" i="25"/>
  <c r="S64" i="11"/>
  <c r="U63" i="11"/>
  <c r="AQ62" i="25"/>
  <c r="AQ69" i="25"/>
  <c r="AS43" i="20"/>
  <c r="AS72" i="25" s="1"/>
  <c r="AS102" i="25" s="1"/>
  <c r="AS104" i="25" s="1"/>
  <c r="AR72" i="25"/>
  <c r="AR102" i="25" s="1"/>
  <c r="AR104" i="25" s="1"/>
  <c r="AE86" i="30"/>
  <c r="AF80" i="30"/>
  <c r="AE81" i="30"/>
  <c r="AL80" i="30" l="1"/>
  <c r="AJ86" i="30"/>
  <c r="AL86" i="30" s="1"/>
  <c r="BC62" i="25"/>
  <c r="BC69" i="25"/>
  <c r="AR69" i="25"/>
  <c r="AR62" i="25"/>
  <c r="AR106" i="25"/>
  <c r="AR113" i="25"/>
  <c r="BC113" i="25"/>
  <c r="BC106" i="25"/>
  <c r="AS106" i="25"/>
  <c r="AS113" i="25"/>
  <c r="AM68" i="25"/>
  <c r="AN65" i="25"/>
  <c r="AM34" i="30"/>
  <c r="AV65" i="25"/>
  <c r="AU68" i="25"/>
  <c r="AH34" i="30"/>
  <c r="AH40" i="30" s="1"/>
  <c r="AS69" i="25"/>
  <c r="AS62" i="25"/>
  <c r="AH81" i="30"/>
  <c r="AH85" i="30"/>
  <c r="AH87" i="30" s="1"/>
  <c r="S65" i="11"/>
  <c r="U64" i="11"/>
  <c r="BL58" i="25"/>
  <c r="BA60" i="25"/>
  <c r="AJ87" i="30"/>
  <c r="AL85" i="30"/>
  <c r="AZ113" i="25"/>
  <c r="AZ106" i="25"/>
  <c r="BK106" i="25" s="1"/>
  <c r="BK104" i="25"/>
  <c r="AM79" i="30"/>
  <c r="AM111" i="25"/>
  <c r="AH39" i="30"/>
  <c r="AH41" i="30" s="1"/>
  <c r="AH35" i="30"/>
  <c r="AO33" i="30"/>
  <c r="AM39" i="30"/>
  <c r="AM35" i="30"/>
  <c r="AF86" i="30"/>
  <c r="AE87" i="30"/>
  <c r="BK60" i="25"/>
  <c r="AZ62" i="25"/>
  <c r="BK62" i="25" s="1"/>
  <c r="AZ69" i="25"/>
  <c r="AV109" i="25"/>
  <c r="AU112" i="25"/>
  <c r="AH80" i="30"/>
  <c r="AH86" i="30" s="1"/>
  <c r="BB102" i="25"/>
  <c r="BM72" i="25"/>
  <c r="BL102" i="25"/>
  <c r="BA104" i="25"/>
  <c r="BM28" i="25"/>
  <c r="BB58" i="25"/>
  <c r="S177" i="11"/>
  <c r="U176" i="11"/>
  <c r="BM58" i="25" l="1"/>
  <c r="BB60" i="25"/>
  <c r="AK79" i="30"/>
  <c r="AV111" i="25"/>
  <c r="AO39" i="30"/>
  <c r="AM41" i="30"/>
  <c r="AM112" i="25"/>
  <c r="AN109" i="25"/>
  <c r="AM80" i="30"/>
  <c r="BA69" i="25"/>
  <c r="BA62" i="25"/>
  <c r="BL62" i="25" s="1"/>
  <c r="BL60" i="25"/>
  <c r="AO34" i="30"/>
  <c r="AM40" i="30"/>
  <c r="AO40" i="30" s="1"/>
  <c r="BB104" i="25"/>
  <c r="BM102" i="25"/>
  <c r="AP33" i="30"/>
  <c r="AN67" i="25"/>
  <c r="AO79" i="30"/>
  <c r="AM85" i="30"/>
  <c r="AM81" i="30"/>
  <c r="BL104" i="25"/>
  <c r="BA106" i="25"/>
  <c r="BL106" i="25" s="1"/>
  <c r="BA113" i="25"/>
  <c r="U177" i="11"/>
  <c r="S178" i="11"/>
  <c r="S66" i="11"/>
  <c r="U65" i="11"/>
  <c r="AK33" i="30"/>
  <c r="AV67" i="25"/>
  <c r="AK39" i="30" l="1"/>
  <c r="AK41" i="30" s="1"/>
  <c r="AK35" i="30"/>
  <c r="AN68" i="25"/>
  <c r="AO65" i="25"/>
  <c r="AP34" i="30"/>
  <c r="U66" i="11"/>
  <c r="S67" i="11"/>
  <c r="AO85" i="30"/>
  <c r="AM87" i="30"/>
  <c r="AV68" i="25"/>
  <c r="AW65" i="25"/>
  <c r="AK34" i="30"/>
  <c r="AK40" i="30" s="1"/>
  <c r="S179" i="11"/>
  <c r="U178" i="11"/>
  <c r="BB106" i="25"/>
  <c r="BM106" i="25" s="1"/>
  <c r="BB113" i="25"/>
  <c r="BM104" i="25"/>
  <c r="AP79" i="30"/>
  <c r="AN111" i="25"/>
  <c r="AV112" i="25"/>
  <c r="AW109" i="25"/>
  <c r="AK80" i="30"/>
  <c r="AK86" i="30" s="1"/>
  <c r="AK85" i="30"/>
  <c r="AK87" i="30" s="1"/>
  <c r="AK81" i="30"/>
  <c r="AP39" i="30"/>
  <c r="AP35" i="30"/>
  <c r="AR33" i="30"/>
  <c r="BB69" i="25"/>
  <c r="BM60" i="25"/>
  <c r="BB62" i="25"/>
  <c r="BM62" i="25" s="1"/>
  <c r="AM86" i="30"/>
  <c r="AO86" i="30" s="1"/>
  <c r="AO80" i="30"/>
  <c r="AS33" i="30" l="1"/>
  <c r="AO67" i="25"/>
  <c r="AN112" i="25"/>
  <c r="AO109" i="25"/>
  <c r="AP80" i="30"/>
  <c r="AP85" i="30"/>
  <c r="AP81" i="30"/>
  <c r="AR79" i="30"/>
  <c r="AN33" i="30"/>
  <c r="AW67" i="25"/>
  <c r="S68" i="11"/>
  <c r="U67" i="11"/>
  <c r="AR39" i="30"/>
  <c r="AP41" i="30"/>
  <c r="AN79" i="30"/>
  <c r="AW111" i="25"/>
  <c r="S180" i="11"/>
  <c r="U179" i="11"/>
  <c r="AR34" i="30"/>
  <c r="AP40" i="30"/>
  <c r="AR40" i="30" s="1"/>
  <c r="AN39" i="30" l="1"/>
  <c r="AN41" i="30" s="1"/>
  <c r="AN35" i="30"/>
  <c r="AP86" i="30"/>
  <c r="AR86" i="30" s="1"/>
  <c r="AR80" i="30"/>
  <c r="AW112" i="25"/>
  <c r="AX109" i="25"/>
  <c r="AN80" i="30"/>
  <c r="AN86" i="30" s="1"/>
  <c r="AS79" i="30"/>
  <c r="AO111" i="25"/>
  <c r="S181" i="11"/>
  <c r="U180" i="11"/>
  <c r="AN85" i="30"/>
  <c r="AN87" i="30" s="1"/>
  <c r="AN81" i="30"/>
  <c r="S69" i="11"/>
  <c r="U68" i="11"/>
  <c r="AS39" i="30"/>
  <c r="AU33" i="30"/>
  <c r="AS35" i="30"/>
  <c r="AW68" i="25"/>
  <c r="AX65" i="25"/>
  <c r="AN34" i="30"/>
  <c r="AN40" i="30" s="1"/>
  <c r="AP87" i="30"/>
  <c r="AR85" i="30"/>
  <c r="AO68" i="25"/>
  <c r="AP65" i="25"/>
  <c r="AS34" i="30"/>
  <c r="AU79" i="30" l="1"/>
  <c r="AS85" i="30"/>
  <c r="AS81" i="30"/>
  <c r="AS41" i="30"/>
  <c r="AU39" i="30"/>
  <c r="AU34" i="30"/>
  <c r="AS40" i="30"/>
  <c r="AU40" i="30" s="1"/>
  <c r="S70" i="11"/>
  <c r="U69" i="11"/>
  <c r="S182" i="11"/>
  <c r="U181" i="11"/>
  <c r="AQ79" i="30"/>
  <c r="AX111" i="25"/>
  <c r="AQ33" i="30"/>
  <c r="AX67" i="25"/>
  <c r="AV33" i="30"/>
  <c r="AP67" i="25"/>
  <c r="AO112" i="25"/>
  <c r="AP109" i="25"/>
  <c r="AS80" i="30"/>
  <c r="AQ81" i="30" l="1"/>
  <c r="AQ85" i="30"/>
  <c r="AQ87" i="30" s="1"/>
  <c r="AV79" i="30"/>
  <c r="AP111" i="25"/>
  <c r="AV39" i="30"/>
  <c r="AX33" i="30"/>
  <c r="AV35" i="30"/>
  <c r="S71" i="11"/>
  <c r="U70" i="11"/>
  <c r="AX68" i="25"/>
  <c r="AY65" i="25"/>
  <c r="AQ34" i="30"/>
  <c r="AQ40" i="30" s="1"/>
  <c r="S183" i="11"/>
  <c r="U182" i="11"/>
  <c r="AS87" i="30"/>
  <c r="AU85" i="30"/>
  <c r="AS86" i="30"/>
  <c r="AU86" i="30" s="1"/>
  <c r="AU80" i="30"/>
  <c r="AQ35" i="30"/>
  <c r="AQ39" i="30"/>
  <c r="AQ41" i="30" s="1"/>
  <c r="AP68" i="25"/>
  <c r="AQ65" i="25"/>
  <c r="AV34" i="30"/>
  <c r="AX112" i="25"/>
  <c r="AY109" i="25"/>
  <c r="AQ80" i="30"/>
  <c r="AQ86" i="30" s="1"/>
  <c r="S72" i="11" l="1"/>
  <c r="U71" i="11"/>
  <c r="AQ109" i="25"/>
  <c r="AP112" i="25"/>
  <c r="AV80" i="30"/>
  <c r="AV85" i="30"/>
  <c r="AX79" i="30"/>
  <c r="AV81" i="30"/>
  <c r="AY33" i="30"/>
  <c r="AQ67" i="25"/>
  <c r="AV40" i="30"/>
  <c r="AX40" i="30" s="1"/>
  <c r="AX34" i="30"/>
  <c r="AT33" i="30"/>
  <c r="AY67" i="25"/>
  <c r="AT79" i="30"/>
  <c r="AY111" i="25"/>
  <c r="U183" i="11"/>
  <c r="S184" i="11"/>
  <c r="AV41" i="30"/>
  <c r="AX39" i="30"/>
  <c r="AT85" i="30" l="1"/>
  <c r="AT87" i="30" s="1"/>
  <c r="AT81" i="30"/>
  <c r="AY79" i="30"/>
  <c r="AQ111" i="25"/>
  <c r="BA33" i="30"/>
  <c r="AY35" i="30"/>
  <c r="AY39" i="30"/>
  <c r="AY112" i="25"/>
  <c r="AZ109" i="25"/>
  <c r="AT80" i="30"/>
  <c r="AT86" i="30" s="1"/>
  <c r="U184" i="11"/>
  <c r="S185" i="11"/>
  <c r="AY68" i="25"/>
  <c r="AZ65" i="25"/>
  <c r="AT34" i="30"/>
  <c r="AT40" i="30" s="1"/>
  <c r="AQ68" i="25"/>
  <c r="AR65" i="25"/>
  <c r="AY34" i="30"/>
  <c r="AV87" i="30"/>
  <c r="AX85" i="30"/>
  <c r="AT35" i="30"/>
  <c r="AT39" i="30"/>
  <c r="AT41" i="30" s="1"/>
  <c r="AX80" i="30"/>
  <c r="AV86" i="30"/>
  <c r="AX86" i="30" s="1"/>
  <c r="U72" i="11"/>
  <c r="S73" i="11"/>
  <c r="BA39" i="30" l="1"/>
  <c r="AY41" i="30"/>
  <c r="AY85" i="30"/>
  <c r="AY81" i="30"/>
  <c r="BA79" i="30"/>
  <c r="AQ112" i="25"/>
  <c r="AR109" i="25"/>
  <c r="AY80" i="30"/>
  <c r="S186" i="11"/>
  <c r="U185" i="11"/>
  <c r="U73" i="11"/>
  <c r="S74" i="11"/>
  <c r="BA34" i="30"/>
  <c r="AY40" i="30"/>
  <c r="BA40" i="30" s="1"/>
  <c r="AW33" i="30"/>
  <c r="AZ67" i="25"/>
  <c r="BB33" i="30"/>
  <c r="AR67" i="25"/>
  <c r="AW79" i="30"/>
  <c r="AZ111" i="25"/>
  <c r="AZ112" i="25" l="1"/>
  <c r="BA109" i="25"/>
  <c r="AW80" i="30"/>
  <c r="AW86" i="30" s="1"/>
  <c r="S75" i="11"/>
  <c r="U74" i="11"/>
  <c r="AW39" i="30"/>
  <c r="AW41" i="30" s="1"/>
  <c r="AW35" i="30"/>
  <c r="BB79" i="30"/>
  <c r="AR111" i="25"/>
  <c r="AY87" i="30"/>
  <c r="BA85" i="30"/>
  <c r="AZ68" i="25"/>
  <c r="BA65" i="25"/>
  <c r="AW34" i="30"/>
  <c r="AW40" i="30" s="1"/>
  <c r="AW85" i="30"/>
  <c r="AW87" i="30" s="1"/>
  <c r="AW81" i="30"/>
  <c r="AR68" i="25"/>
  <c r="AS65" i="25"/>
  <c r="BB34" i="30"/>
  <c r="AY86" i="30"/>
  <c r="BA86" i="30" s="1"/>
  <c r="BA80" i="30"/>
  <c r="BB35" i="30"/>
  <c r="BB39" i="30"/>
  <c r="BD33" i="30"/>
  <c r="U186" i="11"/>
  <c r="S187" i="11"/>
  <c r="U75" i="11" l="1"/>
  <c r="S76" i="11"/>
  <c r="BB85" i="30"/>
  <c r="BD79" i="30"/>
  <c r="BB81" i="30"/>
  <c r="BB41" i="30"/>
  <c r="BD39" i="30"/>
  <c r="AZ79" i="30"/>
  <c r="BA111" i="25"/>
  <c r="BD34" i="30"/>
  <c r="BB40" i="30"/>
  <c r="BD40" i="30" s="1"/>
  <c r="S188" i="11"/>
  <c r="U187" i="11"/>
  <c r="BE33" i="30"/>
  <c r="AS67" i="25"/>
  <c r="AZ33" i="30"/>
  <c r="BA67" i="25"/>
  <c r="AR112" i="25"/>
  <c r="AS109" i="25"/>
  <c r="BB80" i="30"/>
  <c r="AZ35" i="30" l="1"/>
  <c r="AZ39" i="30"/>
  <c r="AZ41" i="30" s="1"/>
  <c r="S189" i="11"/>
  <c r="U188" i="11"/>
  <c r="BE79" i="30"/>
  <c r="AS111" i="25"/>
  <c r="AS68" i="25"/>
  <c r="BE34" i="30"/>
  <c r="BB87" i="30"/>
  <c r="BD85" i="30"/>
  <c r="BD80" i="30"/>
  <c r="BB86" i="30"/>
  <c r="BD86" i="30" s="1"/>
  <c r="BE39" i="30"/>
  <c r="BG33" i="30"/>
  <c r="BE35" i="30"/>
  <c r="S77" i="11"/>
  <c r="U76" i="11"/>
  <c r="AZ85" i="30"/>
  <c r="AZ87" i="30" s="1"/>
  <c r="AZ81" i="30"/>
  <c r="BA68" i="25"/>
  <c r="BB65" i="25"/>
  <c r="AZ34" i="30"/>
  <c r="AZ40" i="30" s="1"/>
  <c r="BB109" i="25"/>
  <c r="BA112" i="25"/>
  <c r="AZ80" i="30"/>
  <c r="AZ86" i="30" s="1"/>
  <c r="BE40" i="30" l="1"/>
  <c r="BG40" i="30" s="1"/>
  <c r="BG34" i="30"/>
  <c r="BC79" i="30"/>
  <c r="BB111" i="25"/>
  <c r="S190" i="11"/>
  <c r="U189" i="11"/>
  <c r="S78" i="11"/>
  <c r="U77" i="11"/>
  <c r="AS112" i="25"/>
  <c r="BE80" i="30"/>
  <c r="BC33" i="30"/>
  <c r="BB67" i="25"/>
  <c r="BE41" i="30"/>
  <c r="BG39" i="30"/>
  <c r="BE85" i="30"/>
  <c r="BG79" i="30"/>
  <c r="BE81" i="30"/>
  <c r="BC85" i="30" l="1"/>
  <c r="BC87" i="30" s="1"/>
  <c r="BC81" i="30"/>
  <c r="BB68" i="25"/>
  <c r="BC65" i="25"/>
  <c r="BC34" i="30"/>
  <c r="BC40" i="30" s="1"/>
  <c r="BG85" i="30"/>
  <c r="BE87" i="30"/>
  <c r="BE86" i="30"/>
  <c r="BG86" i="30" s="1"/>
  <c r="BG80" i="30"/>
  <c r="BC109" i="25"/>
  <c r="BB112" i="25"/>
  <c r="BC80" i="30"/>
  <c r="BC86" i="30" s="1"/>
  <c r="BC35" i="30"/>
  <c r="BC39" i="30"/>
  <c r="BC41" i="30" s="1"/>
  <c r="S79" i="11"/>
  <c r="U78" i="11"/>
  <c r="U190" i="11"/>
  <c r="S191" i="11"/>
  <c r="BF33" i="30" l="1"/>
  <c r="BC67" i="25"/>
  <c r="U79" i="11"/>
  <c r="S80" i="11"/>
  <c r="S192" i="11"/>
  <c r="U191" i="11"/>
  <c r="BF79" i="30"/>
  <c r="BC111" i="25"/>
  <c r="BF81" i="30" l="1"/>
  <c r="BF85" i="30"/>
  <c r="BF87" i="30" s="1"/>
  <c r="U192" i="11"/>
  <c r="S193" i="11"/>
  <c r="BC112" i="25"/>
  <c r="BF80" i="30"/>
  <c r="BF86" i="30" s="1"/>
  <c r="S81" i="11"/>
  <c r="U80" i="11"/>
  <c r="BC68" i="25"/>
  <c r="BF34" i="30"/>
  <c r="BF40" i="30" s="1"/>
  <c r="BF39" i="30"/>
  <c r="BF41" i="30" s="1"/>
  <c r="BF35" i="30"/>
  <c r="S194" i="11" l="1"/>
  <c r="U193" i="11"/>
  <c r="S82" i="11"/>
  <c r="U81" i="11"/>
  <c r="S83" i="11" l="1"/>
  <c r="U82" i="11"/>
  <c r="S195" i="11"/>
  <c r="U194" i="11"/>
  <c r="S196" i="11" l="1"/>
  <c r="U195" i="11"/>
  <c r="S84" i="11"/>
  <c r="U83" i="11"/>
  <c r="S85" i="11" l="1"/>
  <c r="U84" i="11"/>
  <c r="S197" i="11"/>
  <c r="U196" i="11"/>
  <c r="U197" i="11" l="1"/>
  <c r="S198" i="11"/>
  <c r="S86" i="11"/>
  <c r="U85" i="11"/>
  <c r="U86" i="11" l="1"/>
  <c r="S87" i="11"/>
  <c r="U198" i="11"/>
  <c r="S199" i="11"/>
  <c r="U87" i="11" l="1"/>
  <c r="S88" i="11"/>
  <c r="S200" i="11"/>
  <c r="U199" i="11"/>
  <c r="S89" i="11" l="1"/>
  <c r="U88" i="11"/>
  <c r="U200" i="11"/>
  <c r="S201" i="11"/>
  <c r="S202" i="11" l="1"/>
  <c r="U201" i="11"/>
  <c r="S90" i="11"/>
  <c r="U89" i="11"/>
  <c r="S91" i="11" l="1"/>
  <c r="U90" i="11"/>
  <c r="S203" i="11"/>
  <c r="U202" i="11"/>
  <c r="S204" i="11" l="1"/>
  <c r="U203" i="11"/>
  <c r="S92" i="11"/>
  <c r="U91" i="11"/>
  <c r="U92" i="11" l="1"/>
  <c r="S93" i="11"/>
  <c r="S205" i="11"/>
  <c r="U204" i="11"/>
  <c r="S94" i="11" l="1"/>
  <c r="U93" i="11"/>
  <c r="S206" i="11"/>
  <c r="U205" i="11"/>
  <c r="U206" i="11" l="1"/>
  <c r="S207" i="11"/>
  <c r="S95" i="11"/>
  <c r="U94" i="11"/>
  <c r="S96" i="11" l="1"/>
  <c r="U95" i="11"/>
  <c r="S208" i="11"/>
  <c r="U207" i="11"/>
  <c r="S209" i="11" l="1"/>
  <c r="U208" i="11"/>
  <c r="S97" i="11"/>
  <c r="U96" i="11"/>
  <c r="S98" i="11" l="1"/>
  <c r="U97" i="11"/>
  <c r="S210" i="11"/>
  <c r="U209" i="11"/>
  <c r="S211" i="11" l="1"/>
  <c r="U210" i="11"/>
  <c r="S99" i="11"/>
  <c r="U98" i="11"/>
  <c r="S100" i="11" l="1"/>
  <c r="U99" i="11"/>
  <c r="S212" i="11"/>
  <c r="U211" i="11"/>
  <c r="S213" i="11" l="1"/>
  <c r="U212" i="11"/>
  <c r="S101" i="11"/>
  <c r="U100" i="11"/>
  <c r="S102" i="11" l="1"/>
  <c r="U101" i="11"/>
  <c r="U213" i="11"/>
  <c r="S214" i="11"/>
  <c r="S215" i="11" l="1"/>
  <c r="U214" i="11"/>
  <c r="S103" i="11"/>
  <c r="U102" i="11"/>
  <c r="S104" i="11" l="1"/>
  <c r="U103" i="11"/>
  <c r="U215" i="11"/>
  <c r="S216" i="11"/>
  <c r="S217" i="11" l="1"/>
  <c r="U216" i="11"/>
  <c r="S105" i="11"/>
  <c r="U104" i="11"/>
  <c r="U105" i="11" l="1"/>
  <c r="S106" i="11"/>
  <c r="S218" i="11"/>
  <c r="U217" i="11"/>
  <c r="S219" i="11" l="1"/>
  <c r="U218" i="11"/>
  <c r="S107" i="11"/>
  <c r="U106" i="11"/>
  <c r="U107" i="11" l="1"/>
  <c r="S108" i="11"/>
  <c r="U219" i="11"/>
  <c r="S220" i="11"/>
  <c r="U220" i="11" l="1"/>
  <c r="S221" i="11"/>
  <c r="S109" i="11"/>
  <c r="U108" i="11"/>
  <c r="S110" i="11" l="1"/>
  <c r="U109" i="11"/>
  <c r="S222" i="11"/>
  <c r="U221" i="11"/>
  <c r="U222" i="11" l="1"/>
  <c r="S223" i="11"/>
  <c r="S111" i="11"/>
  <c r="U110" i="11"/>
  <c r="U223" i="11" l="1"/>
  <c r="S224" i="11"/>
  <c r="S112" i="11"/>
  <c r="U111" i="11"/>
  <c r="S225" i="11" l="1"/>
  <c r="U224" i="11"/>
  <c r="U112" i="11"/>
  <c r="S113" i="11"/>
  <c r="S114" i="11" l="1"/>
  <c r="U113" i="11"/>
  <c r="S226" i="11"/>
  <c r="U225" i="11"/>
  <c r="S227" i="11" l="1"/>
  <c r="U226" i="11"/>
  <c r="S115" i="11"/>
  <c r="U114" i="11"/>
  <c r="U115" i="11" l="1"/>
  <c r="S116" i="11"/>
  <c r="S228" i="11"/>
  <c r="U227" i="11"/>
  <c r="S229" i="11" l="1"/>
  <c r="U228" i="11"/>
  <c r="S117" i="11"/>
  <c r="U116" i="11"/>
  <c r="S118" i="11" l="1"/>
  <c r="U117" i="11"/>
  <c r="U229" i="11"/>
  <c r="S230" i="11"/>
  <c r="U230" i="11" l="1"/>
  <c r="S231" i="11"/>
  <c r="S119" i="11"/>
  <c r="U118" i="11"/>
  <c r="U119" i="11" l="1"/>
  <c r="S120" i="11"/>
  <c r="S232" i="11"/>
  <c r="U231" i="11"/>
  <c r="S233" i="11" l="1"/>
  <c r="U232" i="11"/>
  <c r="U120" i="11"/>
  <c r="S121" i="11"/>
  <c r="S122" i="11" l="1"/>
  <c r="U121" i="11"/>
  <c r="S234" i="11"/>
  <c r="U233" i="11"/>
  <c r="S235" i="11" l="1"/>
  <c r="U234" i="11"/>
  <c r="U122" i="11"/>
  <c r="S123" i="11"/>
  <c r="S124" i="11" l="1"/>
  <c r="U123" i="11"/>
  <c r="S236" i="11"/>
  <c r="U235" i="11"/>
  <c r="U236" i="11" l="1"/>
  <c r="S237" i="11"/>
  <c r="S125" i="11"/>
  <c r="U124" i="11"/>
  <c r="S126" i="11" l="1"/>
  <c r="U125" i="11"/>
  <c r="S238" i="11"/>
  <c r="U237" i="11"/>
  <c r="U238" i="11" l="1"/>
  <c r="S239" i="11"/>
  <c r="U126" i="11"/>
  <c r="S127" i="11"/>
  <c r="U127" i="11" l="1"/>
  <c r="S128" i="11"/>
  <c r="U239" i="11"/>
  <c r="S240" i="11"/>
  <c r="S129" i="11" l="1"/>
  <c r="U128" i="11"/>
  <c r="S241" i="11"/>
  <c r="U240" i="11"/>
  <c r="S242" i="11" l="1"/>
  <c r="U241" i="11"/>
  <c r="S130" i="11"/>
  <c r="U129" i="11"/>
  <c r="S131" i="11" l="1"/>
  <c r="U130" i="11"/>
  <c r="S243" i="11"/>
  <c r="U242" i="11"/>
  <c r="S244" i="11" l="1"/>
  <c r="U243" i="11"/>
  <c r="U131" i="11"/>
  <c r="S132" i="11"/>
  <c r="U132" i="11" l="1"/>
  <c r="S133" i="11"/>
  <c r="S245" i="11"/>
  <c r="U244" i="11"/>
  <c r="S246" i="11" l="1"/>
  <c r="U245" i="11"/>
  <c r="S134" i="11"/>
  <c r="U133" i="11"/>
  <c r="U134" i="11" l="1"/>
  <c r="S135" i="11"/>
  <c r="U246" i="11"/>
  <c r="S247" i="11"/>
  <c r="S248" i="11" l="1"/>
  <c r="U247" i="11"/>
  <c r="S136" i="11"/>
  <c r="U135" i="11"/>
  <c r="S137" i="11" l="1"/>
  <c r="U136" i="11"/>
  <c r="S249" i="11"/>
  <c r="U249" i="11" s="1"/>
  <c r="U248" i="11"/>
  <c r="S138" i="11" l="1"/>
  <c r="U138" i="11" s="1"/>
  <c r="U137" i="11"/>
</calcChain>
</file>

<file path=xl/sharedStrings.xml><?xml version="1.0" encoding="utf-8"?>
<sst xmlns="http://schemas.openxmlformats.org/spreadsheetml/2006/main" count="13417" uniqueCount="4309">
  <si>
    <t xml:space="preserve"> (требуется обновление)</t>
  </si>
  <si>
    <t>Код отчёта: EXPERT.TN.2026.EIAS</t>
  </si>
  <si>
    <t>Версия отчёта: 1.1.5</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</si>
  <si>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</si>
  <si>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</si>
  <si>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</si>
  <si>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</si>
  <si>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</si>
  <si>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</si>
  <si>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 xml:space="preserve"> - выбор по даблклику (необязательные)</t>
  </si>
  <si>
    <t xml:space="preserve"> - выбор по даблклику (обязательные)</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</si>
  <si>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</si>
  <si>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</si>
  <si>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</si>
  <si>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</si>
  <si>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flag_vis</t>
  </si>
  <si>
    <t>flag_size</t>
  </si>
  <si>
    <t>Список листов</t>
  </si>
  <si>
    <t>* для перехода на лист дважды кликните по названию</t>
  </si>
  <si>
    <t>скрыть</t>
  </si>
  <si>
    <t>Общие сведения</t>
  </si>
  <si>
    <t>Сведения о регулируемой организации_x000D_
Информация о рассмотрении дела об установлении тарифов</t>
  </si>
  <si>
    <t>Список территорий</t>
  </si>
  <si>
    <t>Перечень муниципальных образований, на территории которых организация оказывает услуги теплоснабжения</t>
  </si>
  <si>
    <t>Список объектов</t>
  </si>
  <si>
    <t>Перечень объектов организации, с помощью которых организация оказывает услуги теплоснабжения</t>
  </si>
  <si>
    <t>Расчет УЕ</t>
  </si>
  <si>
    <t>Расчет условных единиц</t>
  </si>
  <si>
    <t>Сценарии</t>
  </si>
  <si>
    <t>Ключевые сценарные показатели</t>
  </si>
  <si>
    <t>отобразить</t>
  </si>
  <si>
    <t>Сценарии (МСА)</t>
  </si>
  <si>
    <t>Баланс ТН</t>
  </si>
  <si>
    <t>Расчет полезного отпуска тепловой энергии</t>
  </si>
  <si>
    <t>Топливо 4.4</t>
  </si>
  <si>
    <t>Расчет расхода топлива</t>
  </si>
  <si>
    <t>ЭнергоРесурсы</t>
  </si>
  <si>
    <t>Расходы на прочие покупаемые энергетические ресурсы</t>
  </si>
  <si>
    <t>ХВС, ТН</t>
  </si>
  <si>
    <t>Расходы на приобретение холодной воды и теплоносителя</t>
  </si>
  <si>
    <t>Амортизация</t>
  </si>
  <si>
    <t>Амортизация основных средств и нематериальных активов, относимых к объектам централизованной системы теплоснабжения</t>
  </si>
  <si>
    <t>Аренда</t>
  </si>
  <si>
    <t>Арендная и концессионная плата. Лизинговые платежи</t>
  </si>
  <si>
    <t>Покупка услуг</t>
  </si>
  <si>
    <t>Расходы на оплату услуг, оказываемых организациями, осуществляющими регулируемые виды деятельности</t>
  </si>
  <si>
    <t>ФОТ</t>
  </si>
  <si>
    <t>Расходы на оплату труда</t>
  </si>
  <si>
    <t>Налоги</t>
  </si>
  <si>
    <t>Расшифровка по налогам и платежам</t>
  </si>
  <si>
    <t>Операционные (5.1)</t>
  </si>
  <si>
    <t>Определение операционных (подконтрольных) расходов на первый год долгосрочного периода регулирования (базовый уровень операционных расходов)</t>
  </si>
  <si>
    <t>Операционные (5.2)</t>
  </si>
  <si>
    <t>Расчет операционных (подконтрольных) расходов на каждый год долгосрочного периода регулирования</t>
  </si>
  <si>
    <t>Неподконтрольные (5.3)</t>
  </si>
  <si>
    <t>Реестр неподконтрольных расходов</t>
  </si>
  <si>
    <t>Ресурсы (5.4)</t>
  </si>
  <si>
    <t>Реестр расходов на приобретение энергетических ресурсов, холодной воды и теплоносителя</t>
  </si>
  <si>
    <t>Корр Факт</t>
  </si>
  <si>
    <t>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t>
  </si>
  <si>
    <t>Калькуляция (6.6)</t>
  </si>
  <si>
    <t>Расчет необходимой валовой выручки методом экономически обоснованных расходов</t>
  </si>
  <si>
    <t>Калькуляция (5.9)</t>
  </si>
  <si>
    <t>Расчет необходимой валовой выручки методом индексации установленных тарифов</t>
  </si>
  <si>
    <t>Удельные расходы (МСА)</t>
  </si>
  <si>
    <t>Расчет средних значений удельных расходов организаций, осуществляющих аналогичный регулируемый вид деятельности в сопоставимых условиях функционирования</t>
  </si>
  <si>
    <t>Базовый уровень (МСА)</t>
  </si>
  <si>
    <t>Расчет значений удельных расходов и базового уровня расходов организации</t>
  </si>
  <si>
    <t>Калькуляция (МСА)</t>
  </si>
  <si>
    <t>Расчет необходимой валовой выручки методом сравнения аналогов</t>
  </si>
  <si>
    <t>ТМ</t>
  </si>
  <si>
    <t>Тарифное меню</t>
  </si>
  <si>
    <t>ДПР</t>
  </si>
  <si>
    <t>Долгосрочные параметры регулирования тарифов</t>
  </si>
  <si>
    <t>Расположение</t>
  </si>
  <si>
    <t>Тип</t>
  </si>
  <si>
    <t>Комментарий</t>
  </si>
  <si>
    <t>tariffId</t>
  </si>
  <si>
    <t>vis_1</t>
  </si>
  <si>
    <t>blok_1</t>
  </si>
  <si>
    <t>blok_2</t>
  </si>
  <si>
    <t>ren_1</t>
  </si>
  <si>
    <t>del_2</t>
  </si>
  <si>
    <t>dyn_1</t>
  </si>
  <si>
    <t>dyn_2</t>
  </si>
  <si>
    <t>del_1</t>
  </si>
  <si>
    <t>Наименование субъекта Российской Федерации</t>
  </si>
  <si>
    <t>Кемеровская область</t>
  </si>
  <si>
    <t>Метод регулирования</t>
  </si>
  <si>
    <t>Метод индексации</t>
  </si>
  <si>
    <t>Период регулирования</t>
  </si>
  <si>
    <t>Первый год долгосрочного периода регулирования</t>
  </si>
  <si>
    <t>Период долгосрочной индексации (количество лет)</t>
  </si>
  <si>
    <t>Количество лет корректировки</t>
  </si>
  <si>
    <t>Экспертное заключение</t>
  </si>
  <si>
    <t>РЕГИОНАЛЬНАЯ ЭНЕРГЕТИЧЕСКАЯ КОМИССИЯ КУЗБАССА</t>
  </si>
  <si>
    <t>по результатам экспертизы предложения</t>
  </si>
  <si>
    <t>АО "СУЭК-Кузбасс"</t>
  </si>
  <si>
    <t>1. Сведения о регулируемой организации</t>
  </si>
  <si>
    <t>Полное наименование юридического лица (индивидуального предпринимателя) в соответствии с данными из ЕГРЮЛ/ЕГРИП</t>
  </si>
  <si>
    <t>Акционерное общество  "СУЭК-Кузбасс"</t>
  </si>
  <si>
    <t>Сокращенное наименование юридического лица (индивидуального предпринимателя) в соответствии с данными из ЕГРЮЛ/ЕГРИП</t>
  </si>
  <si>
    <t>Наименование (описание) обособленного подразделения</t>
  </si>
  <si>
    <t>ПЕ ТСХ</t>
  </si>
  <si>
    <t>Основной государственный регистрационный номер (ОГРН)</t>
  </si>
  <si>
    <t>1074212001368</t>
  </si>
  <si>
    <t>Идентификационный номер налогоплательщика (ИНН)</t>
  </si>
  <si>
    <t>4212024138</t>
  </si>
  <si>
    <t>Код причины постановки на учет (КПП)</t>
  </si>
  <si>
    <t>421201001</t>
  </si>
  <si>
    <t>Код по общероссийскому классификатору предприятию и организаций (ОКПО)</t>
  </si>
  <si>
    <t>80298858</t>
  </si>
  <si>
    <t>L2_7</t>
  </si>
  <si>
    <t>Организационно-правовая форма</t>
  </si>
  <si>
    <t>1 22 67 | Непубличные акционерные общества</t>
  </si>
  <si>
    <t>L2_8</t>
  </si>
  <si>
    <t>Юридический адрес</t>
  </si>
  <si>
    <t>Российская Федерация, 652507, Кемеровская область, г.Ленинск-Кузнецкий, ул. Васильева, 1</t>
  </si>
  <si>
    <t>L2_9</t>
  </si>
  <si>
    <t>Фактический адрес</t>
  </si>
  <si>
    <t>L2_10</t>
  </si>
  <si>
    <t>Телефон организации</t>
  </si>
  <si>
    <t>8(384)-56-93-001; 8(384)-56-95-739</t>
  </si>
  <si>
    <t>L2_11</t>
  </si>
  <si>
    <t>Адрес электронной почты юридического лица (индивидуального предпринимателя)</t>
  </si>
  <si>
    <t>suek-kuzbass@suek.ru; tsh@suek.ru</t>
  </si>
  <si>
    <t>L2_12</t>
  </si>
  <si>
    <t>Фамилия, имя, отчество руководителя</t>
  </si>
  <si>
    <t>Климов Виктор Викторович</t>
  </si>
  <si>
    <t>L2_13</t>
  </si>
  <si>
    <t>Должность руководителя</t>
  </si>
  <si>
    <t>Генеральный директор АО "СУЭК-Кузбасс",</t>
  </si>
  <si>
    <t>L2_14</t>
  </si>
  <si>
    <t>Официальный сайт в информационно-телекоммуникационной сети «Интернет»</t>
  </si>
  <si>
    <t>https://intranet.suek.ru</t>
  </si>
  <si>
    <t>L2_15</t>
  </si>
  <si>
    <t>Государственное и (или) муниципальное участие в юридическом лице</t>
  </si>
  <si>
    <t>Наличие</t>
  </si>
  <si>
    <t>нет</t>
  </si>
  <si>
    <t>L3_1</t>
  </si>
  <si>
    <t>Сведения о доле, %</t>
  </si>
  <si>
    <t>L3_2</t>
  </si>
  <si>
    <t>Преобладающий тип собственности в юридическом лице</t>
  </si>
  <si>
    <t>L3_3</t>
  </si>
  <si>
    <t>Наличие раздельного учёта затрат по регулируемым видам деятельности в сфере теплоснабжения</t>
  </si>
  <si>
    <t>да</t>
  </si>
  <si>
    <t>L4_1</t>
  </si>
  <si>
    <t>Система налогообложения</t>
  </si>
  <si>
    <t>ОСНО</t>
  </si>
  <si>
    <t>Является ли плательщиком налога на добавленную стоимость (далее - НДС)</t>
  </si>
  <si>
    <t>L4_2</t>
  </si>
  <si>
    <t>Является ли деятельность в сфере теплоснабжения профильным видом деятельности</t>
  </si>
  <si>
    <t>L4_3</t>
  </si>
  <si>
    <t>STATUS_ETO</t>
  </si>
  <si>
    <t xml:space="preserve">Наличие статуса единой теплоснабжающей организации (далее - ЕТО) </t>
  </si>
  <si>
    <t>L4_4</t>
  </si>
  <si>
    <t>URL-ссылка на документ, подтверждающий статус ЕТО</t>
  </si>
  <si>
    <t>×</t>
  </si>
  <si>
    <t>go</t>
  </si>
  <si>
    <t>HAS_DOC3</t>
  </si>
  <si>
    <t>Наличие программы в области энергосбережения и повышения энергетической эффективности</t>
  </si>
  <si>
    <t>L4_6</t>
  </si>
  <si>
    <t/>
  </si>
  <si>
    <t>Реквизиты решения</t>
  </si>
  <si>
    <t>Наименование</t>
  </si>
  <si>
    <t>Вид</t>
  </si>
  <si>
    <t>решение</t>
  </si>
  <si>
    <t>Номер (при наличии)</t>
  </si>
  <si>
    <t>Дата принятия</t>
  </si>
  <si>
    <t>URL-ссылка на документ</t>
  </si>
  <si>
    <t>et_2</t>
  </si>
  <si>
    <t>{                  _x000D_
         funcDyn: 'msgone',_x000D_
         blok: '',_x000D_
         wsCross: '',_x000D_
         linkFormula: '',_x000D_
         levelDyn: ''_x000D_
}</t>
  </si>
  <si>
    <t>Добавить</t>
  </si>
  <si>
    <t>HAS_DOC4</t>
  </si>
  <si>
    <t>Наличие закона субъекта Российской Федерации по льготным тарифам</t>
  </si>
  <si>
    <t>L4_9</t>
  </si>
  <si>
    <t>HAS_DOC5</t>
  </si>
  <si>
    <t>L4_10</t>
  </si>
  <si>
    <t>Дата начала реализации / действия инвестиционной программы</t>
  </si>
  <si>
    <t>Дата окончания реализации / действия инвестиционной программы</t>
  </si>
  <si>
    <t>HAS_DOC6</t>
  </si>
  <si>
    <t>L4_11</t>
  </si>
  <si>
    <t>HAS_DOC7</t>
  </si>
  <si>
    <t>L4_12</t>
  </si>
  <si>
    <t>Номер</t>
  </si>
  <si>
    <t>Дата начала реализации / действия концессионного соглашения</t>
  </si>
  <si>
    <t>Дата окончания реализации / действия концессионного соглашения</t>
  </si>
  <si>
    <t>Иные сведения</t>
  </si>
  <si>
    <t>L4_13</t>
  </si>
  <si>
    <t>L4_14</t>
  </si>
  <si>
    <t>Данные об ответственном исполнителе от организации</t>
  </si>
  <si>
    <t>Фамилия, имя, отчество исполнителя</t>
  </si>
  <si>
    <t>Дуреева Ольга Александровна</t>
  </si>
  <si>
    <t>L5_1</t>
  </si>
  <si>
    <t>Должность исполнителя</t>
  </si>
  <si>
    <t>Инженер - технолог</t>
  </si>
  <si>
    <t>L5_2</t>
  </si>
  <si>
    <t>Контактный телефон исполнителя</t>
  </si>
  <si>
    <t>8(3845) 695739</t>
  </si>
  <si>
    <t>L5_3</t>
  </si>
  <si>
    <t>Адрес электронной почты исполнителя</t>
  </si>
  <si>
    <t>DureevaOA@suek.ru</t>
  </si>
  <si>
    <t>L5_4</t>
  </si>
  <si>
    <t>Перечень нормативных правовых актов, использованных в процессе проведения экспертизы предложения об установлении тарифов:</t>
  </si>
  <si>
    <t>1. Гражданский кодекс Российской Федерации;</t>
  </si>
  <si>
    <t>2. Налоговый кодекс Российской Федерации;</t>
  </si>
  <si>
    <t>3. Федеральный закон от 17.08.1995 № 147-ФЗ "О естественных монополиях";</t>
  </si>
  <si>
    <t>4. Федеральный закон от 26.07.2006 № 135-ФЗ "О защите конкуренции";</t>
  </si>
  <si>
    <t xml:space="preserve">5. Федеральный закон от 27.07.2010 № 190-ФЗ «О теплоснабжении». </t>
  </si>
  <si>
    <t xml:space="preserve">6.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6. Федеральный закон от 27.07.2010 № 190-ФЗ «О теплоснабжении». </t>
  </si>
  <si>
    <t xml:space="preserve">7. Постановление Правительства Российской Федерации от 22.10.2012 № 1075 «О ценообразовании в сфере теплоснабжения». </t>
  </si>
  <si>
    <t>8. Постановление Правительства РФ от 05.05.2014 N 410 (ред. от 29.08.2022) "О порядке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 (вместе с "Правилами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t>
  </si>
  <si>
    <t>9. Приказ ФСТ России от 12.04.2013 № 91 «Об утверждении Единой системы классификации и раздельного учета затрат относительно видов деятельности теплоснабжающих организаций, теплосетевых организаций, а также Системы отчетности, представляемой в федеральный орган исполнительной власти в области государственного регулирования тарифов в сфере теплоснабжения, органы исполнительной власти субъектов Российской Федерации в области регулирования цен (тарифов), органы местного самоуправления поселений и городских округов».</t>
  </si>
  <si>
    <t xml:space="preserve">10. Регламент открытия дел об установлении регулируемых цен (тарифов) и отмене регулирования тарифов в сфере теплоснабжения, утвержденный приказом ФСТ России от 07.06.2013 № 163. </t>
  </si>
  <si>
    <t xml:space="preserve">11. Методические указания по расчету регулируемых цен (тарифов) в сфере теплоснабжения, утвержденные приказом ФСТ России от 13.06.2013 № 760-э (далее – Методические указания). </t>
  </si>
  <si>
    <t xml:space="preserve">12. Приказ Госстроя России от 22.03.1999 № 65 «Об утверждении Рекомендаций по нормированию труда работников энергетического хозяйства». </t>
  </si>
  <si>
    <t>13. Приказ Госстроя России от 12.10.1999 № 74 «Об утверждении нормативов численности руководителей, специалистов и служащих коммунальных теплоэнергетических предприятий».</t>
  </si>
  <si>
    <t>14. Федеральный закон "О концессионных соглашениях" от 21.07.2005 № 115-ФЗ</t>
  </si>
  <si>
    <t>15. Иные нормативные правовые акты Российской Федерации, субъекта Российской Федерации.</t>
  </si>
  <si>
    <t>2. Информация о рассмотрении дела об установлении тарифов</t>
  </si>
  <si>
    <t>Регулируется ли организация впервые</t>
  </si>
  <si>
    <t>L6_1</t>
  </si>
  <si>
    <t>Реквизиты решения, которым установлены действующие тарифы</t>
  </si>
  <si>
    <t>постановление</t>
  </si>
  <si>
    <t>L6_2</t>
  </si>
  <si>
    <t xml:space="preserve">378 </t>
  </si>
  <si>
    <t>L6_3</t>
  </si>
  <si>
    <t>L6_4</t>
  </si>
  <si>
    <t>et_1</t>
  </si>
  <si>
    <t>Теплоснабжение</t>
  </si>
  <si>
    <t>Номер тарифа (идентификатор)</t>
  </si>
  <si>
    <t>Вид регулируемых цен (тарифов) в сфере теплоснабжения</t>
  </si>
  <si>
    <t>Тарифы на теплоноситель</t>
  </si>
  <si>
    <t>Вид теплоносителя</t>
  </si>
  <si>
    <t>Тип тарифа</t>
  </si>
  <si>
    <t>одноставочный</t>
  </si>
  <si>
    <t>Вид(-ы) деятельности</t>
  </si>
  <si>
    <t>Производство теплоносителя</t>
  </si>
  <si>
    <t>Технологический процесс</t>
  </si>
  <si>
    <t>Производство</t>
  </si>
  <si>
    <t>Ссылка на систему теплоснабжения</t>
  </si>
  <si>
    <t>Дополнительный признак дифференциации тарифа</t>
  </si>
  <si>
    <t>Номер входящий</t>
  </si>
  <si>
    <t>Дата регистрации</t>
  </si>
  <si>
    <t>Дополнительные сведения</t>
  </si>
  <si>
    <t>Дата начала действия тарифа</t>
  </si>
  <si>
    <t>Метод регулирования, предложенный организацией</t>
  </si>
  <si>
    <t>1</t>
  </si>
  <si>
    <t>ТН.42.27820148.0001</t>
  </si>
  <si>
    <t>вода</t>
  </si>
  <si>
    <t>https://leninsk.kemobl.ru/infrastructure/gkh/aktualizatsiya-skhemy-teplosnabzheniya-na-2026-god/</t>
  </si>
  <si>
    <t>Не определено</t>
  </si>
  <si>
    <t>{                  _x000D_
         funcDyn: 'msgone',_x000D_
         blok: 'blok_1',_x000D_
         wsCross: 'Список территорий',_x000D_
         linkFormula: 'AB-AG',_x000D_
         levelDyn: ''_x000D_
}</t>
  </si>
  <si>
    <t>Добавить тариф</t>
  </si>
  <si>
    <t>Решение об открытии дела об установлении тарифов</t>
  </si>
  <si>
    <t>Номер дела об установлении тарифа</t>
  </si>
  <si>
    <t>РЭК/106-СУЭК-КУЗБАСС-2026</t>
  </si>
  <si>
    <t>L7_2</t>
  </si>
  <si>
    <t>ФИО уполномоченного по делу</t>
  </si>
  <si>
    <t>Ермак Наталья Валентиновна</t>
  </si>
  <si>
    <t>L7_3</t>
  </si>
  <si>
    <t>Должность уполномоченного по делу</t>
  </si>
  <si>
    <t>Начальник отдела ценообразования в сфере газоснабжения и теплоэнергетики</t>
  </si>
  <si>
    <t>L7_4</t>
  </si>
  <si>
    <t>Контактный телефон уполномоченного по делу</t>
  </si>
  <si>
    <t>8(3842) 36-67-47</t>
  </si>
  <si>
    <t>L7_5</t>
  </si>
  <si>
    <t>e-mail уполномоченного по делу</t>
  </si>
  <si>
    <t>env@recko.ru</t>
  </si>
  <si>
    <t>L7_6</t>
  </si>
  <si>
    <t>Добавить строку</t>
  </si>
  <si>
    <t>Выбранный метод регулирования</t>
  </si>
  <si>
    <t>Представленные документы и материалы достаточны и предложение регулируемой организации об установлении тарифов соответствует законодательству Российской Федерации</t>
  </si>
  <si>
    <t>Тариф корректируется только на период регулирования</t>
  </si>
  <si>
    <t>ren_2</t>
  </si>
  <si>
    <t>pok_js</t>
  </si>
  <si>
    <t>PJ_DYN</t>
  </si>
  <si>
    <t>PJ_NAME</t>
  </si>
  <si>
    <t>PJ_NAME_MO</t>
  </si>
  <si>
    <t>PJ_NAME_OKTMO</t>
  </si>
  <si>
    <t>dyn_add</t>
  </si>
  <si>
    <t>dyn_fill</t>
  </si>
  <si>
    <t>MR_NAME</t>
  </si>
  <si>
    <t>MO_NAME</t>
  </si>
  <si>
    <t>OKTMO</t>
  </si>
  <si>
    <t>PJ_TERR</t>
  </si>
  <si>
    <t>dyn_names</t>
  </si>
  <si>
    <t>Перечень муниципальных образований, на территории которых организация оказывает регулируемые виды деятельности, в отношении которых устанавливаются тарифы</t>
  </si>
  <si>
    <t>№ п/п</t>
  </si>
  <si>
    <t>Муниципальный район</t>
  </si>
  <si>
    <t>Муниципальное образование</t>
  </si>
  <si>
    <t>ОКТМО</t>
  </si>
  <si>
    <t xml:space="preserve">Тип муниципального образования </t>
  </si>
  <si>
    <t>P_TERR_PROPS</t>
  </si>
  <si>
    <t>DYN_MRMO</t>
  </si>
  <si>
    <t>{                  _x000D_
         funcDyn: 'mrmo',_x000D_
         blok: '',_x000D_
         wsCross: '',_x000D_
         linkFormula: '',_x000D_
         levelDyn: ''_x000D_
}</t>
  </si>
  <si>
    <t>Добавить территорию</t>
  </si>
  <si>
    <t>Ленинск-Кузнецкий муниципальный округ</t>
  </si>
  <si>
    <t>32514000</t>
  </si>
  <si>
    <t>{                  _x000D_
         funcDyn: 'msg1',_x000D_
         blok: 'blok_1',_x000D_
         wsCross: 'Список объектов',_x000D_
         linkFormula: 'AB-AB',_x000D_
         levelDyn: ''_x000D_
}</t>
  </si>
  <si>
    <t>PJ_NAME_EXP</t>
  </si>
  <si>
    <t>PJ_NAME_DOC_TYPE</t>
  </si>
  <si>
    <t>PJ_NAME_DOC_NUM</t>
  </si>
  <si>
    <t>PJ_NAME_DOC_DATE</t>
  </si>
  <si>
    <t>Принято органом регулирования</t>
  </si>
  <si>
    <t>Предложение организации</t>
  </si>
  <si>
    <t>PJ_OBJ</t>
  </si>
  <si>
    <t>Перечень объектов коммунальной инфраструктуры, эксплуатируемых организацией</t>
  </si>
  <si>
    <t>Объект коммунальной инфраструктуры</t>
  </si>
  <si>
    <t>Основание эксплуатации</t>
  </si>
  <si>
    <t>Вид документа</t>
  </si>
  <si>
    <t>Номер документа</t>
  </si>
  <si>
    <t>Дата документа</t>
  </si>
  <si>
    <t>Срок действия</t>
  </si>
  <si>
    <t>Наименование объекта</t>
  </si>
  <si>
    <t>адрес</t>
  </si>
  <si>
    <t>P_OBJ_PROPS</t>
  </si>
  <si>
    <t>DYN_OBJ</t>
  </si>
  <si>
    <t>{                  _x000D_
         funcDyn: 'obj',_x000D_
         blok: '',_x000D_
         wsCross: '',_x000D_
         linkFormula: '',_x000D_
         levelDyn: ''_x000D_
}</t>
  </si>
  <si>
    <t>Добавить объект</t>
  </si>
  <si>
    <t>котельная ш. Полысаевская</t>
  </si>
  <si>
    <t>г Полысаево, Токарева, 1</t>
  </si>
  <si>
    <t>собственность</t>
  </si>
  <si>
    <t>лицензия</t>
  </si>
  <si>
    <t>ВХ-68-002546</t>
  </si>
  <si>
    <t>23.12.2014</t>
  </si>
  <si>
    <t>{                  _x000D_
         funcDyn: 'msg1',_x000D_
         blok: 'blok_1',_x000D_
         wsCross: 'Расчет УЕ',_x000D_
         linkFormula: 'AB-AB',_x000D_
         levelDyn: ''_x000D_
}</t>
  </si>
  <si>
    <t>PJ_YEAR</t>
  </si>
  <si>
    <t>PJ_PF</t>
  </si>
  <si>
    <t>PJ_DOP</t>
  </si>
  <si>
    <t>Наименование показателя</t>
  </si>
  <si>
    <t>Единица измерения</t>
  </si>
  <si>
    <t>Комментарии</t>
  </si>
  <si>
    <t>YE</t>
  </si>
  <si>
    <t>L3</t>
  </si>
  <si>
    <t>Количество условных единиц для производства</t>
  </si>
  <si>
    <t>УЕ</t>
  </si>
  <si>
    <t>P_PROD_UE_COUNT</t>
  </si>
  <si>
    <t>M</t>
  </si>
  <si>
    <t>1.1</t>
  </si>
  <si>
    <t>Установленная тепловая мощность</t>
  </si>
  <si>
    <t>Гкал/час</t>
  </si>
  <si>
    <t>P_HEAT_POWER</t>
  </si>
  <si>
    <t>2</t>
  </si>
  <si>
    <t>Количество условных единиц для передачи</t>
  </si>
  <si>
    <t>P_TRANSF_UE_COUNT</t>
  </si>
  <si>
    <t>2.1</t>
  </si>
  <si>
    <t>Тепломагистраль</t>
  </si>
  <si>
    <t>P_HEAT_MAIN</t>
  </si>
  <si>
    <t>2.1.1</t>
  </si>
  <si>
    <t>Однотрубные</t>
  </si>
  <si>
    <t>P_SP</t>
  </si>
  <si>
    <t>Средний диаметр</t>
  </si>
  <si>
    <t>мм</t>
  </si>
  <si>
    <t>P_SP_AVER_DIAM</t>
  </si>
  <si>
    <t>Протяженность</t>
  </si>
  <si>
    <t>км</t>
  </si>
  <si>
    <t>P_SP_LENGTH</t>
  </si>
  <si>
    <t>2.1.2</t>
  </si>
  <si>
    <t>Двухтрубные</t>
  </si>
  <si>
    <t>P_DP</t>
  </si>
  <si>
    <t>P_DP_AVER_DIAM</t>
  </si>
  <si>
    <t>P_DP_LENGTH</t>
  </si>
  <si>
    <t>2.1.3</t>
  </si>
  <si>
    <t>Трехтрубные</t>
  </si>
  <si>
    <t>P_TP</t>
  </si>
  <si>
    <t>P_TP_AVER_DIAM</t>
  </si>
  <si>
    <t>P_TP_LENGTH</t>
  </si>
  <si>
    <t>2.1.4</t>
  </si>
  <si>
    <t>Четырехтрубные</t>
  </si>
  <si>
    <t>P_FP</t>
  </si>
  <si>
    <t>P_FP_AVER_DIAM</t>
  </si>
  <si>
    <t>P_FP_LENGTH</t>
  </si>
  <si>
    <t>2.2</t>
  </si>
  <si>
    <t>Тепловой узел на балансе организации, осуществляющей деятельность по передаче тепловой энергии, теплоносителя</t>
  </si>
  <si>
    <t>1 узел</t>
  </si>
  <si>
    <t>P_HEAT_UNIT</t>
  </si>
  <si>
    <t>2.3</t>
  </si>
  <si>
    <t>Подкачивающая насосная станция на балансе организации, осуществляющей деятельность по передаче тепловой энергии, теплоносителя</t>
  </si>
  <si>
    <t>1 станция</t>
  </si>
  <si>
    <t>P_PUMP_STATION</t>
  </si>
  <si>
    <t>2.4</t>
  </si>
  <si>
    <t>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t>
  </si>
  <si>
    <t>P_CALC_HEAT_POWER</t>
  </si>
  <si>
    <t>{                  _x000D_
         funcDyn: 'msg1',_x000D_
         blok: 'blok_1',_x000D_
         wsCross: 'Сценарии',_x000D_
         linkFormula: 'AB-AB',_x000D_
         levelDyn: ''_x000D_
}</t>
  </si>
  <si>
    <t>checkUnique</t>
  </si>
  <si>
    <t>Наименование параметра</t>
  </si>
  <si>
    <t>Ставка НДС</t>
  </si>
  <si>
    <t>%</t>
  </si>
  <si>
    <t>Индексы</t>
  </si>
  <si>
    <t>ИОР</t>
  </si>
  <si>
    <t>L1_1</t>
  </si>
  <si>
    <t>Индекс эффективности операционных расходов</t>
  </si>
  <si>
    <t>P_IND_1</t>
  </si>
  <si>
    <t>L1_2</t>
  </si>
  <si>
    <t>Индекс эффективности операционных расходов для концессий (при наличии)</t>
  </si>
  <si>
    <t>2.0</t>
  </si>
  <si>
    <t>P_IND_2</t>
  </si>
  <si>
    <t>DYN_INDEX</t>
  </si>
  <si>
    <t>{                  _x000D_
         funcDyn: 'msg',_x000D_
         blok: '',_x000D_
         wsCross: '',_x000D_
         linkFormula: '',_x000D_
         levelDyn: '1'_x000D_
}</t>
  </si>
  <si>
    <t>ИПЦ</t>
  </si>
  <si>
    <t>L1_3</t>
  </si>
  <si>
    <t>Индекс потребительских цен</t>
  </si>
  <si>
    <t>P_IND_CONS_PRICE</t>
  </si>
  <si>
    <t>L1_4</t>
  </si>
  <si>
    <t>Индекс изменения цен на электроэнергию</t>
  </si>
  <si>
    <t>P_IND_PRICE_CNANGE</t>
  </si>
  <si>
    <t>L1_5</t>
  </si>
  <si>
    <t>Индекс изменения размера платы граждан за коммунальные услуги</t>
  </si>
  <si>
    <t>P_IND_PAYMENT</t>
  </si>
  <si>
    <t>L1_6</t>
  </si>
  <si>
    <t>Индекс изменения цен на природный газ</t>
  </si>
  <si>
    <t>P_IND_GAS</t>
  </si>
  <si>
    <t>L1_7</t>
  </si>
  <si>
    <t>Индекс изменения цен на снабженческо-сбытовую надбавку</t>
  </si>
  <si>
    <t>P_IND_SUPPLY</t>
  </si>
  <si>
    <t>L1_8</t>
  </si>
  <si>
    <t>Индекс изменения цен на транспортировку газа</t>
  </si>
  <si>
    <t>P_IND_GAS_TRANSP</t>
  </si>
  <si>
    <t>L1_9</t>
  </si>
  <si>
    <t>Расчетная теплота сгорания 1 куб.м. природного газа</t>
  </si>
  <si>
    <t>Ккал/м3</t>
  </si>
  <si>
    <t>P_IND_BURN_GAS</t>
  </si>
  <si>
    <t>L1_10</t>
  </si>
  <si>
    <t>Оптовая цена на природный газ</t>
  </si>
  <si>
    <t>руб./тыс.м3</t>
  </si>
  <si>
    <t>P_IND_WHOLESALE</t>
  </si>
  <si>
    <t>L1_11</t>
  </si>
  <si>
    <t>Теплота сгорания 1 кг условного топлива</t>
  </si>
  <si>
    <t>Ккал/кг</t>
  </si>
  <si>
    <t>P_IND_BURN_OTHER</t>
  </si>
  <si>
    <t>L1_12</t>
  </si>
  <si>
    <t>Индекс изменения цен на уголь</t>
  </si>
  <si>
    <t>P_IND_COAL_PRICE</t>
  </si>
  <si>
    <t>L1_13</t>
  </si>
  <si>
    <t>Индекс изменения цен на мазут</t>
  </si>
  <si>
    <t>P_IND_MAZUT_PRICE</t>
  </si>
  <si>
    <t>L1_14</t>
  </si>
  <si>
    <t>Индекс изменения цен на дизельное топливо</t>
  </si>
  <si>
    <t>P_IND_DIESEL_PRICE</t>
  </si>
  <si>
    <t>L1_15</t>
  </si>
  <si>
    <t xml:space="preserve">Индекс изменения цен на прочее топливо </t>
  </si>
  <si>
    <t>P_IND_OTHER_PRICE</t>
  </si>
  <si>
    <t>ИКА</t>
  </si>
  <si>
    <t>L1_16</t>
  </si>
  <si>
    <t>Индекс изменения количества активов</t>
  </si>
  <si>
    <t>P_IND_ACTIVE</t>
  </si>
  <si>
    <t>КЭ</t>
  </si>
  <si>
    <t>L1_17</t>
  </si>
  <si>
    <t>Коэффициент эластичности затрат по росту _x000D_
активов </t>
  </si>
  <si>
    <t>P_KOEF_ACTIVE</t>
  </si>
  <si>
    <t>18</t>
  </si>
  <si>
    <t>Налоговые ставки</t>
  </si>
  <si>
    <t>СВФОТ</t>
  </si>
  <si>
    <t>L2_1</t>
  </si>
  <si>
    <t>18.1</t>
  </si>
  <si>
    <t>Ставка страховых взносов с ФОТ</t>
  </si>
  <si>
    <t>P_TAX_FOT</t>
  </si>
  <si>
    <t>L2_2</t>
  </si>
  <si>
    <t>18.2</t>
  </si>
  <si>
    <t>Ставки налога на имущество</t>
  </si>
  <si>
    <t>P_TAX_PROPERTY</t>
  </si>
  <si>
    <t>L2_3</t>
  </si>
  <si>
    <t>18.3</t>
  </si>
  <si>
    <t>Ставка налога при УСН</t>
  </si>
  <si>
    <t>P_TAX_USN</t>
  </si>
  <si>
    <t>L2_4</t>
  </si>
  <si>
    <t>18.4</t>
  </si>
  <si>
    <t>Ставка налога на прибыль</t>
  </si>
  <si>
    <t>P_TAX_INCOME</t>
  </si>
  <si>
    <t>{                  _x000D_
         funcDyn: 'msg1',_x000D_
         blok: 'blok_1',_x000D_
         wsCross: 'Сценарии (МСА)',_x000D_
         linkFormula: 'AB-AB',_x000D_
         levelDyn: ''_x000D_
}</t>
  </si>
  <si>
    <t>Пояснение</t>
  </si>
  <si>
    <r>
      <t>Индексы потребительских цен, определенные до начала долгосрочного периода и учтенные в расчете НВВ</t>
    </r>
    <r>
      <rPr>
        <vertAlign val="superscript"/>
        <sz val="9"/>
        <color theme="1"/>
        <rFont val="Tahoma"/>
        <family val="2"/>
        <charset val="204"/>
      </rPr>
      <t>Д</t>
    </r>
  </si>
  <si>
    <t>к предыдущему году</t>
  </si>
  <si>
    <t>P_IND_PRICE_LAST_YEAR</t>
  </si>
  <si>
    <t>нарастающим итогом</t>
  </si>
  <si>
    <t>P_IND_PRICE_TOTAL</t>
  </si>
  <si>
    <t>Уточненные индексы потребительских цен факт (прогноз)</t>
  </si>
  <si>
    <t>P_IND_PRICE_EXACT_LAST_YEAR</t>
  </si>
  <si>
    <t>P_IND_PRICE_EXACT_TOTAL</t>
  </si>
  <si>
    <t>Индекс эффективности расходов</t>
  </si>
  <si>
    <t>P_IND_EXPENSES</t>
  </si>
  <si>
    <t>Индексы потребительских цен, определенные до начала долгосрочного периода и учтенные в расчете НВВД</t>
  </si>
  <si>
    <t>{                  _x000D_
         funcDyn: 'msg1',_x000D_
         blok: 'blok_1',_x000D_
         wsCross: 'Баланс ТН',_x000D_
         linkFormula: 'AB-AB',_x000D_
         levelDyn: ''_x000D_
}</t>
  </si>
  <si>
    <t>Расчет полезного отпуска теплоносителя</t>
  </si>
  <si>
    <t>Баланс теплоснабжения</t>
  </si>
  <si>
    <t>Ссылка на правовую норму (основание для принятия показателя в расчет тарифа)</t>
  </si>
  <si>
    <t>Факт по данным организации</t>
  </si>
  <si>
    <t>Факт, принятый органом регулирования</t>
  </si>
  <si>
    <t>тн_произв</t>
  </si>
  <si>
    <t>Производство теплоносителя (всего), в том числе</t>
  </si>
  <si>
    <t>тыс. куб. м</t>
  </si>
  <si>
    <t>PJ_TN_TOTAL</t>
  </si>
  <si>
    <t>теплоноситель - вода</t>
  </si>
  <si>
    <t>PJ_TN_WATER</t>
  </si>
  <si>
    <t>ТЭЦ 25 МВт и более</t>
  </si>
  <si>
    <t>PJ_WATER_TEC_ABOVE_25</t>
  </si>
  <si>
    <t>ТЭЦ менее 25 МВт</t>
  </si>
  <si>
    <t>PJ_WATER_TEC_BELOW_25</t>
  </si>
  <si>
    <t>котельные</t>
  </si>
  <si>
    <t>PJ_WATER_BOILER</t>
  </si>
  <si>
    <t>электробойлерные</t>
  </si>
  <si>
    <t>PJ_WATER_ELECTRO_BOILER</t>
  </si>
  <si>
    <t>1.2</t>
  </si>
  <si>
    <t>теплоноситель - пар</t>
  </si>
  <si>
    <t>PJ_TN_STEAM</t>
  </si>
  <si>
    <t>PJ_STEAM_TEC_ABOVE_25</t>
  </si>
  <si>
    <t>PJ_STEAM_TEC_BELOW_25</t>
  </si>
  <si>
    <t>PJ_STEAM_BOILER</t>
  </si>
  <si>
    <t>PJ_STEAM_ELECTRO_BOILER</t>
  </si>
  <si>
    <t>тн_покуп</t>
  </si>
  <si>
    <t>Покупной теплоноситель, в том числе</t>
  </si>
  <si>
    <t>PJ_PURCH_TN</t>
  </si>
  <si>
    <t>PJ_PURCH_TN_WATER</t>
  </si>
  <si>
    <t>2.1.0</t>
  </si>
  <si>
    <t>DYN_WATER</t>
  </si>
  <si>
    <t>PJ_PURCH_TN_STEAM</t>
  </si>
  <si>
    <t>2.2.0</t>
  </si>
  <si>
    <t>DYN_STEAM</t>
  </si>
  <si>
    <t>{                  _x000D_
         funcDyn: 'msg',_x000D_
         blok: '',_x000D_
         wsCross: '',_x000D_
         linkFormula: '',_x000D_
         levelDyn: '2'_x000D_
}</t>
  </si>
  <si>
    <t>3</t>
  </si>
  <si>
    <t>Расход теплоносителя на хозяйственные нужды</t>
  </si>
  <si>
    <t>PJ_TN_HOZ</t>
  </si>
  <si>
    <t>3.1</t>
  </si>
  <si>
    <t>PJ_TN_HOZ_WATER</t>
  </si>
  <si>
    <t>3.2</t>
  </si>
  <si>
    <t>PJ_TN_HOZ_STEAM</t>
  </si>
  <si>
    <t>4</t>
  </si>
  <si>
    <t>Отпуск теплоносителя в сеть</t>
  </si>
  <si>
    <t>PJ_TN_RELEASE</t>
  </si>
  <si>
    <t>4.1</t>
  </si>
  <si>
    <t>PJ_TN_RELEASE_WATER</t>
  </si>
  <si>
    <t>4.2</t>
  </si>
  <si>
    <t>PJ_TN_RELEASE_STEAM</t>
  </si>
  <si>
    <t>5</t>
  </si>
  <si>
    <t>Нормативные потери при передаче теплоносителя</t>
  </si>
  <si>
    <t>PJ_TN_LOSS</t>
  </si>
  <si>
    <t>5.1</t>
  </si>
  <si>
    <t>PJ_TN_LOSS_WATER</t>
  </si>
  <si>
    <t>5.2</t>
  </si>
  <si>
    <t>PJ_TN_LOSS_STEAM</t>
  </si>
  <si>
    <t>6</t>
  </si>
  <si>
    <t>Объем возвращенного теплоносителя</t>
  </si>
  <si>
    <t>PJ_TN_RETURN</t>
  </si>
  <si>
    <t>6.1</t>
  </si>
  <si>
    <t>PJ_TN_RETURN_WATER</t>
  </si>
  <si>
    <t>6.2</t>
  </si>
  <si>
    <t>PJ_TN_RETURN_STEAM</t>
  </si>
  <si>
    <t>тн_отпуск</t>
  </si>
  <si>
    <t>7</t>
  </si>
  <si>
    <t>Полезный отпуск теплоносителя потребителям</t>
  </si>
  <si>
    <t>PJ_TN_USEFULL</t>
  </si>
  <si>
    <t>7.1</t>
  </si>
  <si>
    <t>PJ_TN_USEFULL_WATER</t>
  </si>
  <si>
    <t>7.2</t>
  </si>
  <si>
    <t>PJ_TN_USEFULL_STEAM</t>
  </si>
  <si>
    <t>{                  _x000D_
         funcDyn: 'msg1',_x000D_
         blok: 'blok_1',_x000D_
         wsCross: 'Топливо 4.4',_x000D_
         linkFormula: 'AB-AB',_x000D_
         levelDyn: ''_x000D_
}</t>
  </si>
  <si>
    <t>Комментарии и обоснования к разделу</t>
  </si>
  <si>
    <t>Добавить комментарий</t>
  </si>
  <si>
    <t>vis_a</t>
  </si>
  <si>
    <t>vis_b</t>
  </si>
  <si>
    <t>PJ_NAME_DOP</t>
  </si>
  <si>
    <t>Показатель</t>
  </si>
  <si>
    <t>Описание показателя</t>
  </si>
  <si>
    <t>N п/п</t>
  </si>
  <si>
    <t>Показатели</t>
  </si>
  <si>
    <t>Год</t>
  </si>
  <si>
    <t>1 полугодие</t>
  </si>
  <si>
    <t>2 полугодие</t>
  </si>
  <si>
    <t>Комби</t>
  </si>
  <si>
    <t>отпуск ЭЭ или ТЭ</t>
  </si>
  <si>
    <t>Выработка электроэнергии, всего</t>
  </si>
  <si>
    <t>тыс.кВтч</t>
  </si>
  <si>
    <t>P_EE_GEN</t>
  </si>
  <si>
    <t>Расход электроэнергии на собственные нужды:</t>
  </si>
  <si>
    <t>P_EE_USE</t>
  </si>
  <si>
    <t>на производство электроэнергии</t>
  </si>
  <si>
    <t>P_EE_USE_PROD</t>
  </si>
  <si>
    <t>то же в % к выработке электроэнергии</t>
  </si>
  <si>
    <t>P_EE_USE_PROD_PERCENT</t>
  </si>
  <si>
    <t>на производство тепловой энергии</t>
  </si>
  <si>
    <t>P_EE_USE_HEAT</t>
  </si>
  <si>
    <t>2.2.1</t>
  </si>
  <si>
    <t>то же в кВтч/Гкал</t>
  </si>
  <si>
    <t>кВтч/Гкал</t>
  </si>
  <si>
    <t>P_EE_USE_KWT_GKAL</t>
  </si>
  <si>
    <t>Отпуск электроэнергии с шин</t>
  </si>
  <si>
    <t>P_EE_OUTPUT</t>
  </si>
  <si>
    <t>Расход электроэнергии на производственные и хозяйственные нужды</t>
  </si>
  <si>
    <t>P_EE_USE_HOZ</t>
  </si>
  <si>
    <t>то же в % к отпуску с шин</t>
  </si>
  <si>
    <t>P_EE_USE_HOZ_PERCENT</t>
  </si>
  <si>
    <t>Расход электроэнергии на потери в трансформаторах</t>
  </si>
  <si>
    <t>P_EE_USE_LOSS</t>
  </si>
  <si>
    <t>P_EE_USE_LOSS_PERCENT</t>
  </si>
  <si>
    <t>Полезный отпуск электроэнергии в сеть</t>
  </si>
  <si>
    <t>P_EE_RELEASE</t>
  </si>
  <si>
    <t>Отпуск тепловой энергии, поставляемой с коллекторов источника тепловой энергии</t>
  </si>
  <si>
    <t>Гкал</t>
  </si>
  <si>
    <t>P_HEAT_RELEASE_COLL</t>
  </si>
  <si>
    <t>Расход теплоэнергии на хозяйственные нужды:</t>
  </si>
  <si>
    <t>P_HEAT_USE_HOZ</t>
  </si>
  <si>
    <t>8.1</t>
  </si>
  <si>
    <t>то же в % к отпуску теплоэнергии</t>
  </si>
  <si>
    <t>P_HEAT_USE_HOZ_PERCENT</t>
  </si>
  <si>
    <t>Отпуск тепловой энергии от источника тепловой энергии (полезный отпуск)</t>
  </si>
  <si>
    <t>P_HEAT_RELEASE</t>
  </si>
  <si>
    <t>P_EE_OUTPUT_10</t>
  </si>
  <si>
    <t>Нормативный удельный расход условного топлива на производство электроэнергии</t>
  </si>
  <si>
    <t>г/кВтч</t>
  </si>
  <si>
    <t>P_STANDART_FUEL_CONS_EE</t>
  </si>
  <si>
    <t>Расход условного топлива на производство электроэнергии</t>
  </si>
  <si>
    <t>тут</t>
  </si>
  <si>
    <t>P_FUEL_CONS_EE</t>
  </si>
  <si>
    <t>P_HEAT_RELEASE_COLL_13</t>
  </si>
  <si>
    <t>Нормативный удельный расход условного топлива на производство тепловой энергии</t>
  </si>
  <si>
    <t>кг.у.т./Гкал</t>
  </si>
  <si>
    <t>P_STANDART_FUEL_CONS_HEAT</t>
  </si>
  <si>
    <t>Объемы топлива</t>
  </si>
  <si>
    <t>Итого расход условного топлива на производство тепловой энергии</t>
  </si>
  <si>
    <t>P_FUEL_CONS_HEAT</t>
  </si>
  <si>
    <t>Расход т у.т., всего</t>
  </si>
  <si>
    <t>P_FUEL_UT</t>
  </si>
  <si>
    <t>Удельный вес расхода топлива на производство тепловой энергии (п.15/п.16)</t>
  </si>
  <si>
    <t>P_FUEL_MASS</t>
  </si>
  <si>
    <t>Расход условного топлива</t>
  </si>
  <si>
    <t>P_FUEL_UT_USE</t>
  </si>
  <si>
    <t>18.0</t>
  </si>
  <si>
    <t>P_FUEL_PROD</t>
  </si>
  <si>
    <t>P_FUEL_DYN</t>
  </si>
  <si>
    <t>DYN_FUEL</t>
  </si>
  <si>
    <t>Доля</t>
  </si>
  <si>
    <t>P_FUEL_PART</t>
  </si>
  <si>
    <t>19.0</t>
  </si>
  <si>
    <t>Переводной коэффициент</t>
  </si>
  <si>
    <t>P_CONVERS_KOEF</t>
  </si>
  <si>
    <t>20.0</t>
  </si>
  <si>
    <t>Расход натурального топлива</t>
  </si>
  <si>
    <t>P_NAT_FUEL_CONS</t>
  </si>
  <si>
    <t>21.0</t>
  </si>
  <si>
    <t>Покупка</t>
  </si>
  <si>
    <t>Индекс роста цен натурального топлива</t>
  </si>
  <si>
    <t>P_NAT_FUEL_PRICE_IND</t>
  </si>
  <si>
    <t>22.0</t>
  </si>
  <si>
    <t>Цена натурального топлива</t>
  </si>
  <si>
    <t>P_NAT_FUEL_PRICE</t>
  </si>
  <si>
    <t>23.0</t>
  </si>
  <si>
    <t>Стоимость натурального топлива</t>
  </si>
  <si>
    <t>тыс.руб.</t>
  </si>
  <si>
    <t>P_NAT_FUEL_SUM</t>
  </si>
  <si>
    <t>P_NAT_FUEL_SUM_PART</t>
  </si>
  <si>
    <t>24.0</t>
  </si>
  <si>
    <t>Стоимость натурального топлива на производство тепловой энергии по видам топлива</t>
  </si>
  <si>
    <t>P_NAT_FUEL_SUM_BY_TYPE</t>
  </si>
  <si>
    <t>25.0</t>
  </si>
  <si>
    <t>Ж/д или ГРО</t>
  </si>
  <si>
    <t>Индекс роста тарифа ж/д перевозки (для газа - тарифа ГРО)</t>
  </si>
  <si>
    <t>P_IND_RAIL_TRANSP</t>
  </si>
  <si>
    <t>26.0</t>
  </si>
  <si>
    <t>Тариф ж/д перевозки (для газа - тариф ГРО)</t>
  </si>
  <si>
    <t>P_RAIL_TRANSP_TARIFF</t>
  </si>
  <si>
    <t>27.0</t>
  </si>
  <si>
    <t>Стоимость ж/д перевозки (для газа - ГРО)</t>
  </si>
  <si>
    <t>P_RAIL_TRANSP_SUM</t>
  </si>
  <si>
    <t>P_RAIL_TRANSP_SUM_DOP</t>
  </si>
  <si>
    <t>28.0</t>
  </si>
  <si>
    <t>Стоимость ж/д перевозки (для газа - ГРО) на производство тепловой энергии по видам топлива</t>
  </si>
  <si>
    <t>P_RAIL_TRANSP_SUM_BY_FUEL</t>
  </si>
  <si>
    <t>29.0</t>
  </si>
  <si>
    <t>Авто или ССУ</t>
  </si>
  <si>
    <t>30</t>
  </si>
  <si>
    <t>Индекс роста тарифа автомобильной перевозки (для газа - тарифа ССУ)</t>
  </si>
  <si>
    <t>P_IND_CAR_TRANSP</t>
  </si>
  <si>
    <t>30.0</t>
  </si>
  <si>
    <t>31</t>
  </si>
  <si>
    <t>Тариф автомобильной перевозки (для газа - тариф ССУ)</t>
  </si>
  <si>
    <t>P_CAR_TRANSP_TARIFF</t>
  </si>
  <si>
    <t>31.0</t>
  </si>
  <si>
    <t>32</t>
  </si>
  <si>
    <t>Стоимость автомобильной перевозки (для газа - ПССУ)</t>
  </si>
  <si>
    <t>P_CAR_TRANSP_SUM</t>
  </si>
  <si>
    <t>P_CAR_TRANSP_SUM_DOP</t>
  </si>
  <si>
    <t>32.0</t>
  </si>
  <si>
    <t>33</t>
  </si>
  <si>
    <t>Стоимость автомобильной перевозки (для газа - ПССУ) на производство тепловой энергии по видам топлива</t>
  </si>
  <si>
    <t>P_CAR_TRANSP_SUM_BY_FUEL</t>
  </si>
  <si>
    <t>33.0</t>
  </si>
  <si>
    <t>Иные виды или спецнадбавка</t>
  </si>
  <si>
    <t>34</t>
  </si>
  <si>
    <t>Индекс роста тарифа - иные виды транспортировки (для газа - спецнадбавка)</t>
  </si>
  <si>
    <t>P_IND_OTHER_TRANSP</t>
  </si>
  <si>
    <t>34.0</t>
  </si>
  <si>
    <t>35</t>
  </si>
  <si>
    <t>Тариф - иные виды транспортировки (для газа - спецнадбавка)</t>
  </si>
  <si>
    <t>P_OTHER_TRANSP_TARIFF</t>
  </si>
  <si>
    <t>35.0</t>
  </si>
  <si>
    <t>36</t>
  </si>
  <si>
    <t>Стоимость - иные виды транспортировки (для газа - спецнадбавка)</t>
  </si>
  <si>
    <t>P_OTHER_TRANSP_SUM</t>
  </si>
  <si>
    <t>P_OTHER_TRANSP_SUM_DOP</t>
  </si>
  <si>
    <t>36.0</t>
  </si>
  <si>
    <t>37</t>
  </si>
  <si>
    <t>Стоимость - иные виды транспортировки (для газа - спецнадбавка) на производство тепловой энергии по видам топлива</t>
  </si>
  <si>
    <t>P_OTHER_TRANSP_SUM_BY_FUEL</t>
  </si>
  <si>
    <t>37.0</t>
  </si>
  <si>
    <t>Хранение</t>
  </si>
  <si>
    <t>38</t>
  </si>
  <si>
    <t>Стоимость - хранение</t>
  </si>
  <si>
    <t>P_STORAGE_SUM</t>
  </si>
  <si>
    <t>P_STORAGE_SUM_DOP</t>
  </si>
  <si>
    <t>38.0</t>
  </si>
  <si>
    <t>39</t>
  </si>
  <si>
    <t>Стоимость - хранение на производство тепловой энергии по видам топлива</t>
  </si>
  <si>
    <t>P_STORAGE_SUM_BY_FUEL</t>
  </si>
  <si>
    <t>39.0</t>
  </si>
  <si>
    <t>Итого</t>
  </si>
  <si>
    <t>40</t>
  </si>
  <si>
    <t>Стоимость натурального топлива с учетом перевозки</t>
  </si>
  <si>
    <t>P_NAT_FUEL_SUM_TOTAL</t>
  </si>
  <si>
    <t>P_HEAT_SUM_TOTAL</t>
  </si>
  <si>
    <t>40.0.1</t>
  </si>
  <si>
    <t>P_HEAT_WATER_TOTAL</t>
  </si>
  <si>
    <t>40.0.2</t>
  </si>
  <si>
    <t>P_HEAT_STEAM_TOTAL</t>
  </si>
  <si>
    <t>40.0</t>
  </si>
  <si>
    <t>P_FUEL_TOTAL</t>
  </si>
  <si>
    <t>41</t>
  </si>
  <si>
    <t>Цена условного топлива с учетом перевозки</t>
  </si>
  <si>
    <t>руб./тут</t>
  </si>
  <si>
    <t>P_UT_PRICE_TOTAL</t>
  </si>
  <si>
    <t>P_UT_PRICE_TOTAL_DOP</t>
  </si>
  <si>
    <t>41.0</t>
  </si>
  <si>
    <t>42</t>
  </si>
  <si>
    <t>Цена натурального топлива с учетом перевозки</t>
  </si>
  <si>
    <t>P_NAT_FUEL_PRICE_TOTAL</t>
  </si>
  <si>
    <t>42.0</t>
  </si>
  <si>
    <t>43</t>
  </si>
  <si>
    <t>Топливная составляющая тарифа</t>
  </si>
  <si>
    <t>руб./Гкал</t>
  </si>
  <si>
    <t>P_FUEL_COMPON_TOTAL</t>
  </si>
  <si>
    <t>{                  _x000D_
         funcDyn: 'msg1',_x000D_
         blok: 'blok_1',_x000D_
         wsCross: 'ЭнергоРесурсы',_x000D_
         linkFormula: 'AB-AB',_x000D_
         levelDyn: ''_x000D_
}</t>
  </si>
  <si>
    <t>Расходы на прочие покупаемые энергетические ресурсы у организаций-поставщиков</t>
  </si>
  <si>
    <t>ИТОГО_ЭЭ</t>
  </si>
  <si>
    <t>zatr</t>
  </si>
  <si>
    <t>Расходы на электрическую энергию</t>
  </si>
  <si>
    <t>P_EE_TOTAL</t>
  </si>
  <si>
    <t>Объём покупаемой электроэнергии всего</t>
  </si>
  <si>
    <t>P_EE_VOL_TOTAL</t>
  </si>
  <si>
    <t>Отпуск теплоносителя</t>
  </si>
  <si>
    <t>1.3</t>
  </si>
  <si>
    <t>Средний (расчетный) тариф</t>
  </si>
  <si>
    <t>руб./кВтч</t>
  </si>
  <si>
    <t>P_AVERAGE_TARIFF</t>
  </si>
  <si>
    <t>1.4</t>
  </si>
  <si>
    <t>Удельный расход электроэнергии</t>
  </si>
  <si>
    <t>кВтч/куб. м</t>
  </si>
  <si>
    <t>Одноставочный тариф</t>
  </si>
  <si>
    <t>P_EE_MONEY</t>
  </si>
  <si>
    <t>DYN_SINGLE</t>
  </si>
  <si>
    <t>Цена ресурса</t>
  </si>
  <si>
    <t>руб/кВтч</t>
  </si>
  <si>
    <t>P_EE_PRICE</t>
  </si>
  <si>
    <t>Объём покупной электроэнергии</t>
  </si>
  <si>
    <t>P_EE_VOL</t>
  </si>
  <si>
    <t>{                  _x000D_
         funcDyn: 'msg',_x000D_
         blok: '',_x000D_
         wsCross: '',_x000D_
         linkFormula: '',_x000D_
         levelDyn: 1_x000D_
}</t>
  </si>
  <si>
    <t>Двухставочный тариф</t>
  </si>
  <si>
    <t>P_EE_MONEY_TOTAL</t>
  </si>
  <si>
    <t>DYN_DOUBLE</t>
  </si>
  <si>
    <t>Расходы на электроэнергию</t>
  </si>
  <si>
    <t>Расходы на электрическую мощность</t>
  </si>
  <si>
    <t xml:space="preserve">тыс.руб. </t>
  </si>
  <si>
    <t>P_EE_POWER_MONEY</t>
  </si>
  <si>
    <t>Объём покупной мощности</t>
  </si>
  <si>
    <t>МВт в мес.</t>
  </si>
  <si>
    <t>P_EE_POWER_VOL</t>
  </si>
  <si>
    <t>{                  _x000D_
         funcDyn: 'msg',_x000D_
         blok: '',_x000D_
         wsCross: '',_x000D_
         linkFormula: '',_x000D_
         levelDyn: 2_x000D_
}</t>
  </si>
  <si>
    <t xml:space="preserve">Добавить </t>
  </si>
  <si>
    <t>ИТОГО_ТЭ</t>
  </si>
  <si>
    <t>Расходы на покупную тепловую энергию</t>
  </si>
  <si>
    <t>P_HEAT_TOTAL</t>
  </si>
  <si>
    <t>топл_сост</t>
  </si>
  <si>
    <t>двухставочный</t>
  </si>
  <si>
    <t xml:space="preserve"> </t>
  </si>
  <si>
    <t>в т.ч. Топливная составляющая</t>
  </si>
  <si>
    <t>P_HEAT_TOTAL_COMP</t>
  </si>
  <si>
    <t>Объём покупаемой тепловой энергии всего</t>
  </si>
  <si>
    <t>P_HEAT_VOL_TOTAL</t>
  </si>
  <si>
    <t>руб/Гкал</t>
  </si>
  <si>
    <t>P_HEAT_AVG_TARIFF</t>
  </si>
  <si>
    <t>P_HEAT_MONEY</t>
  </si>
  <si>
    <t>DYN_SINGLE_ORG</t>
  </si>
  <si>
    <t>P_HEAT_MONEY_COMP</t>
  </si>
  <si>
    <t>P_HEAT_PRICE</t>
  </si>
  <si>
    <t>Объём тепловой энергии</t>
  </si>
  <si>
    <t>P_HEAT_VOL</t>
  </si>
  <si>
    <t>{                  _x000D_
         funcDyn: 'org',_x000D_
         blok: '',_x000D_
         wsCross: '',_x000D_
         linkFormula: '',_x000D_
         levelDyn: 3,_x000D_
         sphere: 'TE'_x000D_
}</t>
  </si>
  <si>
    <t>Добавить поставщика</t>
  </si>
  <si>
    <t>DYN_DOUBLE_ORG</t>
  </si>
  <si>
    <t>Расходы на тепловую энергию</t>
  </si>
  <si>
    <t>P_TE_MONEY</t>
  </si>
  <si>
    <t>P_TE_VOL</t>
  </si>
  <si>
    <t>Расходы на тепловую мощность</t>
  </si>
  <si>
    <t>P_TM_MONEY</t>
  </si>
  <si>
    <t>Объем тепловой мощности</t>
  </si>
  <si>
    <t>Гкал/ч</t>
  </si>
  <si>
    <t>P_TM_VOL</t>
  </si>
  <si>
    <t>{                  _x000D_
         funcDyn: 'org',_x000D_
         blok: '',_x000D_
         wsCross: '',_x000D_
         linkFormula: '',_x000D_
         levelDyn: 4,_x000D_
         sphere: 'TE'_x000D_
}</t>
  </si>
  <si>
    <t>{                  _x000D_
         funcDyn: 'msg1',_x000D_
         blok: 'blok_1',_x000D_
         wsCross: 'ХВС, ТН',_x000D_
         linkFormula: 'AB-AB',_x000D_
         levelDyn: ''_x000D_
}</t>
  </si>
  <si>
    <t>{                  _x000D_
         funcDyn: 'msgone',_x000D_
         blok: '',_x000D_
         wsCross: '',_x000D_
         linkFormula: '',_x000D_
         levelDyn: 5_x000D_
}</t>
  </si>
  <si>
    <t>№_x000D_
п/п</t>
  </si>
  <si>
    <t>ИТОГО_ХВС</t>
  </si>
  <si>
    <t>Расходы на холодную воду</t>
  </si>
  <si>
    <t>P_HVS_TOTAL</t>
  </si>
  <si>
    <t>P_HVS_MONEY</t>
  </si>
  <si>
    <t>DYN_ORG_HVS</t>
  </si>
  <si>
    <t>руб/куб.м</t>
  </si>
  <si>
    <t>P_HVS_PRICE</t>
  </si>
  <si>
    <t>Объём холодной воды (покупка)</t>
  </si>
  <si>
    <t>тыс.куб.м</t>
  </si>
  <si>
    <t>P_HVS_VOL</t>
  </si>
  <si>
    <t>{                  _x000D_
         funcDyn: 'org',_x000D_
         blok: '',_x000D_
         wsCross: '',_x000D_
         linkFormula: '',_x000D_
         levelDyn: 1,_x000D_
         sphere: 'VS'_x000D_
}</t>
  </si>
  <si>
    <t>ИТОГО_ТН</t>
  </si>
  <si>
    <t>Расходы на теплоноситель</t>
  </si>
  <si>
    <t>P_TN_TOTAL</t>
  </si>
  <si>
    <t>P_TN_MONEY</t>
  </si>
  <si>
    <t>DYN_ORG_TN</t>
  </si>
  <si>
    <t>P_TN_PRICE</t>
  </si>
  <si>
    <t>Объём теплоносителя (покупка)</t>
  </si>
  <si>
    <t>P_TN_VOL</t>
  </si>
  <si>
    <t>{                  _x000D_
         funcDyn: 'org',_x000D_
         blok: '',_x000D_
         wsCross: '',_x000D_
         linkFormula: '',_x000D_
         levelDyn: 2,_x000D_
         sphere: 'TNVS'_x000D_
}</t>
  </si>
  <si>
    <t>ОАО «СКЭК»::4205153492::420501001</t>
  </si>
  <si>
    <t>{                  _x000D_
         funcDyn: 'msg1',_x000D_
         blok: 'blok_1',_x000D_
         wsCross: 'Амортизация',_x000D_
         linkFormula: 'AB-AB',_x000D_
         levelDyn: ''_x000D_
}</t>
  </si>
  <si>
    <t>{                  _x000D_
         funcDyn: 'msgone',_x000D_
         blok: '',_x000D_
         wsCross: '',_x000D_
         linkFormula: '',_x000D_
         levelDyn: 3_x000D_
}</t>
  </si>
  <si>
    <t>Амортизация амортизационных отчислений на восстановление основных производственных фондов</t>
  </si>
  <si>
    <t>Первоначальная стоимость осн. фондов на начало периода</t>
  </si>
  <si>
    <t>P_FUNDS_INIT_TOTAL</t>
  </si>
  <si>
    <t>Здания</t>
  </si>
  <si>
    <t>тыс.руб</t>
  </si>
  <si>
    <t>P_FUNDS_INIT_BUILD</t>
  </si>
  <si>
    <t>Сооружения</t>
  </si>
  <si>
    <t>P_FUNDS_INIT_STRUCT</t>
  </si>
  <si>
    <t>Передаточные устройства</t>
  </si>
  <si>
    <t>P_FUNDS_INIT_TRANSF_DEV</t>
  </si>
  <si>
    <t>Машины и оборудование</t>
  </si>
  <si>
    <t>P_FUNDS_INIT_MACHINES</t>
  </si>
  <si>
    <t>1.4.1</t>
  </si>
  <si>
    <t>в т.ч. силовые машины</t>
  </si>
  <si>
    <t>P_FUNDS_INIT_MACHINES_POWER</t>
  </si>
  <si>
    <t>1.4.2</t>
  </si>
  <si>
    <t>рабочие машины</t>
  </si>
  <si>
    <t>P_FUNDS_INIT_MACHINES_WORK</t>
  </si>
  <si>
    <t>1.4.3</t>
  </si>
  <si>
    <t>приборы и лаборат. оборудование</t>
  </si>
  <si>
    <t>P_FUNDS_INIT_MACHINES_LAB</t>
  </si>
  <si>
    <t>1.4.4</t>
  </si>
  <si>
    <t>вычислительная техника</t>
  </si>
  <si>
    <t>P_FUNDS_INIT_MACHINES_EVM</t>
  </si>
  <si>
    <t>1.4.5</t>
  </si>
  <si>
    <t>прочие машины</t>
  </si>
  <si>
    <t>P_FUNDS_INIT_MACHINES_OTHER</t>
  </si>
  <si>
    <t>1.5</t>
  </si>
  <si>
    <t>Транспортные средства</t>
  </si>
  <si>
    <t>P_FUNDS_INIT_TRANSPORT</t>
  </si>
  <si>
    <t>1.6</t>
  </si>
  <si>
    <t>Инструмент</t>
  </si>
  <si>
    <t>P_FUNDS_INIT_INSTRUMENT</t>
  </si>
  <si>
    <t>1.7</t>
  </si>
  <si>
    <t>Производственный инвентарь</t>
  </si>
  <si>
    <t>P_FUNDS_INIT_INV</t>
  </si>
  <si>
    <t>1.8</t>
  </si>
  <si>
    <t>Прочие основные производственные фонды</t>
  </si>
  <si>
    <t>P_FUNDS_INITOTHER_FUNDS</t>
  </si>
  <si>
    <t>Переоценка стоимости осн. фондов (только положительная или отрицательная разница относительно первоначальной стоимости осн. фондов)</t>
  </si>
  <si>
    <t>P_FUNDS_REFORM_TOTAL</t>
  </si>
  <si>
    <t>P_FUNDS_REFORM_BUILD</t>
  </si>
  <si>
    <t>P_FUNDS_REFORM_STRUCT</t>
  </si>
  <si>
    <t>P_FUNDS_REFORM_TRANSF_DEV</t>
  </si>
  <si>
    <t>P_FUNDS_REFORM_MACHINES</t>
  </si>
  <si>
    <t>P_FUNDS_REFORM_MACHINES_POWER</t>
  </si>
  <si>
    <t>P_FUNDS_REFORM_MACHINES_WORK</t>
  </si>
  <si>
    <t>P_FUNDS_REFORM_MACHINES_LAB</t>
  </si>
  <si>
    <t>P_FUNDS_REFORM_MACHINES_EVM</t>
  </si>
  <si>
    <t>P_FUNDS_REFORM_MACHINES_OTHER</t>
  </si>
  <si>
    <t>P_FUNDS_REFORM_TRANSPORT</t>
  </si>
  <si>
    <t>P_FUNDS_REFORM_INSTRUMENT</t>
  </si>
  <si>
    <t>P_FUNDS_REFORM_INV</t>
  </si>
  <si>
    <t>P_FUNDS_REFORMOTHER_FUNDS</t>
  </si>
  <si>
    <t>Ввод основных фондов</t>
  </si>
  <si>
    <t>P_FUNDS_ENTRY_TOTAL</t>
  </si>
  <si>
    <t>P_FUNDS_ENTRY_BUILD</t>
  </si>
  <si>
    <t>P_FUNDS_ENTRY_STRUCT</t>
  </si>
  <si>
    <t>P_FUNDS_ENTRY_TRANSF_DEV</t>
  </si>
  <si>
    <t>P_FUNDS_ENTRY_MACHINES</t>
  </si>
  <si>
    <t>P_FUNDS_ENTRY_MACHINES_POWER</t>
  </si>
  <si>
    <t>P_FUNDS_ENTRY_MACHINES_WORK</t>
  </si>
  <si>
    <t>P_FUNDS_ENTRY_MACHINES_LAB</t>
  </si>
  <si>
    <t>P_FUNDS_ENTRY_MACHINES_EVM</t>
  </si>
  <si>
    <t>P_FUNDS_ENTRY_MACHINES_OTHER</t>
  </si>
  <si>
    <t>P_FUNDS_ENTRY_TRANSPORT</t>
  </si>
  <si>
    <t>P_FUNDS_ENTRY_INSTRUMENT</t>
  </si>
  <si>
    <t>P_FUNDS_ENTRY_INV</t>
  </si>
  <si>
    <t>P_FUNDS_ENTRYOTHER_FUNDS</t>
  </si>
  <si>
    <t>Выбытие основных фондов</t>
  </si>
  <si>
    <t>P_FUNDS_OUT_TOTAL</t>
  </si>
  <si>
    <t>P_FUNDS_OUT_BUILD</t>
  </si>
  <si>
    <t>P_FUNDS_OUT_STRUCT</t>
  </si>
  <si>
    <t>P_FUNDS_OUT_TRANSF_DEV</t>
  </si>
  <si>
    <t>P_FUNDS_OUT_MACHINES</t>
  </si>
  <si>
    <t>P_FUNDS_OUT_MACHINES_POWER</t>
  </si>
  <si>
    <t>P_FUNDS_OUT_MACHINES_WORK</t>
  </si>
  <si>
    <t>P_FUNDS_OUT_MACHINES_LAB</t>
  </si>
  <si>
    <t>P_FUNDS_OUT_MACHINES_EVM</t>
  </si>
  <si>
    <t>P_FUNDS_OUT_MACHINES_OTHER</t>
  </si>
  <si>
    <t>P_FUNDS_OUT_TRANSPORT</t>
  </si>
  <si>
    <t>P_FUNDS_OUT_INSTRUMENT</t>
  </si>
  <si>
    <t>P_FUNDS_OUT_INV</t>
  </si>
  <si>
    <t>P_FUNDS_OUTOTHER_FUNDS</t>
  </si>
  <si>
    <t>Среднегодовая стоимость основных производственных фондов</t>
  </si>
  <si>
    <t>P_FUNDS_AVER_YEAR_TOTAL</t>
  </si>
  <si>
    <t>P_FUNDS_AVER_YEAR_BUILD</t>
  </si>
  <si>
    <t>P_FUNDS_AVER_YEAR_STRUCT</t>
  </si>
  <si>
    <t>P_FUNDS_AVER_YEAR_TRANSF_DEV</t>
  </si>
  <si>
    <t>P_FUNDS_AVER_YEAR_MACHINES</t>
  </si>
  <si>
    <t>P_FUNDS_AVER_YEAR_MACHINES_POWER</t>
  </si>
  <si>
    <t>P_FUNDS_AVER_YEAR_MACHINES_WORK</t>
  </si>
  <si>
    <t>P_FUNDS_AVER_YEAR_MACHINES_LAB</t>
  </si>
  <si>
    <t>P_FUNDS_AVER_YEAR_MACHINES_EVM</t>
  </si>
  <si>
    <t>P_FUNDS_AVER_YEAR_MACHINES_OTHER</t>
  </si>
  <si>
    <t>P_FUNDS_AVER_YEAR_TRANSPORT</t>
  </si>
  <si>
    <t>P_FUNDS_AVER_YEAR_INSTRUMENT</t>
  </si>
  <si>
    <t>P_FUNDS_AVER_YEAR_INV</t>
  </si>
  <si>
    <t>P_FUNDS_AVER_YEAROTHER_FUNDS</t>
  </si>
  <si>
    <t>Средняя норма амортизационных отчислений</t>
  </si>
  <si>
    <t>P_AMOR_AVER_TOTAL</t>
  </si>
  <si>
    <t>P_AMOR_AVER_BUILD</t>
  </si>
  <si>
    <t>P_AMOR_AVER_STRUCT</t>
  </si>
  <si>
    <t>P_AMOR_AVER_TRANSF_DEV</t>
  </si>
  <si>
    <t>P_AMOR_AVER_MACHINES</t>
  </si>
  <si>
    <t>P_AMOR_AVER_MACHINES_POWER</t>
  </si>
  <si>
    <t>P_AMOR_AVER_MACHINES_WORK</t>
  </si>
  <si>
    <t>P_AMOR_AVER_MACHINES_LAB</t>
  </si>
  <si>
    <t>P_AMOR_AVER_MACHINES_EVM</t>
  </si>
  <si>
    <t>P_AMOR_AVER_MACHINES_OTHER</t>
  </si>
  <si>
    <t>P_AMOR_AVER_TRANSPORT</t>
  </si>
  <si>
    <t>P_AMOR_AVER_INSTRUMENT</t>
  </si>
  <si>
    <t>P_AMOR_AVER_INV</t>
  </si>
  <si>
    <t>P_AMOR_AVEROTHER_FUNDS</t>
  </si>
  <si>
    <t>Амортиз</t>
  </si>
  <si>
    <t>Сумма амортизационных отчислений</t>
  </si>
  <si>
    <t>P_AMOR_SUM_TOTAL</t>
  </si>
  <si>
    <t>P_AMOR_SUM_BUILD</t>
  </si>
  <si>
    <t>P_AMOR_SUM_STRUCT</t>
  </si>
  <si>
    <t>P_AMOR_SUM_TRANSF_DEV</t>
  </si>
  <si>
    <t>P_AMOR_SUM_MACHINES</t>
  </si>
  <si>
    <t>P_AMOR_SUM_MACHINES_POWER</t>
  </si>
  <si>
    <t>P_AMOR_SUM_MACHINES_WORK</t>
  </si>
  <si>
    <t>P_AMOR_SUM_MACHINES_LAB</t>
  </si>
  <si>
    <t>P_AMOR_SUM_MACHINES_EVM</t>
  </si>
  <si>
    <t>P_AMOR_SUM_MACHINES_OTHER</t>
  </si>
  <si>
    <t>P_AMOR_SUM_TRANSPORT</t>
  </si>
  <si>
    <t>P_AMOR_SUM_INSTRUMENT</t>
  </si>
  <si>
    <t>P_AMOR_SUM_INV</t>
  </si>
  <si>
    <t>P_AMOR_SUMOTHER_FUNDS</t>
  </si>
  <si>
    <t>{                  _x000D_
         funcDyn: 'msg1',_x000D_
         blok: 'blok_1',_x000D_
         wsCross: 'Аренда',_x000D_
         linkFormula: 'AB-AB',_x000D_
         levelDyn: ''_x000D_
}</t>
  </si>
  <si>
    <t>Единица измерений</t>
  </si>
  <si>
    <t>Аренда_итого</t>
  </si>
  <si>
    <t>P_RENT_CONC</t>
  </si>
  <si>
    <t>Арендная плата имущества</t>
  </si>
  <si>
    <t>P_RENT_PROPERTY</t>
  </si>
  <si>
    <t>Аренда_непр</t>
  </si>
  <si>
    <t>1.1.1</t>
  </si>
  <si>
    <t>Непроизводственных объектов</t>
  </si>
  <si>
    <t>P_RENT_NON_PROD</t>
  </si>
  <si>
    <t>Аренда_пр</t>
  </si>
  <si>
    <t>1.1.2</t>
  </si>
  <si>
    <t>Производственных объектов</t>
  </si>
  <si>
    <t>P_RENT_PROD</t>
  </si>
  <si>
    <t>Концессия</t>
  </si>
  <si>
    <t>Концессионная плата</t>
  </si>
  <si>
    <t>P_CONC</t>
  </si>
  <si>
    <t>Лизинговые платежи</t>
  </si>
  <si>
    <t>P_LEASE</t>
  </si>
  <si>
    <t>Лизинг_без</t>
  </si>
  <si>
    <t>1.3.1</t>
  </si>
  <si>
    <t>Лизинговый платеж (в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инженерно-технического обеспечения, выкупленные (предназначенные к выкупу) специализированными обществами проектного финансирования)</t>
  </si>
  <si>
    <t>P_LEASE_WITHOUT_OWN</t>
  </si>
  <si>
    <t>Лизинг_с</t>
  </si>
  <si>
    <t>1.3.2</t>
  </si>
  <si>
    <t>Лизинговый платеж (с переходом права собственности на предмет лизинга к лизингополучателю)</t>
  </si>
  <si>
    <t>P_LEASE_WITH_OWN</t>
  </si>
  <si>
    <t xml:space="preserve">Аренда земельных участков </t>
  </si>
  <si>
    <t>P_RENT_LAND</t>
  </si>
  <si>
    <t>P_RENT_LAND_NON_PROD</t>
  </si>
  <si>
    <t>P_RENT_LAND_PROD</t>
  </si>
  <si>
    <t>{                  _x000D_
         funcDyn: 'msg1',_x000D_
         blok: 'blok_1',_x000D_
         wsCross: 'Покупка услуг',_x000D_
         linkFormula: 'AB-AB',_x000D_
         levelDyn: ''_x000D_
}</t>
  </si>
  <si>
    <t>PJ_NAME_ED_IZM</t>
  </si>
  <si>
    <t>* Относится к Неподконтрольным расходам</t>
  </si>
  <si>
    <t>Итого_пок_усл</t>
  </si>
  <si>
    <t>Услуги по передаче тепловой энергии</t>
  </si>
  <si>
    <t>DYN_ORG_TE</t>
  </si>
  <si>
    <t>Объём покупной услуги</t>
  </si>
  <si>
    <t>{                  _x000D_
         funcDyn: 'org',_x000D_
         blok: '',_x000D_
         wsCross: '',_x000D_
         linkFormula: '',_x000D_
         levelDyn: 1,_x000D_
         sphere: 'TE'_x000D_
}</t>
  </si>
  <si>
    <t>Итого_ВО</t>
  </si>
  <si>
    <t>Услуги по водоотведению</t>
  </si>
  <si>
    <t>P_VO_TOTAL</t>
  </si>
  <si>
    <t>L4</t>
  </si>
  <si>
    <t>P_VO_MONEY</t>
  </si>
  <si>
    <t>DYN_ORG_VO</t>
  </si>
  <si>
    <t>P_VO_PRICE</t>
  </si>
  <si>
    <t>P_VO_VOL</t>
  </si>
  <si>
    <t>{                  _x000D_
         funcDyn: 'org',_x000D_
         blok: '',_x000D_
         wsCross: '',_x000D_
         linkFormula: '',_x000D_
         levelDyn: 2,_x000D_
         sphere: 'VO'_x000D_
}</t>
  </si>
  <si>
    <t>L5</t>
  </si>
  <si>
    <t>Прочие услуги</t>
  </si>
  <si>
    <t>P_OTHER_TOTAL</t>
  </si>
  <si>
    <t>P_OTHER_MONEY</t>
  </si>
  <si>
    <t>DYN_OTHER</t>
  </si>
  <si>
    <t>P_OTHER_PRICE</t>
  </si>
  <si>
    <t>P_OTHER_VOL</t>
  </si>
  <si>
    <t>{                  _x000D_
         funcDyn: 'msg',_x000D_
         blok: '',_x000D_
         wsCross: '',_x000D_
         linkFormula: '',_x000D_
         levelDyn: 3_x000D_
}</t>
  </si>
  <si>
    <t>{                  _x000D_
         funcDyn: 'msg1',_x000D_
         blok: 'blok_1',_x000D_
         wsCross: 'ФОТ',_x000D_
         linkFormula: 'AB-AB',_x000D_
         levelDyn: ''_x000D_
}</t>
  </si>
  <si>
    <t>{                  _x000D_
         funcDyn: 'msgone',_x000D_
         blok: '',_x000D_
         wsCross: '',_x000D_
         linkFormula: '',_x000D_
         levelDyn: 4_x000D_
}</t>
  </si>
  <si>
    <t>ПП</t>
  </si>
  <si>
    <t>L1</t>
  </si>
  <si>
    <t>Расходы на оплату труда основного производственного персонала</t>
  </si>
  <si>
    <t>P_PROD_TOTAL</t>
  </si>
  <si>
    <t>P_PROD_MONEY</t>
  </si>
  <si>
    <t>DYN_PROD</t>
  </si>
  <si>
    <t>ЧИСЛ_ПП</t>
  </si>
  <si>
    <t>численность</t>
  </si>
  <si>
    <t>чел.</t>
  </si>
  <si>
    <t>P_PROD_PEOPLE</t>
  </si>
  <si>
    <t>среднемесячная заработная плата</t>
  </si>
  <si>
    <t>руб./мес.</t>
  </si>
  <si>
    <t>P_PROD_AVERAGE</t>
  </si>
  <si>
    <t>РЕМ</t>
  </si>
  <si>
    <t>Расходы на оплату труда ремонтного персонала</t>
  </si>
  <si>
    <t>P_REPAIR_TOTAL</t>
  </si>
  <si>
    <t>P_REPAIR_MONEY</t>
  </si>
  <si>
    <t>DYN_REPAIR</t>
  </si>
  <si>
    <t>ЧИСЛ_РЕМ</t>
  </si>
  <si>
    <t>P_REPAIR_PEOPLE</t>
  </si>
  <si>
    <t>P_REPAIR_AVERAGE</t>
  </si>
  <si>
    <t>АУП</t>
  </si>
  <si>
    <t>Расходы на оплату труда административно-управленческого персонала</t>
  </si>
  <si>
    <t>P_ADM_TOTAL</t>
  </si>
  <si>
    <t>P_ADM_MONEY</t>
  </si>
  <si>
    <t>DYN_ADM</t>
  </si>
  <si>
    <t>ЧИСЛ_АУП</t>
  </si>
  <si>
    <t>P_ADM_PEOPLE</t>
  </si>
  <si>
    <t>P_ADM_AVERAGE</t>
  </si>
  <si>
    <t>ЦЕХ</t>
  </si>
  <si>
    <t>Расходы на оплату труда цехового персонала</t>
  </si>
  <si>
    <t>P_CEH_TOTAL</t>
  </si>
  <si>
    <t>P_CEH_MONEY</t>
  </si>
  <si>
    <t>DYN_CEH</t>
  </si>
  <si>
    <t>ЧИСЛ_ЦЕХ</t>
  </si>
  <si>
    <t>P_CEH_PEOPLE</t>
  </si>
  <si>
    <t>P_CEH_AVERAGE</t>
  </si>
  <si>
    <t>{                  _x000D_
         funcDyn: 'msg',_x000D_
         blok: '',_x000D_
         wsCross: '',_x000D_
         linkFormula: '',_x000D_
         levelDyn: 4_x000D_
}</t>
  </si>
  <si>
    <t>{                  _x000D_
         funcDyn: 'msg1',_x000D_
         blok: 'blok_1',_x000D_
         wsCross: 'Налоги',_x000D_
         linkFormula: 'AB-AB',_x000D_
         levelDyn: ''_x000D_
}</t>
  </si>
  <si>
    <t>Налоги и платежи, относимые на указанный вид деятельности</t>
  </si>
  <si>
    <t>P_TAX_TOTAL</t>
  </si>
  <si>
    <t>выбросы</t>
  </si>
  <si>
    <t>плата за выбросы и сбросы загрязняющих веществ в окружающую среду, размещение отходов и другие виды негативного воздействия на окружающую среду в пределах установленных нормативов и (или) лимитов</t>
  </si>
  <si>
    <t>P_TAX_ECO</t>
  </si>
  <si>
    <t>иные</t>
  </si>
  <si>
    <t>транспорт</t>
  </si>
  <si>
    <t>транспортный налог</t>
  </si>
  <si>
    <t>P_TAX_TRANSP</t>
  </si>
  <si>
    <t>страхование</t>
  </si>
  <si>
    <t>обязательное страхование</t>
  </si>
  <si>
    <t>P_TAX_INSUR</t>
  </si>
  <si>
    <t>налог при упрощенной системе налогообложения</t>
  </si>
  <si>
    <t>имущ</t>
  </si>
  <si>
    <t>налог на имущество</t>
  </si>
  <si>
    <t>зем</t>
  </si>
  <si>
    <t>земельный налог</t>
  </si>
  <si>
    <t>P_TAX_LAND</t>
  </si>
  <si>
    <t>налог_на_прибыль</t>
  </si>
  <si>
    <t>налог на прибыль</t>
  </si>
  <si>
    <t>водн</t>
  </si>
  <si>
    <t>водный налог</t>
  </si>
  <si>
    <t>P_TAX_WATER</t>
  </si>
  <si>
    <t>1.9</t>
  </si>
  <si>
    <t>прочие расходы</t>
  </si>
  <si>
    <t>P_OTHER</t>
  </si>
  <si>
    <t>DYN_TAX</t>
  </si>
  <si>
    <t>{                  _x000D_
         funcDyn: 'msg1',_x000D_
         blok: 'blok_1',_x000D_
         wsCross: 'Операционные (5.1)',_x000D_
         linkFormula: 'AB-AB',_x000D_
         levelDyn: ''_x000D_
}</t>
  </si>
  <si>
    <t>{                  _x000D_
         funcDyn: 'msgone',_x000D_
         blok: '',_x000D_
         wsCross: '',_x000D_
         linkFormula: '',_x000D_
         levelDyn: 2_x000D_
}</t>
  </si>
  <si>
    <t>Q</t>
  </si>
  <si>
    <t>Указание на подтверждающие документы / URL-ссылка на копии подтверждающих документов</t>
  </si>
  <si>
    <t>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t>
  </si>
  <si>
    <t>отклонение факта по данным организации к факту принятому органом регулирования</t>
  </si>
  <si>
    <t>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t>
  </si>
  <si>
    <t>ОР</t>
  </si>
  <si>
    <t>Итого уровень операционных расходов</t>
  </si>
  <si>
    <t>P_OPER_TOTAL</t>
  </si>
  <si>
    <t>Расходы на приобретение сырья и материалов, в том числе необходимых для эксплуатации цифровой инфраструктуры в сфере теплоснабжения</t>
  </si>
  <si>
    <t>P_MATERIALS</t>
  </si>
  <si>
    <t>Расходы на ремонт основных средств</t>
  </si>
  <si>
    <t>P_REPAIRS</t>
  </si>
  <si>
    <t>P_FOT</t>
  </si>
  <si>
    <t>Расходы на оплату работ и услуг производственного характера, в том числе работ и услуг по эксплуатации технических средств, относящихся к цифровой инфраструктуре в сфере теплоснабжения, выполняемых по договорам со сторонними организациями</t>
  </si>
  <si>
    <t>P_FOT_PROD</t>
  </si>
  <si>
    <t>Расходы на оплату иных работ и услуг, выполняемых по договорам с организациями, включая:</t>
  </si>
  <si>
    <t>P_OTHER_ORG</t>
  </si>
  <si>
    <t>Расходы на оплату услуг связи</t>
  </si>
  <si>
    <t>P_COMMUNICATION</t>
  </si>
  <si>
    <t>Расходы на оплату вневедомственной охраны</t>
  </si>
  <si>
    <t>P_SEQUIRITY</t>
  </si>
  <si>
    <t>5.3</t>
  </si>
  <si>
    <t>Расходы на оплату коммунальных услуг</t>
  </si>
  <si>
    <t>P_KOMM</t>
  </si>
  <si>
    <t>5.4</t>
  </si>
  <si>
    <t>Расходы на оплату юридических, информационных, аудиторских и консультационных услуг</t>
  </si>
  <si>
    <t>P_LEGAL</t>
  </si>
  <si>
    <t>5.5</t>
  </si>
  <si>
    <t>Расходы на оплату других работ и услуг</t>
  </si>
  <si>
    <t>P_OTHER_SERVICES</t>
  </si>
  <si>
    <t>Расходы на служебные командировки</t>
  </si>
  <si>
    <t>P_BUSINESS_TRIP</t>
  </si>
  <si>
    <t>Расходы на обучение персонала</t>
  </si>
  <si>
    <t>P_TRAINING</t>
  </si>
  <si>
    <t>8</t>
  </si>
  <si>
    <t>Лизинговый платеж</t>
  </si>
  <si>
    <t>P_LEASE_PAYMENT</t>
  </si>
  <si>
    <t>9</t>
  </si>
  <si>
    <t>Арендная плата (НЕ производственных объектов)</t>
  </si>
  <si>
    <t>10</t>
  </si>
  <si>
    <t>Другие расходы (в том числе необходимые для эксплуатации цифровой инфраструктуры в сфере теплоснабжения):</t>
  </si>
  <si>
    <t>11</t>
  </si>
  <si>
    <t>Операционные расходы по концессионным соглашениям</t>
  </si>
  <si>
    <t>P_CONCESS</t>
  </si>
  <si>
    <t>DYN_CONCESS</t>
  </si>
  <si>
    <t>{                  _x000D_
         funcDyn: 'msg1',_x000D_
         blok: 'blok_1',_x000D_
         wsCross: 'Операционные (5.2)',_x000D_
         linkFormula: 'AB-AB',_x000D_
         levelDyn: ''_x000D_
}</t>
  </si>
  <si>
    <t>Индекс потребительских цен на расчетный период регулирования (ИПЦ)</t>
  </si>
  <si>
    <t>P_IPC</t>
  </si>
  <si>
    <t>Индекс эффективности операционных расходов (ИР)</t>
  </si>
  <si>
    <t>P_IR</t>
  </si>
  <si>
    <t>Индекс изменения количества активов (ИКА)</t>
  </si>
  <si>
    <t>P_IKA</t>
  </si>
  <si>
    <t>количество условных единиц, относящихся к активам, необходимым для осуществления регулируемой деятельности</t>
  </si>
  <si>
    <t>у.е.</t>
  </si>
  <si>
    <t>P_IKA_UE</t>
  </si>
  <si>
    <t>установленная тепловая мощность источника тепловой энергии</t>
  </si>
  <si>
    <t>P_IKA_POWER</t>
  </si>
  <si>
    <r>
      <t>Коэффициент эластичности затрат по росту активов (К</t>
    </r>
    <r>
      <rPr>
        <vertAlign val="subscript"/>
        <sz val="9"/>
        <color rgb="FF22272F"/>
        <rFont val="Tahoma"/>
        <family val="2"/>
        <charset val="204"/>
      </rPr>
      <t> эл</t>
    </r>
    <r>
      <rPr>
        <sz val="9"/>
        <color rgb="FF22272F"/>
        <rFont val="Tahoma"/>
        <family val="2"/>
        <charset val="204"/>
      </rPr>
      <t>)</t>
    </r>
  </si>
  <si>
    <t>P_KOEF_ELASTIC</t>
  </si>
  <si>
    <t>Операционные (подконтрольные) расходы</t>
  </si>
  <si>
    <t>P_CONTOL_EXPENSES</t>
  </si>
  <si>
    <t>Коэффициент индексации операционных расходов</t>
  </si>
  <si>
    <t>P_IND_CONTROL_EXPENSES</t>
  </si>
  <si>
    <t>Коэффициент эластичности затрат по росту активов (К эл)</t>
  </si>
  <si>
    <t>{                  _x000D_
         funcDyn: 'msg1',_x000D_
         blok: 'blok_1',_x000D_
         wsCross: 'Неподконтрольные (5.3)',_x000D_
         linkFormula: 'AB-AB',_x000D_
         levelDyn: ''_x000D_
}</t>
  </si>
  <si>
    <t>НР</t>
  </si>
  <si>
    <t>Итого неподконтрольных расходов</t>
  </si>
  <si>
    <t>P_UNCON_TOTAL</t>
  </si>
  <si>
    <t>P_COMMS</t>
  </si>
  <si>
    <t>Арендная плата (производственных объектов)</t>
  </si>
  <si>
    <t>P_CONCES</t>
  </si>
  <si>
    <t>Расходы на уплату налогов, сборов и других обязательных платежей, в том числе:</t>
  </si>
  <si>
    <t>P_TAXES</t>
  </si>
  <si>
    <t>P_ECO</t>
  </si>
  <si>
    <t>расходы на обязательное страхование</t>
  </si>
  <si>
    <t>P_INSURANCE</t>
  </si>
  <si>
    <t>иные расходы</t>
  </si>
  <si>
    <t>Отчисления на социальные нужды</t>
  </si>
  <si>
    <t>P_SOCIAL</t>
  </si>
  <si>
    <t>1.5.1</t>
  </si>
  <si>
    <t>доля от фонда оплаты труда</t>
  </si>
  <si>
    <t>P_FOL_PERCENT</t>
  </si>
  <si>
    <t>Расходы по сомнительным долгам</t>
  </si>
  <si>
    <t>P_DEBTS</t>
  </si>
  <si>
    <t>Амортизация основных средств и нематериальных активов</t>
  </si>
  <si>
    <t>P_AMOR</t>
  </si>
  <si>
    <t>Расходы на выплаты по договорам займа и кредитным договорам, включая проценты по ним</t>
  </si>
  <si>
    <t>P_CREDITS</t>
  </si>
  <si>
    <t>Расходы концессионера на осуществление государственного кадастрового учета и (или) государственной регистрации права собственности концедента</t>
  </si>
  <si>
    <t>P_KADASTR</t>
  </si>
  <si>
    <t>ИТОГО</t>
  </si>
  <si>
    <t>P_TOTAL</t>
  </si>
  <si>
    <t>Налог на прибыль</t>
  </si>
  <si>
    <t>Экономия</t>
  </si>
  <si>
    <t>Экономия, определенная в прошедшем долгосрочном периоде регулирования и подлежащая учету в текущем долгосрочном периоде регулирования</t>
  </si>
  <si>
    <t>P_ECONOMY</t>
  </si>
  <si>
    <t>P_UNCON_TOTAL_2</t>
  </si>
  <si>
    <t>{                  _x000D_
         funcDyn: 'msg1',_x000D_
         blok: 'blok_1',_x000D_
         wsCross: 'Ресурсы (5.4)',_x000D_
         linkFormula: 'AB-AB',_x000D_
         levelDyn: ''_x000D_
}</t>
  </si>
  <si>
    <t>Итого расходов на приобретение ресурсов</t>
  </si>
  <si>
    <t>P_RES_TOTAL</t>
  </si>
  <si>
    <t>топливо</t>
  </si>
  <si>
    <t>Расходы на топливо</t>
  </si>
  <si>
    <t>P_FUEL</t>
  </si>
  <si>
    <t>P_EE</t>
  </si>
  <si>
    <t>P_TE</t>
  </si>
  <si>
    <t>P_TE_TS</t>
  </si>
  <si>
    <t>P_HVS</t>
  </si>
  <si>
    <t>P_TN</t>
  </si>
  <si>
    <t>ресурсы</t>
  </si>
  <si>
    <t>P_TOTAL_TS</t>
  </si>
  <si>
    <t>{                  _x000D_
         funcDyn: 'msg1',_x000D_
         blok: 'blok_1',_x000D_
         wsCross: 'Корр Факт',_x000D_
         linkFormula: 'AB-AB',_x000D_
         levelDyn: ''_x000D_
}</t>
  </si>
  <si>
    <t>№</t>
  </si>
  <si>
    <t>Усл. Обозначения</t>
  </si>
  <si>
    <t>Ед. изм.</t>
  </si>
  <si>
    <t>∆НВВ k i-2</t>
  </si>
  <si>
    <t>тыс. руб.</t>
  </si>
  <si>
    <t>P_NVV_CORR_AMOUNT</t>
  </si>
  <si>
    <t>Фактическая величина необходимой валовой выручки в (i-2)-м году, определяемая на основе фактических значений параметров расчета тарифов взамен прогнозных, в том числе с учетом фактического объема полезного отпуска соответствующего вида продукции</t>
  </si>
  <si>
    <r>
      <t>НВВ</t>
    </r>
    <r>
      <rPr>
        <b/>
        <vertAlign val="superscript"/>
        <sz val="9"/>
        <color theme="1"/>
        <rFont val="Tahoma"/>
        <family val="2"/>
        <charset val="204"/>
      </rPr>
      <t>ф</t>
    </r>
    <r>
      <rPr>
        <b/>
        <vertAlign val="subscript"/>
        <sz val="9"/>
        <color theme="1"/>
        <rFont val="Tahoma"/>
        <family val="2"/>
        <charset val="204"/>
      </rPr>
      <t>i-2</t>
    </r>
  </si>
  <si>
    <t>P_FACT_GAIN</t>
  </si>
  <si>
    <t>Базовый уровень операционных расходов, установленный на долгосрочный период регулирования</t>
  </si>
  <si>
    <r>
      <t>ОР</t>
    </r>
    <r>
      <rPr>
        <i/>
        <vertAlign val="subscript"/>
        <sz val="9"/>
        <color theme="1"/>
        <rFont val="Tahoma"/>
        <family val="2"/>
        <charset val="204"/>
      </rPr>
      <t>i0</t>
    </r>
  </si>
  <si>
    <t>P_BASE_EXPENSES</t>
  </si>
  <si>
    <t>Операционные расходы, определенные на i-й год исходя из фактических значений параметров расчета тарифов</t>
  </si>
  <si>
    <r>
      <t>ОР</t>
    </r>
    <r>
      <rPr>
        <b/>
        <vertAlign val="superscript"/>
        <sz val="9"/>
        <color theme="1"/>
        <rFont val="Tahoma"/>
        <family val="2"/>
        <charset val="204"/>
      </rPr>
      <t>ф</t>
    </r>
    <r>
      <rPr>
        <b/>
        <vertAlign val="subscript"/>
        <sz val="9"/>
        <color theme="1"/>
        <rFont val="Tahoma"/>
        <family val="2"/>
        <charset val="204"/>
      </rPr>
      <t>i-2</t>
    </r>
  </si>
  <si>
    <t>P_EXPENSES_I</t>
  </si>
  <si>
    <t>Расходы на приобретение энергетических ресурсов, холодной воды, теплоносителя в i-м году, определенные исходя из фактических значений параметров расчета тарифов</t>
  </si>
  <si>
    <t>РЭфi-2</t>
  </si>
  <si>
    <t>P_EXPENSES_RES</t>
  </si>
  <si>
    <t>1.1.2.1</t>
  </si>
  <si>
    <t>Расходы на топливо при производстве тепловой энергии в k-м виде теплоносителя в i-м году, определяемые исходя из фактических значений параметров расчета тарифов для организации, осуществляющей производство тепловой энергии (мощности), в том числе:</t>
  </si>
  <si>
    <t>РТфi-2</t>
  </si>
  <si>
    <t>P_EXPENSES_FUEL</t>
  </si>
  <si>
    <t>1.1.2.1.1</t>
  </si>
  <si>
    <t>НУР на топливо, примененный при расчете тарифа на отчетный год</t>
  </si>
  <si>
    <t>bi,k</t>
  </si>
  <si>
    <t>P_NYR</t>
  </si>
  <si>
    <t>1.1.2.1.2</t>
  </si>
  <si>
    <t>Фактический объем отпуска тепловой энергии в k-м виде теплоносителя, поставляемой с коллекторов источника тепловой энергии в отчетном году</t>
  </si>
  <si>
    <t>QПОkф</t>
  </si>
  <si>
    <t>P_FACT_TE</t>
  </si>
  <si>
    <t>1.1.2.1.3</t>
  </si>
  <si>
    <t xml:space="preserve">Фактическая цена на прочее топливо </t>
  </si>
  <si>
    <r>
      <t>ЦT</t>
    </r>
    <r>
      <rPr>
        <vertAlign val="superscript"/>
        <sz val="9"/>
        <color theme="1"/>
        <rFont val="Tahoma"/>
        <family val="2"/>
        <charset val="204"/>
      </rPr>
      <t>ф(расч.)</t>
    </r>
    <r>
      <rPr>
        <vertAlign val="subscript"/>
        <sz val="9"/>
        <color theme="1"/>
        <rFont val="Tahoma"/>
        <family val="2"/>
        <charset val="204"/>
      </rPr>
      <t>i</t>
    </r>
  </si>
  <si>
    <t>руб./т.</t>
  </si>
  <si>
    <t>P_FACT_PRICE</t>
  </si>
  <si>
    <t>1.1.2.2.</t>
  </si>
  <si>
    <t>Расходы на приобретение прочих энергетических ресурсов, в том числе потерь тепловой энергии, холодной воды, теплоносителя в i-м году, определенные исходя из фактических значений параметров расчета тарифов, в том числе:</t>
  </si>
  <si>
    <t>РРфi-2</t>
  </si>
  <si>
    <t>P_EXPENSES_OTHER</t>
  </si>
  <si>
    <t>1.1.2.2.1</t>
  </si>
  <si>
    <t>Скорректированные расходы на электрическую энергию</t>
  </si>
  <si>
    <t>P_EXPENSES_EE</t>
  </si>
  <si>
    <t>1.1.2.2.1.1</t>
  </si>
  <si>
    <t>объем потребления электрической энергии, учтенный при установлении тарифов в i-м году</t>
  </si>
  <si>
    <r>
      <t>V</t>
    </r>
    <r>
      <rPr>
        <vertAlign val="subscript"/>
        <sz val="9"/>
        <color theme="1"/>
        <rFont val="Tahoma"/>
        <family val="2"/>
        <charset val="204"/>
      </rPr>
      <t>i,э/э</t>
    </r>
  </si>
  <si>
    <t>тыс.кВт.ч</t>
  </si>
  <si>
    <t>1.1.2.2.1.2</t>
  </si>
  <si>
    <t>фактический объем полезного отпуска соответствующего вида продукции (услуг) в i-м году</t>
  </si>
  <si>
    <r>
      <t>Q</t>
    </r>
    <r>
      <rPr>
        <vertAlign val="superscript"/>
        <sz val="9"/>
        <color theme="1"/>
        <rFont val="Tahoma"/>
        <family val="2"/>
        <charset val="204"/>
      </rPr>
      <t>ПОф</t>
    </r>
  </si>
  <si>
    <t>тыс. куб. м.</t>
  </si>
  <si>
    <t>P_FACT_EE</t>
  </si>
  <si>
    <t>1.1.2.2.1.3</t>
  </si>
  <si>
    <t>объем полезного отпуска соответствующего вида продукции (услуг), учтенный при установлении тарифов на i-й год</t>
  </si>
  <si>
    <r>
      <t>Q</t>
    </r>
    <r>
      <rPr>
        <vertAlign val="superscript"/>
        <sz val="9"/>
        <color theme="1"/>
        <rFont val="Tahoma"/>
        <family val="2"/>
        <charset val="204"/>
      </rPr>
      <t>ПО</t>
    </r>
  </si>
  <si>
    <t>P_FACT_VOL_EE</t>
  </si>
  <si>
    <t>1.1.2.2.1.4</t>
  </si>
  <si>
    <t>фактическая стоимость покупки единицы энергетического ресурса (за исключением топлива), холодной воды, теплоносителя в i-м году</t>
  </si>
  <si>
    <r>
      <t>ЦР</t>
    </r>
    <r>
      <rPr>
        <vertAlign val="superscript"/>
        <sz val="9"/>
        <color theme="1"/>
        <rFont val="Tahoma"/>
        <family val="2"/>
        <charset val="204"/>
      </rPr>
      <t>ф(расч.)</t>
    </r>
    <r>
      <rPr>
        <vertAlign val="subscript"/>
        <sz val="9"/>
        <color theme="1"/>
        <rFont val="Tahoma"/>
        <family val="2"/>
        <charset val="204"/>
      </rPr>
      <t>i</t>
    </r>
  </si>
  <si>
    <t>P_FACT_PRICE_EE</t>
  </si>
  <si>
    <t>1.1.2.2.2</t>
  </si>
  <si>
    <t>Скорректированные расходы на холодную воду</t>
  </si>
  <si>
    <t>P_EXPENSES_HVS</t>
  </si>
  <si>
    <t>1.1.2.2.2.1</t>
  </si>
  <si>
    <t>объем потребления холодной воды, учтенный при установлении тарифов в i-м году</t>
  </si>
  <si>
    <r>
      <t>V</t>
    </r>
    <r>
      <rPr>
        <vertAlign val="subscript"/>
        <sz val="9"/>
        <color theme="1"/>
        <rFont val="Tahoma"/>
        <family val="2"/>
        <charset val="204"/>
      </rPr>
      <t>i,в/с</t>
    </r>
  </si>
  <si>
    <t>1.1.2.2.2.2</t>
  </si>
  <si>
    <t>P_FACT_HVS</t>
  </si>
  <si>
    <t>1.1.2.2.2.3</t>
  </si>
  <si>
    <t>P_FACT_VOL_HVS</t>
  </si>
  <si>
    <t>1.1.2.2.2.4</t>
  </si>
  <si>
    <t>фактическая стоимость покупки единицы холодной воды в отчетном году</t>
  </si>
  <si>
    <t>руб./куб. м.</t>
  </si>
  <si>
    <t>P_FACT_PRICE_HVS</t>
  </si>
  <si>
    <t>1.1.2.2.3</t>
  </si>
  <si>
    <t>Скорректированные расходы на тепловую энергию</t>
  </si>
  <si>
    <t>P_EXPENSES_TE</t>
  </si>
  <si>
    <t>1.1.2.2.3.1</t>
  </si>
  <si>
    <t>объем потребления тепловой энергии, учтенный при установлении тарифов в i-м году</t>
  </si>
  <si>
    <r>
      <t>V</t>
    </r>
    <r>
      <rPr>
        <vertAlign val="subscript"/>
        <sz val="9"/>
        <color theme="1"/>
        <rFont val="Tahoma"/>
        <family val="2"/>
        <charset val="204"/>
      </rPr>
      <t>i,т/э</t>
    </r>
  </si>
  <si>
    <t>1.1.2.2.3.2</t>
  </si>
  <si>
    <t>1.1.2.2.3.3</t>
  </si>
  <si>
    <t>P_FACT_VOL_TE</t>
  </si>
  <si>
    <t>1.1.2.2.3.4</t>
  </si>
  <si>
    <t>фактическая стоимость покупки единицы тепловой энергии в отчетном году</t>
  </si>
  <si>
    <t>P_FACT_PRICE_TE</t>
  </si>
  <si>
    <t>1.1.2.2.4</t>
  </si>
  <si>
    <t>Скорректированные расходы на теплоноситель</t>
  </si>
  <si>
    <t>P_EXPENSES_TN</t>
  </si>
  <si>
    <t>1.1.2.2.4.1</t>
  </si>
  <si>
    <t>объем потребления теплоносителя, учтенный при установлении тарифов в i-м году</t>
  </si>
  <si>
    <t>1.1.2.2.4.2</t>
  </si>
  <si>
    <t>P_FACT_TN</t>
  </si>
  <si>
    <t>1.1.2.2.4.3</t>
  </si>
  <si>
    <t>P_FACT_VOL_TN</t>
  </si>
  <si>
    <t>1.1.2.2.4.4</t>
  </si>
  <si>
    <t>фактическая стоимость покупки единицы теплоносителя в отчетном году</t>
  </si>
  <si>
    <t>P_FACT_PRICE_TN</t>
  </si>
  <si>
    <t>1.1.3</t>
  </si>
  <si>
    <t>Фактические неподконтрольные расходы в (i-2)-м году, которые определяются на основании документально подтвержденных имевших место неподконтрольных расходов</t>
  </si>
  <si>
    <t>НРфi-2</t>
  </si>
  <si>
    <t>P_FACT_UNCONROLL</t>
  </si>
  <si>
    <t>нормативная_прибыль</t>
  </si>
  <si>
    <t>1.1.4</t>
  </si>
  <si>
    <t>Нормативная прибыль</t>
  </si>
  <si>
    <t>P_PROFIT_NORM</t>
  </si>
  <si>
    <t>1.1.4.1</t>
  </si>
  <si>
    <t>то же в %</t>
  </si>
  <si>
    <t>P_PROFIT_NORM_PERCENT</t>
  </si>
  <si>
    <t>РПП</t>
  </si>
  <si>
    <t>1.1.5</t>
  </si>
  <si>
    <t>Расчетная предпринимательская прибыль</t>
  </si>
  <si>
    <t>P_PROFIT</t>
  </si>
  <si>
    <t>1.1.6</t>
  </si>
  <si>
    <t>Результаты деятельности до перехода к регулированию цен (тарифов) на основе долгосрочных параметров регулирования</t>
  </si>
  <si>
    <t>P_REG</t>
  </si>
  <si>
    <t>1.1.7</t>
  </si>
  <si>
    <t>Корректировка необходимой валовой выручки по результатам предшествующих расчетных периодов регулирования</t>
  </si>
  <si>
    <t>P_CORR_GAIN</t>
  </si>
  <si>
    <t>1.1.8</t>
  </si>
  <si>
    <t>Корректировка необходимой валовой выручки, осуществляемая в связи с неисполнением инвестиционной программы, учтенная при установлении тарифов на (i-2)-й год</t>
  </si>
  <si>
    <t>P_CORR_INVEST</t>
  </si>
  <si>
    <t>1.1.9</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</si>
  <si>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плановых значений показателей надежности объектов теплоснабжения по результатам года (i-4), учтенная при установлении тарифов на (i-2)-й год</t>
  </si>
  <si>
    <t>P_CORR_CONCESS</t>
  </si>
  <si>
    <t>1.1.10</t>
  </si>
  <si>
    <t>Корректировка,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</si>
  <si>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P_CORR_FACT</t>
  </si>
  <si>
    <t>Выручка от реализации товаров (услуг) по регулируемому виду деятельности в (i-2)-м году, определяемая исходя из фактического объема полезного отпуска соответствующего вида продукции (услуг) в (i-2)-м году и тарифов, установленных на (i-2)-й год, без учета уровня собираемости платежей</t>
  </si>
  <si>
    <r>
      <t>ТВ</t>
    </r>
    <r>
      <rPr>
        <vertAlign val="superscript"/>
        <sz val="9"/>
        <color theme="1"/>
        <rFont val="Tahoma"/>
        <family val="2"/>
        <charset val="204"/>
      </rPr>
      <t>ф</t>
    </r>
    <r>
      <rPr>
        <vertAlign val="subscript"/>
        <sz val="9"/>
        <color theme="1"/>
        <rFont val="Tahoma"/>
        <family val="2"/>
        <charset val="204"/>
      </rPr>
      <t>i-2</t>
    </r>
  </si>
  <si>
    <t>P_GAIN</t>
  </si>
  <si>
    <t>всего</t>
  </si>
  <si>
    <t>Рабочее пространство для комментариев и_x000D_
дополнительных расчетов (не будет загружено в БД)</t>
  </si>
  <si>
    <t>Утверждено органом регулирования</t>
  </si>
  <si>
    <t>План организации</t>
  </si>
  <si>
    <t>План органа регулирования</t>
  </si>
  <si>
    <t>Корректировка НВВ всего по итогам отчетного года</t>
  </si>
  <si>
    <t>x</t>
  </si>
  <si>
    <t>P_CORR_NVV_YEAR</t>
  </si>
  <si>
    <t>Корректировка НВВ, учтенная в тарифных решениях по годам в предыдущие периоды (из экспертного заключения прошлого года)</t>
  </si>
  <si>
    <t>P_CORR_NVV_PAST</t>
  </si>
  <si>
    <t>Корр_факт</t>
  </si>
  <si>
    <t>Суммарная корректировка</t>
  </si>
  <si>
    <t>P_CORR_TOTAL</t>
  </si>
  <si>
    <t>НВВфi-2</t>
  </si>
  <si>
    <t>ОРi0</t>
  </si>
  <si>
    <t>ОРфi-2</t>
  </si>
  <si>
    <t>ЦTф(расч.)i</t>
  </si>
  <si>
    <t>Vi,э/э</t>
  </si>
  <si>
    <t>QПОф</t>
  </si>
  <si>
    <t>QПО</t>
  </si>
  <si>
    <t>ЦРф(расч.)i</t>
  </si>
  <si>
    <t>Vi,в/с</t>
  </si>
  <si>
    <t>Vi,т/э</t>
  </si>
  <si>
    <t>ТВфi-2</t>
  </si>
  <si>
    <t>{                  _x000D_
         funcDyn: 'msg1',_x000D_
         blok: 'blok_1',_x000D_
         wsCross: 'Калькуляция (5.9)',_x000D_
         linkFormula: 'AB-AB',_x000D_
         levelDyn: ''_x000D_
}</t>
  </si>
  <si>
    <t>Версия регулируемой организации</t>
  </si>
  <si>
    <t>Версия органа регулирования</t>
  </si>
  <si>
    <t>Объем собственных средств на реализацию инвестиционной программы, учтенный при установлении тарифов (собственные средства), в т.ч.</t>
  </si>
  <si>
    <t>амортизация</t>
  </si>
  <si>
    <t>капитальные вложения (прибыль)</t>
  </si>
  <si>
    <t>заемные средства</t>
  </si>
  <si>
    <t>проценты по кредиту</t>
  </si>
  <si>
    <t>Плановый размер финансирования инвестиционной программы за счет всех источников финансирования, в т.ч.</t>
  </si>
  <si>
    <t>2.5</t>
  </si>
  <si>
    <t xml:space="preserve">Плановый полезный отпуск </t>
  </si>
  <si>
    <t>тыс.Гкал</t>
  </si>
  <si>
    <t xml:space="preserve">Фактический полезный отпуск </t>
  </si>
  <si>
    <t>Объем фактического исполнения инвестиционной программы по объектам по стоимости, определенной в инвестиционной программе</t>
  </si>
  <si>
    <t>Скорректированный плановый расчетный объем финансирования</t>
  </si>
  <si>
    <t>Корректировка НВВ по исполнению инвестиционной программы, в т.ч.</t>
  </si>
  <si>
    <t>Расчет необходимой валовой выручки и тарифов методом индексации установленных тарифов</t>
  </si>
  <si>
    <t>P_CONTOL</t>
  </si>
  <si>
    <t>Неподконтрольные расходы</t>
  </si>
  <si>
    <t>P_UNCONTROL</t>
  </si>
  <si>
    <t>Расходы на приобретение (производство) энергетических ресурсов, холодной воды и теплоносителя</t>
  </si>
  <si>
    <t>P_RESOURSES</t>
  </si>
  <si>
    <t>Возврат инвестированного капитала</t>
  </si>
  <si>
    <t>P_INVEST_RETURN</t>
  </si>
  <si>
    <t>Полная величина инвестированного капитала</t>
  </si>
  <si>
    <t>P_INVEST_FULL</t>
  </si>
  <si>
    <t>Срок возврата инвестированного капитала</t>
  </si>
  <si>
    <t>лет</t>
  </si>
  <si>
    <t>P_INVEST_YEARS</t>
  </si>
  <si>
    <t>Доход на инвестированный капитал</t>
  </si>
  <si>
    <t>P_INVEST_PROFIT</t>
  </si>
  <si>
    <t>Первоначальный размер инвестированного капитала</t>
  </si>
  <si>
    <t>P_INVEST_START</t>
  </si>
  <si>
    <t>Доходность первоначального размера инвестированного капитала</t>
  </si>
  <si>
    <t>P_INVEST_PROFIT_PERCENT</t>
  </si>
  <si>
    <t>База инвестированного капитала</t>
  </si>
  <si>
    <t>P_INVEST_BASE</t>
  </si>
  <si>
    <t>Чистый оборотный капитал</t>
  </si>
  <si>
    <t>P_INVEST_CLEAN</t>
  </si>
  <si>
    <t>5.4.1</t>
  </si>
  <si>
    <t>Норматив чистого оборотного капитала</t>
  </si>
  <si>
    <t>P_INVEST_CLEAN_PERCENT</t>
  </si>
  <si>
    <t>Норма доходности</t>
  </si>
  <si>
    <t>P_INVEST_NORM</t>
  </si>
  <si>
    <t>5.5.1</t>
  </si>
  <si>
    <t>Норма доходности нового капитала</t>
  </si>
  <si>
    <t>P_INVEST_NORM_NEW</t>
  </si>
  <si>
    <t>5.5.2</t>
  </si>
  <si>
    <t>Норма доходности старого капитала</t>
  </si>
  <si>
    <t>P_INVEST_NORM_OLD</t>
  </si>
  <si>
    <t>Расходы на капитальные вложения (инвестиции), определяемые в соответствии с утвержденными инвестиционными программами, за исключением расходов на капитальные вложения (инвестиции), осуществляемых за счет платы за подключение к системе теплоснабжения, сумм амортизации, средств бюджетов бюджетной системы Российской Федерации, экономии инвестиционных расходов</t>
  </si>
  <si>
    <t>P_EXPENS_INVEST</t>
  </si>
  <si>
    <t>Расходы на погашение и обслуживание заемных средств, привлекаемых на реализацию мероприятий инвестиционной программы</t>
  </si>
  <si>
    <t>P_CREDIT_INVEST</t>
  </si>
  <si>
    <t>4.3</t>
  </si>
  <si>
    <t>Экономически обоснованные расходы на выплаты, предусмотренные коллективными договорами, не учитываемые при определении налоговой базы налога на прибыль (расходов, относимых на прибыль после налогообложения)</t>
  </si>
  <si>
    <t>P_COLLECTIVE</t>
  </si>
  <si>
    <t>P_INCOME</t>
  </si>
  <si>
    <t>P_INCOME_PERCENT</t>
  </si>
  <si>
    <t>P_RESULTS</t>
  </si>
  <si>
    <t>Корректировка с целью учета отклонения фактических значений параметров расчета тарифов от значений, учтенных при установлении тарифов</t>
  </si>
  <si>
    <t>P_CORR</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</si>
  <si>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регулируемой организацией плановых значений показателей надежности объектов теплоснабжения</t>
  </si>
  <si>
    <t>Корректировка НВВ в связи с изменением (неисполнением) инвестиционной программы</t>
  </si>
  <si>
    <t>P_CORR_NVV_INVEST</t>
  </si>
  <si>
    <t>Корректировка, подлежащая учету в НВВ и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</si>
  <si>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P_CORR_NVV_FACT</t>
  </si>
  <si>
    <t>Прочие корректировки</t>
  </si>
  <si>
    <t>{                  _x000D_
         funcDyn: 'msg',_x000D_
         blok: '',_x000D_
         wsCross: '',_x000D_
         linkFormula: '',_x000D_
         levelDyn: ''_x000D_
}</t>
  </si>
  <si>
    <t>12</t>
  </si>
  <si>
    <t>Необходимая валовая выручка</t>
  </si>
  <si>
    <t>P_NEEDED_GAIN</t>
  </si>
  <si>
    <t>13</t>
  </si>
  <si>
    <t>Корректировка экономически обоснованных расходов при установлении (пересмотре) тарифов в текущем периоде ввиду недопущения превышения предельных индексов изменения размера вносимой гражданами платы за коммунальные услуги</t>
  </si>
  <si>
    <t>P_CORR_EXPENSES</t>
  </si>
  <si>
    <t>НВВ</t>
  </si>
  <si>
    <t>14</t>
  </si>
  <si>
    <t>Итого НВВ для расчета тарифа (с корректировками)</t>
  </si>
  <si>
    <t>P_NVV_TOTAL</t>
  </si>
  <si>
    <t>для двухставочного тарифа</t>
  </si>
  <si>
    <t>Топливная составляющая</t>
  </si>
  <si>
    <t>P_NVV_TS</t>
  </si>
  <si>
    <t>НВВ без топливной составляющей</t>
  </si>
  <si>
    <t>P_NVV_NOT_TS</t>
  </si>
  <si>
    <t>15</t>
  </si>
  <si>
    <t>Полезный отпуск без разбивки по группам потребителей</t>
  </si>
  <si>
    <t>P_USEFULL</t>
  </si>
  <si>
    <t>объем.1</t>
  </si>
  <si>
    <t>I полугодие: объём реализации (в рамках 2026 г. - с 01.01. по 30.09.)</t>
  </si>
  <si>
    <t>P_USEFULL_1_VOL</t>
  </si>
  <si>
    <t>тариф.1</t>
  </si>
  <si>
    <t>I полугодие: тариф (в рамках 2026 г. - с 01.01. по 30.09.)</t>
  </si>
  <si>
    <t>руб./куб. м</t>
  </si>
  <si>
    <t>P_USEFULL_1_TARIFF</t>
  </si>
  <si>
    <t>объем.2</t>
  </si>
  <si>
    <t>II полугодие: объём реализации (в рамках 2026 г. - с 01.10. по 31.12.)</t>
  </si>
  <si>
    <t>P_USEFULL_2_VOL</t>
  </si>
  <si>
    <t>тариф.2</t>
  </si>
  <si>
    <t>II полугодие: тариф (в рамках 2026 г. - с 01.10. по 31.12.)</t>
  </si>
  <si>
    <t>P_USEFULL_2_TARIFF</t>
  </si>
  <si>
    <t>Темп роста тарифа</t>
  </si>
  <si>
    <t>P_USEFULL_GROW</t>
  </si>
  <si>
    <t>Средневзвешенный тариф</t>
  </si>
  <si>
    <t>P_USEFULL_AVERAGE</t>
  </si>
  <si>
    <t>16</t>
  </si>
  <si>
    <t>Справочно: размер компенсации за счет средств бюджетов бюджетной системы Российской Федерации (при наличии)</t>
  </si>
  <si>
    <t>P_BUDGET</t>
  </si>
  <si>
    <t>{                  _x000D_
         funcDyn: 'msg1',_x000D_
         blok: 'blok_1',_x000D_
         wsCross: 'Калькуляция (6.6)',_x000D_
         linkFormula: 'AB-AB',_x000D_
         levelDyn: ''_x000D_
}</t>
  </si>
  <si>
    <t>Расходы на производство воды, вырабатываемой на водоподготовительных установках источника тепловой энергии, в том числе:</t>
  </si>
  <si>
    <t>PJ_EXP_TOTAL</t>
  </si>
  <si>
    <t>Стоимость исходной воды</t>
  </si>
  <si>
    <t>PJ_WATER_COST</t>
  </si>
  <si>
    <t>Стоимость реагентов, а также фильтрующих и ионообменных материалов, используемых при водоподготовке</t>
  </si>
  <si>
    <t>PJ_REAG_COST</t>
  </si>
  <si>
    <t>Стоимость инструментов, приспособлений, инвентаря, приборов, лабораторного оборудования и другого имущества, не являющихся амортизируемым имуществом, используемых при водоподготовке</t>
  </si>
  <si>
    <t>PJ_INS_COST</t>
  </si>
  <si>
    <t>Расходы на электрическую энергию (мощность) и тепловую энергию (мощность), используемую при водоподготовке</t>
  </si>
  <si>
    <t>PJ_EE_TE_COST</t>
  </si>
  <si>
    <t>Стоимость транспортировки и очистки сточных вод, возникающих в процессе водоподготовки</t>
  </si>
  <si>
    <t>PJ_TRANSP_COST</t>
  </si>
  <si>
    <t>Расходы на оплату труда персонала, участвующего в процессе водоподготовки</t>
  </si>
  <si>
    <t>PJ_FOT_COST</t>
  </si>
  <si>
    <t>Амортизация основных фондов, участвующих в процессе водоподготовки</t>
  </si>
  <si>
    <t>PJ_AMOR</t>
  </si>
  <si>
    <t>Прочие расходы, относимые на процесс водоподготовки, в том числе:</t>
  </si>
  <si>
    <t>PJ_OTHER_COST</t>
  </si>
  <si>
    <t>1.8.1</t>
  </si>
  <si>
    <t>Расходы на ремонт основных фондов</t>
  </si>
  <si>
    <t>PJ_OTHER_REPAIR</t>
  </si>
  <si>
    <t>1.8.2</t>
  </si>
  <si>
    <t>Водный налог (плата за пользование водными объектами)</t>
  </si>
  <si>
    <t>PJ_OTHER_WATER_TAX</t>
  </si>
  <si>
    <t>1.8.3</t>
  </si>
  <si>
    <t>Общехозяйственные расходы</t>
  </si>
  <si>
    <t>PJ_OTHER_HOZ</t>
  </si>
  <si>
    <t>1.8.4</t>
  </si>
  <si>
    <t>Сырье и материалы</t>
  </si>
  <si>
    <t>PJ_OTHER_MATERIALS</t>
  </si>
  <si>
    <t>1.8.5</t>
  </si>
  <si>
    <t>PJ_OTHER_SOCIAL</t>
  </si>
  <si>
    <t>1.8.6</t>
  </si>
  <si>
    <t>Арендная плата</t>
  </si>
  <si>
    <t>PJ_OTHER_RENT</t>
  </si>
  <si>
    <t>1.8.7</t>
  </si>
  <si>
    <t>PJ_OTHER_LEASE</t>
  </si>
  <si>
    <t>1.8.8</t>
  </si>
  <si>
    <t>Расходы на оплату работ и услуг производственного характера, выполняемых по договорам со сторонними  организациями</t>
  </si>
  <si>
    <t>PJ_OTHER_ORG</t>
  </si>
  <si>
    <t>1.8.9</t>
  </si>
  <si>
    <t>PJ_OTHER_FUEL</t>
  </si>
  <si>
    <t>1.8.10</t>
  </si>
  <si>
    <t>Налог на имущество</t>
  </si>
  <si>
    <t>PJ_OTHER_PROP_TAX</t>
  </si>
  <si>
    <t>PJ_OTHER_OTHER</t>
  </si>
  <si>
    <t>ТН_отпуск</t>
  </si>
  <si>
    <t>Объем воды, вырабатываемой на водоподготовительных установках источника тепловой энергии</t>
  </si>
  <si>
    <t>PJ_WATER_VOLUME</t>
  </si>
  <si>
    <t>I полугодие (в рамках 2026 г. - с 01.01. по 30.09.)</t>
  </si>
  <si>
    <t>PJ_WATER_VOLUME_1</t>
  </si>
  <si>
    <t>II полугодие (в рамках 2026 г. - с 01.10. по 31.12.)</t>
  </si>
  <si>
    <t>PJ_WATER_VOLUME_2</t>
  </si>
  <si>
    <t>Расходы на приобретение химически очищенной воды у других организаций</t>
  </si>
  <si>
    <t>PJ_CLEAN_WATER_PURCH</t>
  </si>
  <si>
    <t>ТН_покуп</t>
  </si>
  <si>
    <t>Объем приобретения химически очищенной воды у других организаций</t>
  </si>
  <si>
    <t>PJ_CLEAN_WATER_VOLUME</t>
  </si>
  <si>
    <t>PJ_CLEAN_WATER_VOLUME_1</t>
  </si>
  <si>
    <t>PJ_CLEAN_WATER_VOLUME_2</t>
  </si>
  <si>
    <t>Расходы на мероприятия, необходимые для доведения воды до установленных законодательством Российской Федерации параметров качества теплоносителя</t>
  </si>
  <si>
    <t>PJ_WATER_PREPAIR_COST</t>
  </si>
  <si>
    <t>Необходимая валовая выручка, относимая на производство теплоносителя</t>
  </si>
  <si>
    <t>PJ_NVV</t>
  </si>
  <si>
    <t>Стоимость 1 куб.м воды, вырабатываемой на водоподготовительных установках источника тепловой энергии и (или) приобретаемой у других организаций</t>
  </si>
  <si>
    <t>руб./куб.м</t>
  </si>
  <si>
    <t>PJ_CUBE_PRICE</t>
  </si>
  <si>
    <t>PJ_CUBE_PRICE_1</t>
  </si>
  <si>
    <t>PJ_CUBE_PRICE_2</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</si>
  <si>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</si>
  <si>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t>PJ_TN_TARIFF</t>
  </si>
  <si>
    <t>PJ_TN_TARIFF_1</t>
  </si>
  <si>
    <t>8.2</t>
  </si>
  <si>
    <t>PJ_TN_TARIFF_2</t>
  </si>
  <si>
    <t>PJ_BUDG</t>
  </si>
  <si>
    <t>{                  _x000D_
         funcDyn: 'msg1',_x000D_
         blok: 'blok_1',_x000D_
         wsCross: 'Удельные расходы (МСА)',_x000D_
         linkFormula: 'AB-AB',_x000D_
         levelDyn: ''_x000D_
}</t>
  </si>
  <si>
    <t>Расчет средних значений удельных расходов организаций, осуществляющих аналогичный регулируемый вид деятельности в сопоставимых_x000D_
условиях функционирования</t>
  </si>
  <si>
    <t>Расчет средних значений удельных расходов аналогичных организаций, осуществляющих деятельность по передаче тепловой энергии</t>
  </si>
  <si>
    <t>1.1.</t>
  </si>
  <si>
    <t>полные расходы аналогичных организаций, осуществляющих деятельность по передаче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</si>
  <si>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P_FULL_EXPENSES_1</t>
  </si>
  <si>
    <t>1.2.</t>
  </si>
  <si>
    <t>протяженность тепловых сетей в двухтрубном исчислении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</si>
  <si>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P_LENGTH</t>
  </si>
  <si>
    <t>1.3.</t>
  </si>
  <si>
    <t>средняя величина удельных расходов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</si>
  <si>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тыс. руб./км</t>
  </si>
  <si>
    <t>P_AVERAGE_EXPENSES_ANALYZE_1</t>
  </si>
  <si>
    <t>1.4.</t>
  </si>
  <si>
    <t>произведение значений индексов потребительских цен</t>
  </si>
  <si>
    <t>P_IND_PRICE_1</t>
  </si>
  <si>
    <t>1.5.</t>
  </si>
  <si>
    <t>средняя величина удельных расходов аналогичныхорганизаций, осуществляющих деятельность по передаче тепловой энергии, за последний расчетный период регулирования, за который имеются отчетные данные</t>
  </si>
  <si>
    <t>P_AVERAGE_EXPENSES_WITH_DATA_1</t>
  </si>
  <si>
    <t>Расчет средних значений удельных расходов аналогичных организаций, осуществляющих производство тепловой энергии</t>
  </si>
  <si>
    <t>2.1.</t>
  </si>
  <si>
    <t>полные расходы аналогичных организаций, осуществляющих производство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</si>
  <si>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P_FULL_EXPENSES_2</t>
  </si>
  <si>
    <t>2.2.</t>
  </si>
  <si>
    <t>объем отпуска с коллекторов тепловой энергии аналогичных организаций, осуществляющих производство тепловой энергии, за последний расчетный период регулирования, за который проведен сравнительный анализ</t>
  </si>
  <si>
    <t>P_VOL</t>
  </si>
  <si>
    <t>2.3.</t>
  </si>
  <si>
    <t>средняя величина удельных расходов аналогичныхорганизаций, осуществляющих производство тепловой энергии за последний расчетный период регулирования, за который проведен сравнительный анализ</t>
  </si>
  <si>
    <t xml:space="preserve">2.4. </t>
  </si>
  <si>
    <t>P_IND_PRICE_2</t>
  </si>
  <si>
    <t>2.5.</t>
  </si>
  <si>
    <t>средняя величина удельных расходов аналогичных организаций, осуществляющих производство тепловой энергии, за последний расчетный период регулирования, за который имеются отчетные данные</t>
  </si>
  <si>
    <t>{                  _x000D_
         funcDyn: 'msg1',_x000D_
         blok: 'blok_1',_x000D_
         wsCross: 'Базовый уровень (МСА)',_x000D_
         linkFormula: 'AB-AB',_x000D_
         levelDyn: ''_x000D_
}</t>
  </si>
  <si>
    <t>{                  _x000D_
         funcDyn: 'msgone',_x000D_
         blok: '',_x000D_
         wsCross: '',_x000D_
         linkFormula: '',_x000D_
         levelDyn: '2'_x000D_
}</t>
  </si>
  <si>
    <t>POK_DOP</t>
  </si>
  <si>
    <t>dyn_name</t>
  </si>
  <si>
    <t>Расчет значений удельных расходов и базового уровня расходов организации, осуществляющей деятельность по передаче тепловой энергии</t>
  </si>
  <si>
    <t>полные расходы организации, осуществляющей деятельность по передаче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</si>
  <si>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P_FULL_TRANSP</t>
  </si>
  <si>
    <t>протяженность тепловых сетей в двухтрубном исчислении организации, осуществляющей деятельность по передаче тепловой энергии, за последний расчетный период регулирования, за который имеются отчетные данные</t>
  </si>
  <si>
    <t>P_LENGTH_WITH_DATA</t>
  </si>
  <si>
    <t>величина удельных расходов организации, осуществляющей деятельность по передаче тепловой энергии</t>
  </si>
  <si>
    <t>P_UD_EXPENSES</t>
  </si>
  <si>
    <t>коэффициент сопоставимости, учитывающий технические характеристики тепловой сети организации, осуществляющей деятельность по передаче тепловой энергии</t>
  </si>
  <si>
    <t>P_KOEF</t>
  </si>
  <si>
    <t>средняя величина удельных расходов аналогичных организаций, осуществляющих деятельность по передаче тепловой энергии, с учетом коэффициента сопоставимости</t>
  </si>
  <si>
    <t>P_UD_AVERAGE</t>
  </si>
  <si>
    <t>произведение значений индексов потребительских цен на (i-1)-й и (i)-й годы</t>
  </si>
  <si>
    <t>P_IND_MULT</t>
  </si>
  <si>
    <t>протяженность тепловых сетей в двухтрубном исчислении организации, осуществляющей деятельность по передаче тепловой энергии, на первый год долгосрочного периода регулирования</t>
  </si>
  <si>
    <t>P_LENGTH_FIRST_YEAR</t>
  </si>
  <si>
    <t xml:space="preserve">базовый уровень расходов на передачу тепловой энергии </t>
  </si>
  <si>
    <t>Расчет значений удельных расходов и базового уровня расходов организации, осуществляющей производство тепловой энергии</t>
  </si>
  <si>
    <t>полные расходы организации, осуществляющей производство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</si>
  <si>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P_FULL_PROD</t>
  </si>
  <si>
    <t>DYN_EXP</t>
  </si>
  <si>
    <t>объем отпуска тепловой энергии с коллекторов организации, осуществляющей производство тепловой энергии, за последний расчетный период регулирования, за который имеются отчетные данные</t>
  </si>
  <si>
    <t>DYN_VOL</t>
  </si>
  <si>
    <t>величина удельных расходов организации, осуществляющей производство тепловой энергии</t>
  </si>
  <si>
    <t>P_UD_PROD</t>
  </si>
  <si>
    <t>коэффициент сопоставимости, учитывающий технические и технологические характеристики источника тепловой энергии организации, осуществляющей производство тепловой энергии</t>
  </si>
  <si>
    <t>P_KOEF_PROD</t>
  </si>
  <si>
    <t>средняя величина удельных расходов аналогичных организаций, осуществляющих производство тепловой энергии, с учетом коэффициента сопоставимости</t>
  </si>
  <si>
    <t>P_UD_AVERAGE_PROD</t>
  </si>
  <si>
    <t>2.6</t>
  </si>
  <si>
    <t>P_IND_MULT_PROD</t>
  </si>
  <si>
    <t>2.7</t>
  </si>
  <si>
    <t>объем отпуска тепловой энергии с коллекторов организации, осуществляющей производство тепловой энергии, на первый год долгосрочного периода регулирования</t>
  </si>
  <si>
    <t>P_VOL_FIRST_YEAR</t>
  </si>
  <si>
    <t>2.8</t>
  </si>
  <si>
    <t xml:space="preserve">базовый уровень расходов на производство тепловой энергии </t>
  </si>
  <si>
    <t>P_BASE_PROD</t>
  </si>
  <si>
    <t>{                  _x000D_
         funcDyn: 'msg1',_x000D_
         blok: 'blok_1',_x000D_
         wsCross: 'Калькуляция (МСА)',_x000D_
         linkFormula: 'AB-AB',_x000D_
         levelDyn: ''_x000D_
}</t>
  </si>
  <si>
    <t>Необходимая валовая выручка, всего</t>
  </si>
  <si>
    <t>P_SALES_TOTAL</t>
  </si>
  <si>
    <t>необходимая валовая выручка на передачу тепловой энергии, всего</t>
  </si>
  <si>
    <t>P_SALES_TE</t>
  </si>
  <si>
    <t>по собственным сетям, в том числе:</t>
  </si>
  <si>
    <t>P_SALES_SELF</t>
  </si>
  <si>
    <t>1.1.1.1</t>
  </si>
  <si>
    <t>определенная до начала долгосрочного периода регулирования</t>
  </si>
  <si>
    <t>P_SALES_BEFORE</t>
  </si>
  <si>
    <t>1.1.1.2</t>
  </si>
  <si>
    <t>корректировка с целью учета отклонения фактических значений индекса потребительских цен от значений, учтенных при установлении тарифов</t>
  </si>
  <si>
    <t>P_SALES_CORR_IND</t>
  </si>
  <si>
    <t>1.1.1.3</t>
  </si>
  <si>
    <t>прочие корректировки</t>
  </si>
  <si>
    <t>P_SALES_CORR_OTHER</t>
  </si>
  <si>
    <t>по сетям иных теплосетевых организаций</t>
  </si>
  <si>
    <t>P_SALES_OTHER_ORG</t>
  </si>
  <si>
    <t>необходимая валовая выручка на производство тепловой энергии в целом по организации</t>
  </si>
  <si>
    <t>P_SALES_PROD</t>
  </si>
  <si>
    <t>1.2.1</t>
  </si>
  <si>
    <t>P_SALES_PROD_BEFORE</t>
  </si>
  <si>
    <t>DYN_SALES</t>
  </si>
  <si>
    <t>1.2.2</t>
  </si>
  <si>
    <t>P_SALES_PROD_CORR</t>
  </si>
  <si>
    <t>DYN_CORR</t>
  </si>
  <si>
    <t>1.2.3</t>
  </si>
  <si>
    <t>P_SALES_PROD_CORR_OTHER</t>
  </si>
  <si>
    <t>DYN_CORR_OTHER</t>
  </si>
  <si>
    <t>расходы на приобретаемую тепловую энергию</t>
  </si>
  <si>
    <t>Полезный отпуск и тариф без разбивки по группам потребителей</t>
  </si>
  <si>
    <t>P_VOL_1</t>
  </si>
  <si>
    <t>P_TARIFF_1</t>
  </si>
  <si>
    <t>P_VOL_2</t>
  </si>
  <si>
    <t>P_TARIFF_2</t>
  </si>
  <si>
    <t>темп роста тарифа</t>
  </si>
  <si>
    <t>P_TARIFF_GROW</t>
  </si>
  <si>
    <t>средневзвешенный тариф</t>
  </si>
  <si>
    <t>P_TARIFF_AVERAGE</t>
  </si>
  <si>
    <t>{                  _x000D_
         funcDyn: 'msg1',_x000D_
         blok: 'blok_1',_x000D_
         wsCross: 'ТМ',_x000D_
         linkFormula: 'AB-AB',_x000D_
         levelDyn: ''_x000D_
}</t>
  </si>
  <si>
    <t>D_DYN</t>
  </si>
  <si>
    <t>Отклонение, %</t>
  </si>
  <si>
    <t>Утверждаемый тариф</t>
  </si>
  <si>
    <t>Дополнительные признаки дифференциации тарифов</t>
  </si>
  <si>
    <t>Одноставочный тариф:</t>
  </si>
  <si>
    <t>для прочих потребителей с 01.01 по 30.06 без НДС</t>
  </si>
  <si>
    <t>Тариф с 01.01 по 30.06 для прочих потребителей без НДС (в рамках 2026 г. - с 01.01. по 30.09.)</t>
  </si>
  <si>
    <t>P__SINGLE_TARIFF_1_OTHER</t>
  </si>
  <si>
    <t>для прочих потребителей с 01.07 по 31.12 без НДС</t>
  </si>
  <si>
    <t>Тариф с 01.07 по 31.12 для прочих потребителей без НДС (в рамках 2026 г. - с 01.10. по 31.12.)</t>
  </si>
  <si>
    <t>P__SINGLE_TARIFF_2_OTHER</t>
  </si>
  <si>
    <t>для прочих потребителей без НДС</t>
  </si>
  <si>
    <t>Темп роста тарифов с 01.07 (в рамках 2026 г. - с 01.10.)</t>
  </si>
  <si>
    <t>P__SINGLE_TARIFF_GROW_OTHER</t>
  </si>
  <si>
    <t>объем</t>
  </si>
  <si>
    <t>Объём реализации продукции с 01.01 по 31.12</t>
  </si>
  <si>
    <t>P__SINGLE_VOL_TOTAL_OTHER</t>
  </si>
  <si>
    <t>P__SINGLE_VOL_1_OTHER</t>
  </si>
  <si>
    <t>P__SINGLE_VOL_2_OTHER</t>
  </si>
  <si>
    <t>для населения с 01.01 по 30.06 с НДС</t>
  </si>
  <si>
    <t>Тариф с 01.01 по 30.06 для населения с НДС (в рамках 2026 г. - с 01.01. по 30.09.)</t>
  </si>
  <si>
    <t>P__SINGLE_TARIFF_1_PEOPLE</t>
  </si>
  <si>
    <t>для населения с 01.07 по 31.12 с НДС</t>
  </si>
  <si>
    <t>Тариф с 01.07 по 31.12 для населения с НДС (в рамках 2026 г. - с 01.10. по 31.12.)</t>
  </si>
  <si>
    <t>P__SINGLE_TARIFF_2_PEOPLE</t>
  </si>
  <si>
    <t>для населения с НДС</t>
  </si>
  <si>
    <t>P__SINGLE_TARIFF_GROW_PEOPLE</t>
  </si>
  <si>
    <t>ПО.население</t>
  </si>
  <si>
    <t>Объём реализации продукции для населения с 01.01 по 31.12</t>
  </si>
  <si>
    <t>P__SINGLE_VOL_TOTAL_PEOPLE</t>
  </si>
  <si>
    <t> I полугодие: объём реализации населению (в рамках 2026 г. - с 01.01. по 30.09.)</t>
  </si>
  <si>
    <t>P__SINGLE_VOL_1_PEOPLE</t>
  </si>
  <si>
    <t>II полугодие: объём реализации населению (в рамках 2026 г. - с 01.10. по 31.12.)</t>
  </si>
  <si>
    <t>P__SINGLE_VOL_2_PEOPLE</t>
  </si>
  <si>
    <t>Одноставочный тариф, руб./Гкал, с НДС</t>
  </si>
  <si>
    <t>M10821</t>
  </si>
  <si>
    <t>P__SINGLE_TARIFF_PEOPLE</t>
  </si>
  <si>
    <t>DYN_SINGLE_PEOPLE</t>
  </si>
  <si>
    <t>Объём реализации продукции</t>
  </si>
  <si>
    <t>{
         funcDyn: 'msg',
         blok: '',
         wsCross: '',
         linkFormula: '',
         levelDyn: 1
}</t>
  </si>
  <si>
    <t>Двухставочный тариф:</t>
  </si>
  <si>
    <t>Тариф с 01.01 по 30.06 для прочих потребителей (без НДС) (в рамках 2026 г. - с 01.01. по 30.09.)</t>
  </si>
  <si>
    <t>L2_1_1</t>
  </si>
  <si>
    <t>перевод двухставочного тарифа в одноставочный тариф</t>
  </si>
  <si>
    <t>ст_объем_1</t>
  </si>
  <si>
    <t>L2_1_2</t>
  </si>
  <si>
    <t>ставка платы за потребление 1 Гкал</t>
  </si>
  <si>
    <t>L2_1_3</t>
  </si>
  <si>
    <t>объем потребления тепловой энергии</t>
  </si>
  <si>
    <t>ст_мощн_1</t>
  </si>
  <si>
    <t>L2_1_4</t>
  </si>
  <si>
    <t>ставка платы за содержание системы теплоснабжения</t>
  </si>
  <si>
    <t>тыс.руб/Гкал/ч _x000D_
в мес.</t>
  </si>
  <si>
    <t>нагр.1</t>
  </si>
  <si>
    <t>L2_1_5</t>
  </si>
  <si>
    <t>величина присоединенной мощности</t>
  </si>
  <si>
    <t>Тариф с 01.07 по 31.12 для прочих потребителей (без НДС) (в рамках 2026 г. - с 01.10. по 31.12.)</t>
  </si>
  <si>
    <t>ст_объем_2</t>
  </si>
  <si>
    <t>ст_мощн_2</t>
  </si>
  <si>
    <t>нагр.2</t>
  </si>
  <si>
    <t>{                  _x000D_
         funcDyn: 'msg1',_x000D_
         blok: 'blok_1',_x000D_
         wsCross: 'ДПР',_x000D_
         linkFormula: 'AB-AB',_x000D_
         levelDyn: ''_x000D_
}</t>
  </si>
  <si>
    <t>L2</t>
  </si>
  <si>
    <t>P_BASE</t>
  </si>
  <si>
    <t>P_IND</t>
  </si>
  <si>
    <t>P_NORM</t>
  </si>
  <si>
    <t>P_FUEL_CONS</t>
  </si>
  <si>
    <t>P_LOSSES_RATIO</t>
  </si>
  <si>
    <t>P_LOSSES_PERCENT</t>
  </si>
  <si>
    <t>P_LOSSES</t>
  </si>
  <si>
    <t>P_PRICE_CHANGES</t>
  </si>
  <si>
    <t>Базовый уровень операционных расходов (тыс. руб.)</t>
  </si>
  <si>
    <t>Индекс эффективности операционных расходов, %</t>
  </si>
  <si>
    <t>Нормативный уровень прибыли, %</t>
  </si>
  <si>
    <t xml:space="preserve">Показатели энергосбережения и энергетической эффективности </t>
  </si>
  <si>
    <t>Динамика изменения расходов на топливо</t>
  </si>
  <si>
    <t>Отношение величины технологических потерь теплоносителя к материальной характеристике тепловой сети, куб. м/м2</t>
  </si>
  <si>
    <t>Величина технологических потерь при передаче теплоносителя по тепловым сетям, %</t>
  </si>
  <si>
    <t>Величина технологических потерь при передаче теплоносителя по тепловым сетям, Гкал</t>
  </si>
  <si>
    <t>{                  _x000D_
         funcDyn: 'msg1',_x000D_
         blok: '',_x000D_
         wsCross: '',_x000D_
         linkFormula: '',_x000D_
         levelDyn: ''_x000D_
}</t>
  </si>
  <si>
    <t>Алтайский край</t>
  </si>
  <si>
    <t>RU22</t>
  </si>
  <si>
    <t>TemplateState</t>
  </si>
  <si>
    <t>YES_NO</t>
  </si>
  <si>
    <t>METHOD_LIST</t>
  </si>
  <si>
    <t>DNS</t>
  </si>
  <si>
    <t>REG_YEAR_LIST</t>
  </si>
  <si>
    <t>YEAR_LIST</t>
  </si>
  <si>
    <t>MONTH_LIST</t>
  </si>
  <si>
    <t>period_list</t>
  </si>
  <si>
    <t>sphere_list</t>
  </si>
  <si>
    <t>tariff_type_list</t>
  </si>
  <si>
    <t>COLDVSNA_VTOV;COLDVSNA_TRANSP_VTOV</t>
  </si>
  <si>
    <t>COLDVSNA_VTARIFF</t>
  </si>
  <si>
    <t>osn_expl_list</t>
  </si>
  <si>
    <t>VOLTAGE_LEVEL_list</t>
  </si>
  <si>
    <t>VOLTAGE_LEVEL2_list</t>
  </si>
  <si>
    <t>fuel_list</t>
  </si>
  <si>
    <t>fuel_ed_izm_list</t>
  </si>
  <si>
    <t>Амурская область</t>
  </si>
  <si>
    <t>RU28</t>
  </si>
  <si>
    <t>FORMED</t>
  </si>
  <si>
    <t>https://eias.ru</t>
  </si>
  <si>
    <t>Январь</t>
  </si>
  <si>
    <t>Водоснабжение</t>
  </si>
  <si>
    <t>питьевая вода</t>
  </si>
  <si>
    <t>тариф на питьевую воду</t>
  </si>
  <si>
    <t>аренда</t>
  </si>
  <si>
    <t>Без разбивки</t>
  </si>
  <si>
    <t>Газ природный - Газ лимитный - 1 группа</t>
  </si>
  <si>
    <t>тыс.м3</t>
  </si>
  <si>
    <t>Архангельская область</t>
  </si>
  <si>
    <t>RU29</t>
  </si>
  <si>
    <t>Метод экономически обоснованных расходов</t>
  </si>
  <si>
    <t>Февраль</t>
  </si>
  <si>
    <t>Водоотведение</t>
  </si>
  <si>
    <t>техническая вода</t>
  </si>
  <si>
    <t>тариф на техническую воду</t>
  </si>
  <si>
    <t>безвозмездное пользование</t>
  </si>
  <si>
    <t>ГН</t>
  </si>
  <si>
    <t>ВН1</t>
  </si>
  <si>
    <t>Газ природный - Газ лимитный - 2 группа</t>
  </si>
  <si>
    <t>Астраханская область</t>
  </si>
  <si>
    <t>RU30</t>
  </si>
  <si>
    <t>Метод сравнения аналогов</t>
  </si>
  <si>
    <t>NDS</t>
  </si>
  <si>
    <t>Март</t>
  </si>
  <si>
    <t>горячая вода</t>
  </si>
  <si>
    <t>концессионное соглашение</t>
  </si>
  <si>
    <t>ВН</t>
  </si>
  <si>
    <t>Газ природный - Газ лимитный - 3 группа</t>
  </si>
  <si>
    <t>Белгородская область</t>
  </si>
  <si>
    <t>RU31</t>
  </si>
  <si>
    <t>STATE_SHARE</t>
  </si>
  <si>
    <t>Метод обеспечения доходности инвестированного капитала</t>
  </si>
  <si>
    <t>Апрель</t>
  </si>
  <si>
    <t>VOTV_VTOV</t>
  </si>
  <si>
    <t>VOTV_VTARIFF</t>
  </si>
  <si>
    <t>оперативное управление</t>
  </si>
  <si>
    <t>СН1</t>
  </si>
  <si>
    <t>Газ природный - Газ лимитный - 4 группа</t>
  </si>
  <si>
    <t>Брянская область</t>
  </si>
  <si>
    <t>RU32</t>
  </si>
  <si>
    <t>VALUABLE_STATE_SHARE</t>
  </si>
  <si>
    <t>Май</t>
  </si>
  <si>
    <t>без дифференциации</t>
  </si>
  <si>
    <t>тариф на водоотведение</t>
  </si>
  <si>
    <t>СН2</t>
  </si>
  <si>
    <t>Газ природный - Газ лимитный - 5 группа</t>
  </si>
  <si>
    <t>Владимирская область</t>
  </si>
  <si>
    <t>RU33</t>
  </si>
  <si>
    <t>менее 50 %</t>
  </si>
  <si>
    <t>NALOG_SYSTEM_LIST</t>
  </si>
  <si>
    <t>PERIOD</t>
  </si>
  <si>
    <t>Июнь</t>
  </si>
  <si>
    <t>жидкие бытовые отходы</t>
  </si>
  <si>
    <t>хозяйственное ведение</t>
  </si>
  <si>
    <t>НН</t>
  </si>
  <si>
    <t>Газ природный - Газ лимитный - 6 группа</t>
  </si>
  <si>
    <t>Волгоградская область</t>
  </si>
  <si>
    <t>RU34</t>
  </si>
  <si>
    <t>50 % и более</t>
  </si>
  <si>
    <t>Июль</t>
  </si>
  <si>
    <t>поверхностные сточные воды</t>
  </si>
  <si>
    <t>договор хранения</t>
  </si>
  <si>
    <t>Генерация напряжения</t>
  </si>
  <si>
    <t>Газ природный - Газ лимитный - 7 группа</t>
  </si>
  <si>
    <t>Вологодская область</t>
  </si>
  <si>
    <t>RU35</t>
  </si>
  <si>
    <t>100 %</t>
  </si>
  <si>
    <t>УСН</t>
  </si>
  <si>
    <t>Август</t>
  </si>
  <si>
    <t>хозяйственно-бытовые сточные воды</t>
  </si>
  <si>
    <t>договор эксплуатации</t>
  </si>
  <si>
    <t>Газ природный - Газ сверхлимитный - 1 группа</t>
  </si>
  <si>
    <t>Воронежская область</t>
  </si>
  <si>
    <t>RU36</t>
  </si>
  <si>
    <t>Организация</t>
  </si>
  <si>
    <t>Сентябрь</t>
  </si>
  <si>
    <t>сточные воды (нормативы)</t>
  </si>
  <si>
    <t>договор обслуживания</t>
  </si>
  <si>
    <t>Газ природный - Газ сверхлимитный - 2 группа</t>
  </si>
  <si>
    <t>г. Москва</t>
  </si>
  <si>
    <t>RU77</t>
  </si>
  <si>
    <t>Москва</t>
  </si>
  <si>
    <t>OWNERSHIP_TYPE</t>
  </si>
  <si>
    <t>TARIFF_LIST</t>
  </si>
  <si>
    <t>Октябрь</t>
  </si>
  <si>
    <t>сточные воды (иные)</t>
  </si>
  <si>
    <t>бесхозяйный объект</t>
  </si>
  <si>
    <t>Газ природный - Газ сверхлимитный - 3 группа</t>
  </si>
  <si>
    <t>г. Байконур</t>
  </si>
  <si>
    <t>RU00</t>
  </si>
  <si>
    <t>NONPRIVATE_OWNERSHIP_TYPE</t>
  </si>
  <si>
    <t>Тариф на тепловую энергию (мощность), поставляемую потребителям</t>
  </si>
  <si>
    <t>Ноябрь</t>
  </si>
  <si>
    <t>договор инвестирования</t>
  </si>
  <si>
    <t>Газ природный - Газ сверхлимитный - 4 группа</t>
  </si>
  <si>
    <t>г. Санкт-Петербург</t>
  </si>
  <si>
    <t>RU78</t>
  </si>
  <si>
    <t>Cанкт-Петербург</t>
  </si>
  <si>
    <t>федеральная</t>
  </si>
  <si>
    <t>Тарифы на тепловую энергию (мощность) на коллекторах источника тепловой энергии</t>
  </si>
  <si>
    <t>Декабрь</t>
  </si>
  <si>
    <t>доверительное управление</t>
  </si>
  <si>
    <t>Газ природный - Газ сверхлимитный - 5 группа</t>
  </si>
  <si>
    <t>г. Севастополь</t>
  </si>
  <si>
    <t>RU92</t>
  </si>
  <si>
    <t>Севастополь</t>
  </si>
  <si>
    <t>субъект РФ</t>
  </si>
  <si>
    <t>Тарифы на тепловую энергию (мощность), поставляемую теплоснабжающим, теплосетевым организациям, приобретающим тепловую энергию с целью компенсации потерь тепловой энергии</t>
  </si>
  <si>
    <t>Виды деятельности</t>
  </si>
  <si>
    <t>субаренда</t>
  </si>
  <si>
    <t>Газ природный - Газ сверхлимитный - 6 группа</t>
  </si>
  <si>
    <t>Еврейская автономная область</t>
  </si>
  <si>
    <t>RU79</t>
  </si>
  <si>
    <t>муниципальная</t>
  </si>
  <si>
    <t>Тарифы на услуги по передаче тепловой энергии, теплоносителя</t>
  </si>
  <si>
    <t>Газ природный - Газ сверхлимитный - 7 группа</t>
  </si>
  <si>
    <t>Забайкальский край</t>
  </si>
  <si>
    <t>RU75</t>
  </si>
  <si>
    <t>частная</t>
  </si>
  <si>
    <t>Тарифы на тепловую энергию (мощность), поставляемую единой теплоснабжающей организацией теплоснабжающим организациям, теплосетевым организациям, приобретающим тепловую энергию с целью компенсации потерь тепловой энергии</t>
  </si>
  <si>
    <t>support_docs_list</t>
  </si>
  <si>
    <t>Газ природный - Газ коммерческий</t>
  </si>
  <si>
    <t>Ивановская область</t>
  </si>
  <si>
    <t>RU37</t>
  </si>
  <si>
    <t>договор</t>
  </si>
  <si>
    <t>Газ доменный</t>
  </si>
  <si>
    <t>Иркутская область</t>
  </si>
  <si>
    <t>RU38</t>
  </si>
  <si>
    <t>TN_TYPE</t>
  </si>
  <si>
    <t>Территории</t>
  </si>
  <si>
    <t>свидетельство</t>
  </si>
  <si>
    <t>Газ коксовый</t>
  </si>
  <si>
    <t>Кабардино-Балкарская республика</t>
  </si>
  <si>
    <t>RU07</t>
  </si>
  <si>
    <t>Республика Кабардино-Балкария</t>
  </si>
  <si>
    <t>соглашение</t>
  </si>
  <si>
    <t>Газ нефтяной (попутный)</t>
  </si>
  <si>
    <t>Калининградская область</t>
  </si>
  <si>
    <t>RU39</t>
  </si>
  <si>
    <t>пар</t>
  </si>
  <si>
    <t>Газ сухой отбензиненный</t>
  </si>
  <si>
    <t>Калужская область</t>
  </si>
  <si>
    <t>RU40</t>
  </si>
  <si>
    <t>вода+пар</t>
  </si>
  <si>
    <t>распоряжение</t>
  </si>
  <si>
    <t>Газовый конденсат</t>
  </si>
  <si>
    <t>тнт</t>
  </si>
  <si>
    <t>Камчатский край</t>
  </si>
  <si>
    <t>RU41</t>
  </si>
  <si>
    <t>Газ сжиженный</t>
  </si>
  <si>
    <t>Карачаево-Черкесская республика</t>
  </si>
  <si>
    <t>RU09</t>
  </si>
  <si>
    <t>Республика Карачаево-Черкессия</t>
  </si>
  <si>
    <t>VDET_LIST</t>
  </si>
  <si>
    <t>приказ</t>
  </si>
  <si>
    <t>Дизельное топливо - А (арктическое)</t>
  </si>
  <si>
    <t>RU42</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</si>
  <si>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</si>
  <si>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Дизельное топливо - З (зимнее)</t>
  </si>
  <si>
    <t>Кировская область</t>
  </si>
  <si>
    <t>RU43</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</si>
  <si>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</si>
  <si>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акт приёма-передачи</t>
  </si>
  <si>
    <t>Дизельное топливо - Л (летнее)</t>
  </si>
  <si>
    <t>Костромская область</t>
  </si>
  <si>
    <t>RU44</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</si>
  <si>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</si>
  <si>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государственный контракт</t>
  </si>
  <si>
    <t>Дизельное топливо - Е (межсезонное)</t>
  </si>
  <si>
    <t>Краснодарский край</t>
  </si>
  <si>
    <t>RU23</t>
  </si>
  <si>
    <t>передача тепловой энергии</t>
  </si>
  <si>
    <t>балансовая справка</t>
  </si>
  <si>
    <t>Мазут - М-40</t>
  </si>
  <si>
    <t>Красноярский край</t>
  </si>
  <si>
    <t>RU24</t>
  </si>
  <si>
    <t>сбыт тепловой энергии</t>
  </si>
  <si>
    <t>кадастровый паспорт</t>
  </si>
  <si>
    <t>Мазут - М-100</t>
  </si>
  <si>
    <t>Курганская область</t>
  </si>
  <si>
    <t>RU45</t>
  </si>
  <si>
    <t>технический паспорт</t>
  </si>
  <si>
    <t>Мазут - М-200</t>
  </si>
  <si>
    <t>Курская область</t>
  </si>
  <si>
    <t>RU46</t>
  </si>
  <si>
    <t>TECH_PROC</t>
  </si>
  <si>
    <t>устав</t>
  </si>
  <si>
    <t>Мазут - мазут марки "Т"</t>
  </si>
  <si>
    <t>Ленинградская область</t>
  </si>
  <si>
    <t>RU47</t>
  </si>
  <si>
    <t>производство</t>
  </si>
  <si>
    <t>акт ввода в эксплуатацию</t>
  </si>
  <si>
    <t>Мазут - Ф-5</t>
  </si>
  <si>
    <t>Липецкая область</t>
  </si>
  <si>
    <t>RU48</t>
  </si>
  <si>
    <t>передача</t>
  </si>
  <si>
    <t>план приватизации</t>
  </si>
  <si>
    <t>Мазут - Ф-12</t>
  </si>
  <si>
    <t>Магаданская область</t>
  </si>
  <si>
    <t>RU49</t>
  </si>
  <si>
    <t>сбыт</t>
  </si>
  <si>
    <t>разрешение на ввод объекта в эксплуатацию</t>
  </si>
  <si>
    <t>Нефть</t>
  </si>
  <si>
    <t>Московская область</t>
  </si>
  <si>
    <t>RU50</t>
  </si>
  <si>
    <t>выписка из ЕГРН</t>
  </si>
  <si>
    <t>Уголь антрацит</t>
  </si>
  <si>
    <t>Мурманская область</t>
  </si>
  <si>
    <t>RU51</t>
  </si>
  <si>
    <t>выписка из РФИ</t>
  </si>
  <si>
    <t>Уголь бурый</t>
  </si>
  <si>
    <t>Ненецкий автономный округ</t>
  </si>
  <si>
    <t>RU83</t>
  </si>
  <si>
    <t>документов нет вообще</t>
  </si>
  <si>
    <t>Уголь газовый</t>
  </si>
  <si>
    <t>Нижегородская область</t>
  </si>
  <si>
    <t>RU52</t>
  </si>
  <si>
    <t>Уголь длиннопламенный</t>
  </si>
  <si>
    <t>Новгородская область</t>
  </si>
  <si>
    <t>RU53</t>
  </si>
  <si>
    <t>TARIFF_CALC_METHOD</t>
  </si>
  <si>
    <t>Уголь жирный</t>
  </si>
  <si>
    <t>Новосибирская область</t>
  </si>
  <si>
    <t>RU54</t>
  </si>
  <si>
    <t>экономически обоснованных расходов (затрат)</t>
  </si>
  <si>
    <t>Уголь коксовый</t>
  </si>
  <si>
    <t>Омская область</t>
  </si>
  <si>
    <t>RU55</t>
  </si>
  <si>
    <t>индексации</t>
  </si>
  <si>
    <t>Уголь отощённо-спекающийся</t>
  </si>
  <si>
    <t>Оренбургская область</t>
  </si>
  <si>
    <t>RU56</t>
  </si>
  <si>
    <t>индексации (корректировка)</t>
  </si>
  <si>
    <t>Уголь слабоспекающийся</t>
  </si>
  <si>
    <t>Орловская область</t>
  </si>
  <si>
    <t>RU57</t>
  </si>
  <si>
    <t>сравнения аналогов</t>
  </si>
  <si>
    <t>Уголь тощий</t>
  </si>
  <si>
    <t>Пензенская область</t>
  </si>
  <si>
    <t>RU58</t>
  </si>
  <si>
    <t>Энергия</t>
  </si>
  <si>
    <t>тыс.кВт*ч</t>
  </si>
  <si>
    <t>Пермский край</t>
  </si>
  <si>
    <t>RU59</t>
  </si>
  <si>
    <t>Заявленная мощность</t>
  </si>
  <si>
    <t>МВт</t>
  </si>
  <si>
    <t>Приморский край</t>
  </si>
  <si>
    <t>RU25</t>
  </si>
  <si>
    <t>DOCUMENT_TYPES</t>
  </si>
  <si>
    <t>Уголь древесный</t>
  </si>
  <si>
    <t>Псковская область</t>
  </si>
  <si>
    <t>RU60</t>
  </si>
  <si>
    <t>Дрова</t>
  </si>
  <si>
    <t>Республика Адыгея</t>
  </si>
  <si>
    <t>RU01</t>
  </si>
  <si>
    <t>Пеллеты</t>
  </si>
  <si>
    <t>Республика Алтай</t>
  </si>
  <si>
    <t>RU04</t>
  </si>
  <si>
    <t>Опилки</t>
  </si>
  <si>
    <t>Республика Башкортостан</t>
  </si>
  <si>
    <t>RU02</t>
  </si>
  <si>
    <t>Торф</t>
  </si>
  <si>
    <t>Республика Бурятия</t>
  </si>
  <si>
    <t>RU03</t>
  </si>
  <si>
    <t>закон</t>
  </si>
  <si>
    <t>Сланцы</t>
  </si>
  <si>
    <t>Республика Дагестан</t>
  </si>
  <si>
    <t>RU05</t>
  </si>
  <si>
    <t>Печное бытовое топливо</t>
  </si>
  <si>
    <t>Республика Ингушетия</t>
  </si>
  <si>
    <t>RU06</t>
  </si>
  <si>
    <t>протокол</t>
  </si>
  <si>
    <t>Прочие виды топлива</t>
  </si>
  <si>
    <t>Республика Калмыкия</t>
  </si>
  <si>
    <t>RU08</t>
  </si>
  <si>
    <t>Щепа древесная</t>
  </si>
  <si>
    <t>Республика Карелия</t>
  </si>
  <si>
    <t>RU10</t>
  </si>
  <si>
    <t>Газ природный - Газ лимитный</t>
  </si>
  <si>
    <t>Республика Коми</t>
  </si>
  <si>
    <t>RU11</t>
  </si>
  <si>
    <t>Мазут</t>
  </si>
  <si>
    <t>Республика Крым</t>
  </si>
  <si>
    <t>RU82</t>
  </si>
  <si>
    <t>Крым</t>
  </si>
  <si>
    <t>Дизельное топливо</t>
  </si>
  <si>
    <t>Республика Марий Эл</t>
  </si>
  <si>
    <t>RU12</t>
  </si>
  <si>
    <t>Газ природный - Газ сверхлимитный</t>
  </si>
  <si>
    <t>Республика Мордовия</t>
  </si>
  <si>
    <t>RU13</t>
  </si>
  <si>
    <t>Республика Саха (Якутия)</t>
  </si>
  <si>
    <t>RU14</t>
  </si>
  <si>
    <t>Республика Северная Осетия-Алания</t>
  </si>
  <si>
    <t>RU15</t>
  </si>
  <si>
    <t>Республика Северная Осетия (Алания)</t>
  </si>
  <si>
    <t>Республика Татарстан</t>
  </si>
  <si>
    <t>RU16</t>
  </si>
  <si>
    <t>Республика Тыва</t>
  </si>
  <si>
    <t>RU17</t>
  </si>
  <si>
    <t>Республика Тыва (Тува)</t>
  </si>
  <si>
    <t>Республика Хакасия</t>
  </si>
  <si>
    <t>RU19</t>
  </si>
  <si>
    <t>Ростовская область</t>
  </si>
  <si>
    <t>RU61</t>
  </si>
  <si>
    <t>Рязанская область</t>
  </si>
  <si>
    <t>RU62</t>
  </si>
  <si>
    <t>Самарская область</t>
  </si>
  <si>
    <t>RU63</t>
  </si>
  <si>
    <t>Саратовская область</t>
  </si>
  <si>
    <t>RU64</t>
  </si>
  <si>
    <t>Сахалинская область</t>
  </si>
  <si>
    <t>RU65</t>
  </si>
  <si>
    <t>Свердловская область</t>
  </si>
  <si>
    <t>RU66</t>
  </si>
  <si>
    <t>Смоленская область</t>
  </si>
  <si>
    <t>RU67</t>
  </si>
  <si>
    <t>Ставропольский край</t>
  </si>
  <si>
    <t>RU26</t>
  </si>
  <si>
    <t>Тамбовская область</t>
  </si>
  <si>
    <t>RU68</t>
  </si>
  <si>
    <t>Тверская область</t>
  </si>
  <si>
    <t>RU69</t>
  </si>
  <si>
    <t>Томская область</t>
  </si>
  <si>
    <t>RU70</t>
  </si>
  <si>
    <t>Тульская область</t>
  </si>
  <si>
    <t>RU71</t>
  </si>
  <si>
    <t>Тюменская область</t>
  </si>
  <si>
    <t>RU72</t>
  </si>
  <si>
    <t>Удмуртская республика</t>
  </si>
  <si>
    <t>RU18</t>
  </si>
  <si>
    <t>Республика Удмуртия</t>
  </si>
  <si>
    <t>Ульяновская область</t>
  </si>
  <si>
    <t>RU73</t>
  </si>
  <si>
    <t>Хабаровский край</t>
  </si>
  <si>
    <t>RU27</t>
  </si>
  <si>
    <t>Ханты-Мансийский автономный округ</t>
  </si>
  <si>
    <t>RU86</t>
  </si>
  <si>
    <t>Челябинская область</t>
  </si>
  <si>
    <t>RU74</t>
  </si>
  <si>
    <t>Чеченская республика</t>
  </si>
  <si>
    <t>RU20</t>
  </si>
  <si>
    <t>Республика Чечня</t>
  </si>
  <si>
    <t>Чувашская республика</t>
  </si>
  <si>
    <t>RU21</t>
  </si>
  <si>
    <t>Республика Чувашия</t>
  </si>
  <si>
    <t>Чукотский автономный округ</t>
  </si>
  <si>
    <t>RU87</t>
  </si>
  <si>
    <t>Ямало-Ненецкий автономный округ</t>
  </si>
  <si>
    <t>RU89</t>
  </si>
  <si>
    <t>Ярославская область</t>
  </si>
  <si>
    <t>RU76</t>
  </si>
  <si>
    <t>Управление Алтайского края по государственному регулированию цен и тарифов</t>
  </si>
  <si>
    <t>Управление государственного регулирования цен и тарифов Амурской области</t>
  </si>
  <si>
    <t>Агентство по тарифам Архангельской области</t>
  </si>
  <si>
    <t>Служба по тарифам Астраханской области</t>
  </si>
  <si>
    <t>Департамент жилищно-коммунального хозяйства Белгородской области</t>
  </si>
  <si>
    <t>Управление государственного регулирования тарифов Брянской области</t>
  </si>
  <si>
    <t>Департамент государственного регулирования цен и тарифов Владимирской области</t>
  </si>
  <si>
    <t>комитет тарифного регулирования Волгоградской области</t>
  </si>
  <si>
    <t>Департамент ТЭК и ТР Вологодской области</t>
  </si>
  <si>
    <t>Департамент государственного регулирования тарифов Воронежской области</t>
  </si>
  <si>
    <t>Департамент экономической политики и развития города Москвы</t>
  </si>
  <si>
    <t>Управление экономического развития администрации города Байконур</t>
  </si>
  <si>
    <t>Комитет по тарифам Санкт-Петербурга</t>
  </si>
  <si>
    <t>Управление по тарифам города Севастополя</t>
  </si>
  <si>
    <t>Комитет тарифов и цен правительства Еврейской автономной области</t>
  </si>
  <si>
    <t>Региональная служба по тарифам и ценообразованию Забайкальского края</t>
  </si>
  <si>
    <t>Департамент энергетики и тарифов Ивановской области</t>
  </si>
  <si>
    <t>Служба по тарифам Иркутской области</t>
  </si>
  <si>
    <t>Государственный комитет Кабардино-Балкарский Республики по тарифам и жилищному надзору</t>
  </si>
  <si>
    <t>Служба по государственному регулированию цен и тарифов Калининградской области</t>
  </si>
  <si>
    <t>Министерство конкурентной политики Калужской области</t>
  </si>
  <si>
    <t>Региональная служба по тарифам и ценам Камчатского края</t>
  </si>
  <si>
    <t>Главное управление Карачаево-Черкесской Республики по тарифам и ценам</t>
  </si>
  <si>
    <t>Региональная энергетическая комиссия Кузбасса</t>
  </si>
  <si>
    <t>Региональная служба по тарифам Кировской области</t>
  </si>
  <si>
    <t>Департамент государственного регулирования цен и тарифов Костромской области</t>
  </si>
  <si>
    <t>Департамент государственного регулирования тарифов Краснодарского края</t>
  </si>
  <si>
    <t>Министерство тарифной политики Красноярского края</t>
  </si>
  <si>
    <t>Департамент государственного регулирования цен и тарифов Курганской области</t>
  </si>
  <si>
    <t>Комитет по тарифам и ценам Курской области</t>
  </si>
  <si>
    <t>Комитет по тарифам и ценовой политике Ленинградской области</t>
  </si>
  <si>
    <t>Управление энергетики и тарифов Липецкой области</t>
  </si>
  <si>
    <t>Департамент цен и тарифов Магаданской области</t>
  </si>
  <si>
    <t>Комитет по ценам и тарифам Московской области</t>
  </si>
  <si>
    <t>Комитет по тарифному регулированию Мурманской области</t>
  </si>
  <si>
    <t>Управление по государственному регулированию цен (тарифов) Ненецкого автономного округа</t>
  </si>
  <si>
    <t>Региональная служба по тарифам Нижегородской области</t>
  </si>
  <si>
    <t>Комитет по тарифной политике Новгородской области</t>
  </si>
  <si>
    <t>Департамент по тарифам Новосибирской области</t>
  </si>
  <si>
    <t>Региональная энергетическая комиссия Омской области</t>
  </si>
  <si>
    <t>Департамент Оренбургской области по ценам и регулированию тарифов</t>
  </si>
  <si>
    <t>Управление по тарифам и ценовой политике Орловской области</t>
  </si>
  <si>
    <t>Департамент по регулированию тарифов и энергосбережению Пензенской области</t>
  </si>
  <si>
    <t>Министерство тарифного регулирования и энергетики Пермского края</t>
  </si>
  <si>
    <t>Агентство по тарифам Приморского края</t>
  </si>
  <si>
    <t>Комитет по тарифам и энергетике Псковской области</t>
  </si>
  <si>
    <t>Управление государственного регулирования цен и тарифов Республики Адыгея</t>
  </si>
  <si>
    <t>Комитет по тарифам Республики Алтай</t>
  </si>
  <si>
    <t>Государственный комитет Республики Башкортостан по тарифам</t>
  </si>
  <si>
    <t>Республиканская служба по тарифам Республики Бурятия</t>
  </si>
  <si>
    <t>Республиканская служба по тарифам Республики Дагестан</t>
  </si>
  <si>
    <t>Государственная жилищная инспекция Республики Ингушетия</t>
  </si>
  <si>
    <t>Региональная служба по тарифам Республики Калмыкия</t>
  </si>
  <si>
    <t>Государственный комитет Республики Карелия по ценам и тарифам</t>
  </si>
  <si>
    <t>Комитет Республики Коми по тарифам</t>
  </si>
  <si>
    <t>Государственный комитет по ценам и тарифам Республики Крым</t>
  </si>
  <si>
    <t>Министерство промышленности, экономического развития и торговли Республики Марий Эл</t>
  </si>
  <si>
    <t>Республиканская служба по тарифам Республики Мордовия</t>
  </si>
  <si>
    <t>Государственный комитет по ценовой политике Республики Саха (Якутия)</t>
  </si>
  <si>
    <t>Региональная служба по тарифам Республики Северная Осетия-Алания</t>
  </si>
  <si>
    <t>Государственный комитет Республики Татарстан по тарифам</t>
  </si>
  <si>
    <t>Служба по тарифам Республики Тыва</t>
  </si>
  <si>
    <t>Государственный комитет энергетики и тарифного регулирования Республики Хакасия</t>
  </si>
  <si>
    <t>Региональная служба по тарифам Ростовской области</t>
  </si>
  <si>
    <t>Главное управление "Региональная энергетическая комиссия" Рязанской области</t>
  </si>
  <si>
    <t>Департамент ценового и тарифного регулирования Самарской области</t>
  </si>
  <si>
    <t>Комитет государственного регулирования тарифов Саратовской области</t>
  </si>
  <si>
    <t>региональная энергетическая комиссии Сахалинской области</t>
  </si>
  <si>
    <t>Региональная энергетическая комиссия Свердловской области</t>
  </si>
  <si>
    <t>Департамент Смоленской области по энергетике, энергоэффективности, тарифной политике</t>
  </si>
  <si>
    <t>Региональная тарифная комиссия Ставропольского края</t>
  </si>
  <si>
    <t>Управление по регулированию тарифов Тамбовской области</t>
  </si>
  <si>
    <t>Главное управление "Региональная энергетическая комиссия" Тверской области</t>
  </si>
  <si>
    <t>Департамент тарифного регулирования Томской области</t>
  </si>
  <si>
    <t>Комитет Тульской области по тарифам</t>
  </si>
  <si>
    <t>Департамент тарифной и ценовой политики Тюменской области</t>
  </si>
  <si>
    <t>Министерство строительства, жилищно-коммунального хозяйства и энергетики Удмуртской Республики</t>
  </si>
  <si>
    <t>Агентство по регулированию цен и тарифов Ульяновской области</t>
  </si>
  <si>
    <t>Комитет по ценам и тарифам Правительства Хабаровского края</t>
  </si>
  <si>
    <t>Региональная служба по тарифам Ханты-Мансийского автономного округа - Югры</t>
  </si>
  <si>
    <t>Министерство тарифного регулирования и энергетики Челябинской области</t>
  </si>
  <si>
    <t>Государственный комитет цен и тарифов Чеченской Республики</t>
  </si>
  <si>
    <t>Государственная служба Чувашской Республики по конкурентной политике и тарифам</t>
  </si>
  <si>
    <t>Комитет государственного регулирования цен и тарифов Чукотского автономного округа</t>
  </si>
  <si>
    <t>Департамент тарифной политики, энергетики и жилищно-коммунального комплекса Ямало-Ненецкого автономного округа</t>
  </si>
  <si>
    <t>Департамент жилищно-коммунального хозяйства, энергетики и регулирования тарифов Ярославской области</t>
  </si>
  <si>
    <t>start_date</t>
  </si>
  <si>
    <t>end_date</t>
  </si>
  <si>
    <t>report_date</t>
  </si>
  <si>
    <t>entity_id</t>
  </si>
  <si>
    <t>scenario_id</t>
  </si>
  <si>
    <t>scenario_name</t>
  </si>
  <si>
    <t>fil_id</t>
  </si>
  <si>
    <t>nomer2_id</t>
  </si>
  <si>
    <t>nomer2_name</t>
  </si>
  <si>
    <t>nmob_id</t>
  </si>
  <si>
    <t>nmob_name</t>
  </si>
  <si>
    <t>nsrf_id</t>
  </si>
  <si>
    <t>nsrf_name</t>
  </si>
  <si>
    <t>det_id</t>
  </si>
  <si>
    <t>det_name</t>
  </si>
  <si>
    <t>lgl_id</t>
  </si>
  <si>
    <t>l_base_service_production</t>
  </si>
  <si>
    <t>l_base_service_transmission</t>
  </si>
  <si>
    <t>l_base_service_sale</t>
  </si>
  <si>
    <t>l_address_mr</t>
  </si>
  <si>
    <t>l_address_mo</t>
  </si>
  <si>
    <t>l_address_oktmo</t>
  </si>
  <si>
    <t>l_address_location</t>
  </si>
  <si>
    <t>l_address_loc_oktmo</t>
  </si>
  <si>
    <t>l_address_street</t>
  </si>
  <si>
    <t>l_address_building</t>
  </si>
  <si>
    <t>l_pr_ic</t>
  </si>
  <si>
    <t>l_pr_cl</t>
  </si>
  <si>
    <t>l_pr_tp_count</t>
  </si>
  <si>
    <t>l_pr_type_of_heating</t>
  </si>
  <si>
    <t>l_pr_base_fuel</t>
  </si>
  <si>
    <t>l_pr_urut_norm</t>
  </si>
  <si>
    <t>l_pr_urut_fact</t>
  </si>
  <si>
    <t>l_pr_reserve_fuel</t>
  </si>
  <si>
    <t>l_pr_seasonality</t>
  </si>
  <si>
    <t>l_pr_depreciation</t>
  </si>
  <si>
    <t>l_pr_start_exploit_date</t>
  </si>
  <si>
    <t>l_tr_sl_ic</t>
  </si>
  <si>
    <t>l_tr_sl_cl</t>
  </si>
  <si>
    <t>l_tr_sl_tp_count</t>
  </si>
  <si>
    <t>l_tr_sl_l_heat_total</t>
  </si>
  <si>
    <t>l_tr_sl_l_heat_50_250</t>
  </si>
  <si>
    <t>l_tr_sl_l_heat_251_400</t>
  </si>
  <si>
    <t>l_tr_sl_l_heat_401_550</t>
  </si>
  <si>
    <t>l_tr_sl_l_heat_551_700</t>
  </si>
  <si>
    <t>l_tr_sl_l_heat_701</t>
  </si>
  <si>
    <t>l_tr_sl_l_hvsn_total</t>
  </si>
  <si>
    <t>l_tr_sl_l_hvsn_50_250</t>
  </si>
  <si>
    <t>l_tr_sl_l_hvsn_251_400</t>
  </si>
  <si>
    <t>l_tr_sl_l_hvsn_401_550</t>
  </si>
  <si>
    <t>l_tr_sl_l_hvsn_551_700</t>
  </si>
  <si>
    <t>l_tr_sl_l_hvsn_701</t>
  </si>
  <si>
    <t>l_tr_sl_l_heat_over_total</t>
  </si>
  <si>
    <t>l_tr_sl_l_heat_over_50_250</t>
  </si>
  <si>
    <t>l_tr_sl_l_heat_over_251_400</t>
  </si>
  <si>
    <t>l_tr_sl_l_heat_over_401_550</t>
  </si>
  <si>
    <t>l_tr_sl_l_heat_over_551_700</t>
  </si>
  <si>
    <t>l_tr_sl_l_heat_over_701</t>
  </si>
  <si>
    <t>l_tr_sl_l_hvsn_over_total</t>
  </si>
  <si>
    <t>l_tr_sl_l_hvsn_over_50_250</t>
  </si>
  <si>
    <t>l_tr_sl_l_hvsn_over_251_400</t>
  </si>
  <si>
    <t>l_tr_sl_l_hvsn_over_401_550</t>
  </si>
  <si>
    <t>l_tr_sl_l_hvsn_over_551_700</t>
  </si>
  <si>
    <t>l_tr_sl_l_hvsn_over_701</t>
  </si>
  <si>
    <t>l_tr_sl_l_heat_u_ch_total</t>
  </si>
  <si>
    <t>l_tr_sl_l_heat_u_ch_50_250</t>
  </si>
  <si>
    <t>l_tr_sl_l_heat_u_ch_251_400</t>
  </si>
  <si>
    <t>l_tr_sl_l_heat_u_ch_401_550</t>
  </si>
  <si>
    <t>l_tr_sl_l_heat_u_ch_551_700</t>
  </si>
  <si>
    <t>l_tr_sl_l_heat_u_ch_701</t>
  </si>
  <si>
    <t>l_tr_sl_l_hvsn_u_ch_total</t>
  </si>
  <si>
    <t>l_tr_sl_l_hvsn_u_ch_50_250</t>
  </si>
  <si>
    <t>l_tr_sl_l_hvsn_u_ch_251_400</t>
  </si>
  <si>
    <t>l_tr_sl_l_hvsn_u_ch_401_550</t>
  </si>
  <si>
    <t>l_tr_sl_l_hvsn_u_ch_551_700</t>
  </si>
  <si>
    <t>l_tr_sl_l_hvsn_u_ch_701</t>
  </si>
  <si>
    <t>l_tr_sl_l_heat_u_nonch_total</t>
  </si>
  <si>
    <t>l_tr_sl_l_heat_u_nonch_50_250</t>
  </si>
  <si>
    <t>l_tr_sl_l_heat_u_nonch_251_400</t>
  </si>
  <si>
    <t>l_tr_sl_l_heat_u_nonch_401_550</t>
  </si>
  <si>
    <t>l_tr_sl_l_heat_u_nonch_551_700</t>
  </si>
  <si>
    <t>l_tr_sl_l_heat_u_nonch_701</t>
  </si>
  <si>
    <t>l_tr_sl_l_hvsn_u_nonch_total</t>
  </si>
  <si>
    <t>l_tr_sl_l_hvsn_u_nonch_50_250</t>
  </si>
  <si>
    <t>l_tr_sl_l_hvsn_u_nonch_251_400</t>
  </si>
  <si>
    <t>l_tr_sl_l_hvsn_u_nonch_401_550</t>
  </si>
  <si>
    <t>l_tr_sl_l_hvsn_u_nonch_551_700</t>
  </si>
  <si>
    <t>l_tr_sl_l_hvsn_u_nonch_701</t>
  </si>
  <si>
    <t>l_tr_sl_depreciation</t>
  </si>
  <si>
    <t>l_current_state</t>
  </si>
  <si>
    <t>l_ownership_type</t>
  </si>
  <si>
    <t>l_base_of_contract</t>
  </si>
  <si>
    <t>l_url</t>
  </si>
  <si>
    <t>l_exploit_doc_type</t>
  </si>
  <si>
    <t>l_exploit_doc_base</t>
  </si>
  <si>
    <t>l_exploit_doc_number</t>
  </si>
  <si>
    <t>l_exploit_doc_date</t>
  </si>
  <si>
    <t>l_exploit_doc_url</t>
  </si>
  <si>
    <t>id</t>
  </si>
  <si>
    <t>address</t>
  </si>
  <si>
    <t>sce:REESTR.HEAT.SOURCE.2025</t>
  </si>
  <si>
    <t>ТИ</t>
  </si>
  <si>
    <t>8379453062.0000000000</t>
  </si>
  <si>
    <t>некомбинированное</t>
  </si>
  <si>
    <t>г Полысаево</t>
  </si>
  <si>
    <t>32514000006</t>
  </si>
  <si>
    <t>Токарева</t>
  </si>
  <si>
    <t>51.2800000000</t>
  </si>
  <si>
    <t>7.6400000000</t>
  </si>
  <si>
    <t>0.0000000000</t>
  </si>
  <si>
    <t>открытая</t>
  </si>
  <si>
    <t>[Уголь длиннопламенный]</t>
  </si>
  <si>
    <t>[197,89]</t>
  </si>
  <si>
    <t>[283,81]</t>
  </si>
  <si>
    <t>[нет]</t>
  </si>
  <si>
    <t>круглогодичный</t>
  </si>
  <si>
    <t>50.0000000000</t>
  </si>
  <si>
    <t>20.11.1986</t>
  </si>
  <si>
    <t>эксплуатируется</t>
  </si>
  <si>
    <t>частная собственность</t>
  </si>
  <si>
    <t>собственное имущество</t>
  </si>
  <si>
    <t>Отсутствует</t>
  </si>
  <si>
    <t>0</t>
  </si>
  <si>
    <t>mrName</t>
  </si>
  <si>
    <t>moName</t>
  </si>
  <si>
    <t>oktmo</t>
  </si>
  <si>
    <t>Беловский муниципальный округ</t>
  </si>
  <si>
    <t>32501000</t>
  </si>
  <si>
    <t>Гурьевский муниципальный округ</t>
  </si>
  <si>
    <t>32502000</t>
  </si>
  <si>
    <t>Ижморский муниципальный округ</t>
  </si>
  <si>
    <t>32504000</t>
  </si>
  <si>
    <t>Кемеровский муниципальный округ</t>
  </si>
  <si>
    <t>32507000</t>
  </si>
  <si>
    <t>Крапивинский муниципальный округ</t>
  </si>
  <si>
    <t>32510000</t>
  </si>
  <si>
    <t>32513000</t>
  </si>
  <si>
    <t>Мариинский муниципальный округ</t>
  </si>
  <si>
    <t>32516000</t>
  </si>
  <si>
    <t>Междуреченский муниципальный округ</t>
  </si>
  <si>
    <t>32517000</t>
  </si>
  <si>
    <t>Новокузнецкий  муниципальный округ</t>
  </si>
  <si>
    <t>32519000</t>
  </si>
  <si>
    <t>Прокопьевский муниципальный округ</t>
  </si>
  <si>
    <t>32522000</t>
  </si>
  <si>
    <t>Промышленновский муниципальный округ</t>
  </si>
  <si>
    <t>32525000</t>
  </si>
  <si>
    <t>Таштагольский муниципальный округ</t>
  </si>
  <si>
    <t>32527000</t>
  </si>
  <si>
    <t>Тисульский муниципальный округ</t>
  </si>
  <si>
    <t>32528000</t>
  </si>
  <si>
    <t>Топкинский муниципальный округ</t>
  </si>
  <si>
    <t>32531000</t>
  </si>
  <si>
    <t>Тяжинский муниципальный округ</t>
  </si>
  <si>
    <t>32534000</t>
  </si>
  <si>
    <t>Чебулинский муниципальный округ</t>
  </si>
  <si>
    <t>32537000</t>
  </si>
  <si>
    <t>Юргинский муниципальный округ</t>
  </si>
  <si>
    <t>32540000</t>
  </si>
  <si>
    <t>Яйский муниципальный округ</t>
  </si>
  <si>
    <t>32543000</t>
  </si>
  <si>
    <t>Яшкинский муниципальный округ</t>
  </si>
  <si>
    <t>32546000</t>
  </si>
  <si>
    <t>Беловский муниципальный район</t>
  </si>
  <si>
    <t>Сельское поселение Беловского муниципального района/Бековское</t>
  </si>
  <si>
    <t>32601402</t>
  </si>
  <si>
    <t>Сельское поселение Беловского муниципального района/Евтинское</t>
  </si>
  <si>
    <t>32601412</t>
  </si>
  <si>
    <t>Сельское поселение Беловского муниципального района/Новобачатское</t>
  </si>
  <si>
    <t>32601414</t>
  </si>
  <si>
    <t>Сельское поселение Беловского муниципального района/Менчерепское</t>
  </si>
  <si>
    <t>32601432</t>
  </si>
  <si>
    <t>Сельское поселение Беловского муниципального района/Моховское</t>
  </si>
  <si>
    <t>32601436</t>
  </si>
  <si>
    <t>Сельское поселение Беловского муниципального района/Пермяковское</t>
  </si>
  <si>
    <t>32601444</t>
  </si>
  <si>
    <t>Сельское поселение Беловского муниципального района/Старобачатское</t>
  </si>
  <si>
    <t>32601451</t>
  </si>
  <si>
    <t>Сельское поселение Беловского муниципального района/Старопестеревское</t>
  </si>
  <si>
    <t>32601452</t>
  </si>
  <si>
    <t>Гурьевский муниципальный район</t>
  </si>
  <si>
    <t>Городское поселение Гурьевского муниципального района/город Гурьевск</t>
  </si>
  <si>
    <t>32602101</t>
  </si>
  <si>
    <t>Городское поселение Гурьевского муниципального района/город Салаир</t>
  </si>
  <si>
    <t>32602104</t>
  </si>
  <si>
    <t>Сельское поселение Гурьевского муниципального района/Горскинское</t>
  </si>
  <si>
    <t>32602404</t>
  </si>
  <si>
    <t>Сельское поселение Гурьевского муниципального района/Малосалаирское</t>
  </si>
  <si>
    <t>32602420</t>
  </si>
  <si>
    <t>Сельское поселение Гурьевского муниципального района/Новопестеревское</t>
  </si>
  <si>
    <t>32602428</t>
  </si>
  <si>
    <t>Сельское поселение Гурьевского муниципального района/Раздольное</t>
  </si>
  <si>
    <t>32602430</t>
  </si>
  <si>
    <t>Сельское поселение Гурьевского муниципального района/Сосновское</t>
  </si>
  <si>
    <t>32602435</t>
  </si>
  <si>
    <t>Сельское поселение Гурьевского муниципального района/Ур-Бедаревское</t>
  </si>
  <si>
    <t>32602450</t>
  </si>
  <si>
    <t>Сельское поселение Гурьевского муниципального района/Урское</t>
  </si>
  <si>
    <t>32602455</t>
  </si>
  <si>
    <t>Ижморский муниципальный район</t>
  </si>
  <si>
    <t>Городское поселение Ижморского муниципального района/п.г.т. Ижморский</t>
  </si>
  <si>
    <t>32604151</t>
  </si>
  <si>
    <t>Сельское поселение Ижморского муниципального района/Колыонское</t>
  </si>
  <si>
    <t>32604416</t>
  </si>
  <si>
    <t>Сельское поселение Ижморского муниципального района/Красноярское</t>
  </si>
  <si>
    <t>32604420</t>
  </si>
  <si>
    <t>Сельское поселение Ижморского муниципального района/Постниковское</t>
  </si>
  <si>
    <t>32604424</t>
  </si>
  <si>
    <t>Сельское поселение Ижморского муниципального района/Святославское</t>
  </si>
  <si>
    <t>32604428</t>
  </si>
  <si>
    <t>Сельское поселение Ижморского муниципального района/Симбирское</t>
  </si>
  <si>
    <t>32604432</t>
  </si>
  <si>
    <t>Сельское поселение Ижморского муниципального района/Троицкое</t>
  </si>
  <si>
    <t>32604436</t>
  </si>
  <si>
    <t>Кемеровский муниципальный район</t>
  </si>
  <si>
    <t>Сельское поселение Кемеровского муниципального района/Арсентьевское</t>
  </si>
  <si>
    <t>32607404</t>
  </si>
  <si>
    <t>Сельское поселение Кемеровского муниципального района/Береговое</t>
  </si>
  <si>
    <t>32607408</t>
  </si>
  <si>
    <t>Сельское поселение Кемеровского муниципального района/Березовское</t>
  </si>
  <si>
    <t>32607412</t>
  </si>
  <si>
    <t>Сельское поселение Кемеровского муниципального района/Щегловское</t>
  </si>
  <si>
    <t>32607416</t>
  </si>
  <si>
    <t>Сельское поселение Кемеровского муниципального района/Елыкаевское</t>
  </si>
  <si>
    <t>32607424</t>
  </si>
  <si>
    <t>Сельское поселение Кемеровского муниципального района/Звездное</t>
  </si>
  <si>
    <t>32607426</t>
  </si>
  <si>
    <t>Сельское поселение Кемеровского муниципального района/Ясногорское</t>
  </si>
  <si>
    <t>32607428</t>
  </si>
  <si>
    <t>Сельское поселение Кемеровского муниципального района/Суховское</t>
  </si>
  <si>
    <t>32607441</t>
  </si>
  <si>
    <t>Сельское поселение Кемеровского муниципального района/Ягуновское</t>
  </si>
  <si>
    <t>32607444</t>
  </si>
  <si>
    <t>Крапивинский муниципальный район</t>
  </si>
  <si>
    <t>32610000</t>
  </si>
  <si>
    <t>Городское поселение Крапивинского муниципального района/п.г.т. Крапивинский</t>
  </si>
  <si>
    <t>32610151</t>
  </si>
  <si>
    <t>Городское поселение Крапивинского муниципального района/п.г.т. Зеленогорский</t>
  </si>
  <si>
    <t>32610153</t>
  </si>
  <si>
    <t>Сельское поселение Крапивинского муниципального района/Банновское</t>
  </si>
  <si>
    <t>32610404</t>
  </si>
  <si>
    <t>Сельское поселение Крапивинского муниципального района/Барачатское</t>
  </si>
  <si>
    <t>32610408</t>
  </si>
  <si>
    <t>Сельское поселение Крапивинского муниципального района/Борисовское</t>
  </si>
  <si>
    <t>32610412</t>
  </si>
  <si>
    <t>Сельское поселение Крапивинского муниципального района/Зеленовское</t>
  </si>
  <si>
    <t>32610416</t>
  </si>
  <si>
    <t>Сельское поселение Крапивинского муниципального района/Каменское</t>
  </si>
  <si>
    <t>32610420</t>
  </si>
  <si>
    <t>Сельское поселение Крапивинского муниципального района/Крапивинское</t>
  </si>
  <si>
    <t>32610424</t>
  </si>
  <si>
    <t>Сельское поселение Крапивинского муниципального района/Мельковское</t>
  </si>
  <si>
    <t>32610428</t>
  </si>
  <si>
    <t>Сельское поселение Крапивинского муниципального района/Тарадановское</t>
  </si>
  <si>
    <t>32610436</t>
  </si>
  <si>
    <t>Сельское поселение Крапивинского муниципального района/Шевелевское</t>
  </si>
  <si>
    <t>32610446</t>
  </si>
  <si>
    <t>Ленинск-Кузнецкий муниципальный район</t>
  </si>
  <si>
    <t>32613000</t>
  </si>
  <si>
    <t>Сельское поселение Ленинск-Кузнецкого муниципального района/Горняцкое</t>
  </si>
  <si>
    <t>32613412</t>
  </si>
  <si>
    <t>Сельское поселение Ленинск-Кузнецкого муниципального района/Демьяновское</t>
  </si>
  <si>
    <t>32613416</t>
  </si>
  <si>
    <t>Сельское поселение Ленинск-Кузнецкого муниципального района/Драченинское</t>
  </si>
  <si>
    <t>32613420</t>
  </si>
  <si>
    <t>Сельское поселение Ленинск-Кузнецкого муниципального района/Краснинское</t>
  </si>
  <si>
    <t>32613432</t>
  </si>
  <si>
    <t>Сельское поселение Ленинск-Кузнецкого муниципального района/Подгорновское</t>
  </si>
  <si>
    <t>32613448</t>
  </si>
  <si>
    <t>Сельское поселение Ленинск-Кузнецкого муниципального района/Чкаловское</t>
  </si>
  <si>
    <t>32613452</t>
  </si>
  <si>
    <t>Сельское поселение Ленинск-Кузнецкого муниципального района/Чусовитинское</t>
  </si>
  <si>
    <t>32613456</t>
  </si>
  <si>
    <t>Сельское поселение Ленинск-Кузнецкого муниципального района/Шабановское</t>
  </si>
  <si>
    <t>32613460</t>
  </si>
  <si>
    <t>Мариинский муниципальный район</t>
  </si>
  <si>
    <t>Городское поселение Мариинского муниципального района/город Мариинск</t>
  </si>
  <si>
    <t>32616101</t>
  </si>
  <si>
    <t>Сельское поселение Мариинского муниципального района/Белогородское</t>
  </si>
  <si>
    <t>32616404</t>
  </si>
  <si>
    <t>Сельское поселение Мариинского муниципального района/Благовещенское</t>
  </si>
  <si>
    <t>32616408</t>
  </si>
  <si>
    <t>Сельское поселение Мариинского муниципального района/Большеантибесское</t>
  </si>
  <si>
    <t>32616412</t>
  </si>
  <si>
    <t>Сельское поселение Мариинского муниципального района/Калининское</t>
  </si>
  <si>
    <t>32616414</t>
  </si>
  <si>
    <t>Сельское поселение Мариинского муниципального района/Кийское</t>
  </si>
  <si>
    <t>32616415</t>
  </si>
  <si>
    <t>Сельское поселение Мариинского муниципального района/Красноорловское</t>
  </si>
  <si>
    <t>32616416</t>
  </si>
  <si>
    <t>Сельское поселение Мариинского муниципального района/Лебяжье</t>
  </si>
  <si>
    <t>32616420</t>
  </si>
  <si>
    <t>Сельское поселение Мариинского муниципального района/Малопесчанское</t>
  </si>
  <si>
    <t>32616424</t>
  </si>
  <si>
    <t>Сельское поселение Мариинского муниципального района/Николаевское</t>
  </si>
  <si>
    <t>32616428</t>
  </si>
  <si>
    <t>Сельское поселение Мариинского муниципального района/Первомайское</t>
  </si>
  <si>
    <t>32616440</t>
  </si>
  <si>
    <t>Сельское поселение Мариинского муниципального района/Сусловское</t>
  </si>
  <si>
    <t>32616444</t>
  </si>
  <si>
    <t>Сельское поселение Мариинского муниципального района/Таежно-Михайловское</t>
  </si>
  <si>
    <t>32616448</t>
  </si>
  <si>
    <t>Новокузнецкий муниципальный район</t>
  </si>
  <si>
    <t>32619000</t>
  </si>
  <si>
    <t>Сельское поселение Новокузнецкого муниципального района/Центральное</t>
  </si>
  <si>
    <t>32619404</t>
  </si>
  <si>
    <t>Безруковское</t>
  </si>
  <si>
    <t>32619408</t>
  </si>
  <si>
    <t>Бунгурское</t>
  </si>
  <si>
    <t>32619416</t>
  </si>
  <si>
    <t>Еланское</t>
  </si>
  <si>
    <t>32619420</t>
  </si>
  <si>
    <t>Сельское поселение Новокузнецкого муниципального района/Загорское</t>
  </si>
  <si>
    <t>32619422</t>
  </si>
  <si>
    <t>Ильинское</t>
  </si>
  <si>
    <t>32619424</t>
  </si>
  <si>
    <t>32619428</t>
  </si>
  <si>
    <t>Сельское поселение Новокузнецкого муниципального района/Красулинское</t>
  </si>
  <si>
    <t>32619432</t>
  </si>
  <si>
    <t>Сельское поселение Новокузнецкого муниципального района/Кузедеевское</t>
  </si>
  <si>
    <t>32619433</t>
  </si>
  <si>
    <t>Куртуковское</t>
  </si>
  <si>
    <t>32619434</t>
  </si>
  <si>
    <t>Металлургское</t>
  </si>
  <si>
    <t>32619440</t>
  </si>
  <si>
    <t>Орловское</t>
  </si>
  <si>
    <t>32619446</t>
  </si>
  <si>
    <t>Сары-Чумышское</t>
  </si>
  <si>
    <t>32619450</t>
  </si>
  <si>
    <t>Сидоровское</t>
  </si>
  <si>
    <t>32619456</t>
  </si>
  <si>
    <t>Сельское поселение Новокузнецкого муниципального района/Сосновское</t>
  </si>
  <si>
    <t>32619460</t>
  </si>
  <si>
    <t>Сельское поселение Новокузнецкого муниципального района/Терсинское</t>
  </si>
  <si>
    <t>32619468</t>
  </si>
  <si>
    <t>32619470</t>
  </si>
  <si>
    <t>32619473</t>
  </si>
  <si>
    <t>Прокопьевский муниципальный район</t>
  </si>
  <si>
    <t>Сельское поселение Прокопьевского муниципального района/Большеталдинское</t>
  </si>
  <si>
    <t>32622404</t>
  </si>
  <si>
    <t>Сельское поселение Прокопьевского муниципального района/Бурлаковское</t>
  </si>
  <si>
    <t>32622408</t>
  </si>
  <si>
    <t>Сельское поселение Прокопьевского муниципального района/Калачевское</t>
  </si>
  <si>
    <t>32622420</t>
  </si>
  <si>
    <t>Сельское поселение Прокопьевского муниципального района/Каменно-Ключевское</t>
  </si>
  <si>
    <t>32622424</t>
  </si>
  <si>
    <t>Сельское поселение Прокопьевского муниципального района/Кузбасское</t>
  </si>
  <si>
    <t>32622436</t>
  </si>
  <si>
    <t>Сельское поселение Прокопьевского муниципального района/Михайловское</t>
  </si>
  <si>
    <t>32622444</t>
  </si>
  <si>
    <t>Сельское поселение Прокопьевского муниципального района/Сафоновское</t>
  </si>
  <si>
    <t>32622448</t>
  </si>
  <si>
    <t>Сельское поселение Прокопьевского муниципального района/Терентьевское</t>
  </si>
  <si>
    <t>32622452</t>
  </si>
  <si>
    <t>Сельское поселение Прокопьевского муниципального района/Трудармейское</t>
  </si>
  <si>
    <t>32622454</t>
  </si>
  <si>
    <t>Сельское поселение Прокопьевского муниципального района/Яснополянское</t>
  </si>
  <si>
    <t>32622460</t>
  </si>
  <si>
    <t>Промышленновский муниципальный район</t>
  </si>
  <si>
    <t>32625000</t>
  </si>
  <si>
    <t>Городское поселение Промышленновского муниципального района/п.г.т. Промышленная</t>
  </si>
  <si>
    <t>32625151</t>
  </si>
  <si>
    <t>Сельское поселение Промышленновского муниципальног района/Вагановское</t>
  </si>
  <si>
    <t>32625408</t>
  </si>
  <si>
    <t>Сельское поселение Промышленновского муниципального района/Калинкинское</t>
  </si>
  <si>
    <t>32625414</t>
  </si>
  <si>
    <t>Сельское поселение Промышленновского муниципального района/Лебедевское</t>
  </si>
  <si>
    <t>32625416</t>
  </si>
  <si>
    <t>Сельское поселение Промышленновского муниципального района/Окунёвское</t>
  </si>
  <si>
    <t>32625424</t>
  </si>
  <si>
    <t>Сельское поселение Промышленновского муниципального района/Плотниковское</t>
  </si>
  <si>
    <t>32625428</t>
  </si>
  <si>
    <t>Сельское поселение Промышленновского муниципального района/Падунское</t>
  </si>
  <si>
    <t>32625432</t>
  </si>
  <si>
    <t>Сельское поселение Промышленновского муниципального района/Пушкинское</t>
  </si>
  <si>
    <t>32625436</t>
  </si>
  <si>
    <t>Сельское поселение Промышленновского муниципального района/Тарабаринское</t>
  </si>
  <si>
    <t>32625440</t>
  </si>
  <si>
    <t>Сельское поселение Промышленновского муниципального района/Тарасовское</t>
  </si>
  <si>
    <t>32625444</t>
  </si>
  <si>
    <t>Сельское поселение Промышленновского муниципального района/Титовское</t>
  </si>
  <si>
    <t>32625448</t>
  </si>
  <si>
    <t>Таштагольский муниципальный район</t>
  </si>
  <si>
    <t>Городское поселение Таштагольского муниципального района/город Таштагол</t>
  </si>
  <si>
    <t>32627101</t>
  </si>
  <si>
    <t>Городское поселение Таштагольского муниципального района/п.г.т. Каз</t>
  </si>
  <si>
    <t>32627154</t>
  </si>
  <si>
    <t>Городское поселение Таштагольского муниципального района/п.г.т. Мундыбаш</t>
  </si>
  <si>
    <t>32627157</t>
  </si>
  <si>
    <t>Городское поселение Таштагольского муниципального района/п.г.т. Спасск</t>
  </si>
  <si>
    <t>32627162</t>
  </si>
  <si>
    <t>Городское поселение Таштагольского муниципального района/п.г.т. Темиртау</t>
  </si>
  <si>
    <t>32627165</t>
  </si>
  <si>
    <t>Городское поселение Таштагольского муниципального района/п.г.т. Шерегеш</t>
  </si>
  <si>
    <t>32627175</t>
  </si>
  <si>
    <t>Сельское поселение Таштагольского муниципального района/Каларское</t>
  </si>
  <si>
    <t>32627413</t>
  </si>
  <si>
    <t>Сельское поселение Таштагольского муниципального района/Коуринское</t>
  </si>
  <si>
    <t>32627417</t>
  </si>
  <si>
    <t>Сельское поселение Таштагольского муниципального района/Кызыл-Шорское</t>
  </si>
  <si>
    <t>32627420</t>
  </si>
  <si>
    <t>Сельское поселение Таштагольского муниципального района/Усть-Кабырзинское</t>
  </si>
  <si>
    <t>32627438</t>
  </si>
  <si>
    <t>Тисульский муниципальный район</t>
  </si>
  <si>
    <t>32628000</t>
  </si>
  <si>
    <t>Городское поселение Тисульского муниципального района/п.г.т. Тисуль</t>
  </si>
  <si>
    <t>32628151</t>
  </si>
  <si>
    <t>Городское поселение Тисульского муниципального района/п.г.т. Белогорск</t>
  </si>
  <si>
    <t>32628154</t>
  </si>
  <si>
    <t>Городское поселение Тисульского муниципального района/п.г.т.Комсомольск</t>
  </si>
  <si>
    <t>32628160</t>
  </si>
  <si>
    <t>Сельское поселение Тисульского муниципального района/Берикульское</t>
  </si>
  <si>
    <t>32628402</t>
  </si>
  <si>
    <t>Сельское поселение Тисульского муниципального района/Большебарандатское</t>
  </si>
  <si>
    <t>32628408</t>
  </si>
  <si>
    <t>Сельское поселение Тисульского муниципального района/Куликовское</t>
  </si>
  <si>
    <t>32628412</t>
  </si>
  <si>
    <t>Сельское поселение Тисульского муниципального района/Листвянское</t>
  </si>
  <si>
    <t>32628415</t>
  </si>
  <si>
    <t>Сельское поселение Тисульского муниципального района/Серебряковское</t>
  </si>
  <si>
    <t>32628418</t>
  </si>
  <si>
    <t>Сельское поселение Тисульского муниципального района/Полуторниковское</t>
  </si>
  <si>
    <t>32628420</t>
  </si>
  <si>
    <t>Сельское поселение Тисульского муниципального района/Тамбарское</t>
  </si>
  <si>
    <t>32628424</t>
  </si>
  <si>
    <t>Сельское поселение Тисульского муниципального района/Третьяковское</t>
  </si>
  <si>
    <t>32628428</t>
  </si>
  <si>
    <t>Сельское поселение Тисульского муниципального района/Утинское</t>
  </si>
  <si>
    <t>32628436</t>
  </si>
  <si>
    <t>Сельское поселение Тисульского муниципального района/Центральное</t>
  </si>
  <si>
    <t>32628440</t>
  </si>
  <si>
    <t>Топкинский муниципальный район</t>
  </si>
  <si>
    <t>Городское поселение Топкинского муниципального района/город Топки</t>
  </si>
  <si>
    <t>32631101</t>
  </si>
  <si>
    <t>Сельское поселение Топкинского муниципального района/Верх-Падунское</t>
  </si>
  <si>
    <t>32631404</t>
  </si>
  <si>
    <t>Сельское поселение Топкинского муниципального района/Зарубинское</t>
  </si>
  <si>
    <t>32631412</t>
  </si>
  <si>
    <t>Сельское поселение Топкинского муниципального района/Лукошкинское</t>
  </si>
  <si>
    <t>32631416</t>
  </si>
  <si>
    <t>Сельское поселение Топкинского муниципального района/Осиногривское</t>
  </si>
  <si>
    <t>32631420</t>
  </si>
  <si>
    <t>Сельское поселение Топкинского муниципального района/Соломинское</t>
  </si>
  <si>
    <t>32631424</t>
  </si>
  <si>
    <t>Сельское поселение Топкинского муниципального района/Топкинское</t>
  </si>
  <si>
    <t>32631428</t>
  </si>
  <si>
    <t>Сельское поселение Топкинского муниципального района/Усть-Сосновское</t>
  </si>
  <si>
    <t>32631432</t>
  </si>
  <si>
    <t>Сельское поселение Топкинского муниципального района/Хорошеборское</t>
  </si>
  <si>
    <t>32631436</t>
  </si>
  <si>
    <t>Сельское поселение Топкинского муниципального района/Черемичкинское</t>
  </si>
  <si>
    <t>32631440</t>
  </si>
  <si>
    <t>Сельское поселение Топкинского муниципального района/Шишинское</t>
  </si>
  <si>
    <t>32631444</t>
  </si>
  <si>
    <t>Сельское поселение Топкинского муниципального района/Юрьевское</t>
  </si>
  <si>
    <t>32631448</t>
  </si>
  <si>
    <t>Тяжинский муниципальный район</t>
  </si>
  <si>
    <t>Городское поселение Тяжинского муниципального района/п.г.т. Тяжинский</t>
  </si>
  <si>
    <t>32634151</t>
  </si>
  <si>
    <t>Городское поселение Тяжинского муниципального района/п.г.т. Итатский</t>
  </si>
  <si>
    <t>32634154</t>
  </si>
  <si>
    <t>Сельское поселение Тяжинского муниципального района/Кубитетское</t>
  </si>
  <si>
    <t>32634404</t>
  </si>
  <si>
    <t>Сельское поселение Тяжинского муниципального района/Листвянское</t>
  </si>
  <si>
    <t>32634408</t>
  </si>
  <si>
    <t>Сельское поселение Тяжинского муниципального района/Акимо-Анненское</t>
  </si>
  <si>
    <t>32634412</t>
  </si>
  <si>
    <t>Сельское поселение Тяжинского муниципального района/Новоподзорновское</t>
  </si>
  <si>
    <t>32634414</t>
  </si>
  <si>
    <t>Сельское поселение Тяжинского муниципального района/Новопокровское</t>
  </si>
  <si>
    <t>32634416</t>
  </si>
  <si>
    <t>Сельское поселение Тяжинского муниципального района/Преображенское</t>
  </si>
  <si>
    <t>32634420</t>
  </si>
  <si>
    <t>Сельское поселение Тяжинского муниципального района/Нововосточное</t>
  </si>
  <si>
    <t>32634424</t>
  </si>
  <si>
    <t>Сельское поселение Тяжинского муниципального района/Ступишинское</t>
  </si>
  <si>
    <t>32634428</t>
  </si>
  <si>
    <t>Сельское поселение Тяжинского муниципального района/Тисульское</t>
  </si>
  <si>
    <t>32634432</t>
  </si>
  <si>
    <t>Сельское поселение Тяжинского муниципального района/Чулымское</t>
  </si>
  <si>
    <t>32634436</t>
  </si>
  <si>
    <t>Чебулинский муниципальный район</t>
  </si>
  <si>
    <t>Городское поселение Чебулинского муниципального района/п.г.т. Верх-Чебула</t>
  </si>
  <si>
    <t>32637151</t>
  </si>
  <si>
    <t>Сельское поселение Чебулинского муниципального района/Алчедатское</t>
  </si>
  <si>
    <t>32637404</t>
  </si>
  <si>
    <t>Сельское поселение Чебулинского муниципального района/Ивановское</t>
  </si>
  <si>
    <t>32637412</t>
  </si>
  <si>
    <t>Сельское поселение Чебулинского муниципального района/Усманское</t>
  </si>
  <si>
    <t>32637420</t>
  </si>
  <si>
    <t>Сельское поселение Чебулинского муниципального района/Усть-Сертинское</t>
  </si>
  <si>
    <t>32637424</t>
  </si>
  <si>
    <t>Сельское поселение Чебулинского муниципального района/Усть-Чебулинское</t>
  </si>
  <si>
    <t>32637428</t>
  </si>
  <si>
    <t>Сельское поселение Чебулинского муниципального района/Чумайское</t>
  </si>
  <si>
    <t>32637432</t>
  </si>
  <si>
    <t>Юргинский муниципальный район</t>
  </si>
  <si>
    <t>Сельское поселение Юргинского муниципального района/Арлюкское</t>
  </si>
  <si>
    <t>32640404</t>
  </si>
  <si>
    <t>Сельское поселение Юргинского муниципального района/Зеледеевское</t>
  </si>
  <si>
    <t>32640408</t>
  </si>
  <si>
    <t>Сельское поселение Юргинского муниципального района/Лебяжье-Асановское</t>
  </si>
  <si>
    <t>32640412</t>
  </si>
  <si>
    <t>Сельское поселение Юргинского муниципального района/Мальцевское</t>
  </si>
  <si>
    <t>32640416</t>
  </si>
  <si>
    <t>Сельское поселение Юргинского муниципального района/Новоромановское</t>
  </si>
  <si>
    <t>32640420</t>
  </si>
  <si>
    <t>Сельское поселение Юргинского муниципального района/Попереченское</t>
  </si>
  <si>
    <t>32640424</t>
  </si>
  <si>
    <t>Сельское поселение Юргинского муниципального района/Проскоковское</t>
  </si>
  <si>
    <t>32640428</t>
  </si>
  <si>
    <t>Сельское поселение Юргинского муниципального района/Тальское</t>
  </si>
  <si>
    <t>32640432</t>
  </si>
  <si>
    <t>Сельское поселение Юргинского муниципального района/Юргинское</t>
  </si>
  <si>
    <t>32640436</t>
  </si>
  <si>
    <t>Яйский муниципальный район</t>
  </si>
  <si>
    <t>Городское поселение Яйского муниципального района/ п.г.т. Яя</t>
  </si>
  <si>
    <t>32643151</t>
  </si>
  <si>
    <t>Сельское поселение Яйского муниципального района/Безлесное</t>
  </si>
  <si>
    <t>32643404</t>
  </si>
  <si>
    <t>Сельское поселение Яйского муниципального района/Бекетское</t>
  </si>
  <si>
    <t>32643408</t>
  </si>
  <si>
    <t>Сельское поселение Яйского муниципального района/Вознесенское</t>
  </si>
  <si>
    <t>32643412</t>
  </si>
  <si>
    <t>Сельское поселение Яйского муниципального района/Дачно-Троицкое</t>
  </si>
  <si>
    <t>32643416</t>
  </si>
  <si>
    <t>Сельское поселение Яйского муниципального района/Кайлинское</t>
  </si>
  <si>
    <t>32643424</t>
  </si>
  <si>
    <t>Сельское поселение Яйского муниципального района/Китатское</t>
  </si>
  <si>
    <t>32643428</t>
  </si>
  <si>
    <t>Сельское поселение Яйского муниципального района/Марьевское</t>
  </si>
  <si>
    <t>32643432</t>
  </si>
  <si>
    <t>Сельское поселение Яйского муниципального района/Судженское</t>
  </si>
  <si>
    <t>32643436</t>
  </si>
  <si>
    <t>Сельское поселение Яйского муниципального района/Улановское</t>
  </si>
  <si>
    <t>32643440</t>
  </si>
  <si>
    <t>Яшкинский муниципальный район</t>
  </si>
  <si>
    <t>Городское поселение Яшкинского муниципального района/п.г.т. Яшкино</t>
  </si>
  <si>
    <t>32646151</t>
  </si>
  <si>
    <t>Сельское поселение Яшкинского муниципального района/Акациевское</t>
  </si>
  <si>
    <t>32646402</t>
  </si>
  <si>
    <t>Сельское поселение Яшкинского муниципального района/Дубровинское</t>
  </si>
  <si>
    <t>32646408</t>
  </si>
  <si>
    <t>Сельское поселение Яшкинского муниципального района/Колмогоровское</t>
  </si>
  <si>
    <t>32646414</t>
  </si>
  <si>
    <t>Сельское поселение Яшкинского муниципального района/Ленинское</t>
  </si>
  <si>
    <t>32646419</t>
  </si>
  <si>
    <t>Сельское поселение Яшкинского муниципального района/Литвиновское</t>
  </si>
  <si>
    <t>32646420</t>
  </si>
  <si>
    <t>Сельское поселение Яшкинского муниципального района/Пачинское</t>
  </si>
  <si>
    <t>32646424</t>
  </si>
  <si>
    <t>Сельское поселение Яшкинского муниципального района/Пашковское</t>
  </si>
  <si>
    <t>32646428</t>
  </si>
  <si>
    <t>Сельское поселение Яшкинского муниципального района/Поломошинское</t>
  </si>
  <si>
    <t>32646432</t>
  </si>
  <si>
    <t>Сельское поселение Яшкинского муниципального района/Таловское</t>
  </si>
  <si>
    <t>32646436</t>
  </si>
  <si>
    <t>Сельское поселение Яшкинского муниципального района/Шахтерское</t>
  </si>
  <si>
    <t>32646450</t>
  </si>
  <si>
    <t>город Кемерово</t>
  </si>
  <si>
    <t>32701000</t>
  </si>
  <si>
    <t>город Анжеро-Судженск</t>
  </si>
  <si>
    <t>32704000</t>
  </si>
  <si>
    <t>город Белово</t>
  </si>
  <si>
    <t>32707000</t>
  </si>
  <si>
    <t>город Березовский</t>
  </si>
  <si>
    <t>32710000</t>
  </si>
  <si>
    <t>город Калтан</t>
  </si>
  <si>
    <t>32715000</t>
  </si>
  <si>
    <t>город Киселевск</t>
  </si>
  <si>
    <t>32716000</t>
  </si>
  <si>
    <t>город Ленинск-Кузнецкий</t>
  </si>
  <si>
    <t>32719000</t>
  </si>
  <si>
    <t>город Междуреченск</t>
  </si>
  <si>
    <t>32725000</t>
  </si>
  <si>
    <t>город Мыски</t>
  </si>
  <si>
    <t>32728000</t>
  </si>
  <si>
    <t>город Новокузнецк</t>
  </si>
  <si>
    <t>32731000</t>
  </si>
  <si>
    <t>город Полысаево</t>
  </si>
  <si>
    <t>32732000</t>
  </si>
  <si>
    <t>город Осинники</t>
  </si>
  <si>
    <t>32734000</t>
  </si>
  <si>
    <t>город Прокопьевск</t>
  </si>
  <si>
    <t>32737000</t>
  </si>
  <si>
    <t>город Тайга</t>
  </si>
  <si>
    <t>32740000</t>
  </si>
  <si>
    <t>город Юрга</t>
  </si>
  <si>
    <t>32749000</t>
  </si>
  <si>
    <t>поселок городского типа Краснобродский</t>
  </si>
  <si>
    <t>32751000</t>
  </si>
  <si>
    <t>regionFasId</t>
  </si>
  <si>
    <t>regionName</t>
  </si>
  <si>
    <t>orgFasId</t>
  </si>
  <si>
    <t>orgName</t>
  </si>
  <si>
    <t>orgFullName</t>
  </si>
  <si>
    <t>inn</t>
  </si>
  <si>
    <t>kpp</t>
  </si>
  <si>
    <t>ogrn</t>
  </si>
  <si>
    <t>okpo</t>
  </si>
  <si>
    <t>okopf</t>
  </si>
  <si>
    <t>factAddress</t>
  </si>
  <si>
    <t>legalAddress</t>
  </si>
  <si>
    <t>phone</t>
  </si>
  <si>
    <t>email</t>
  </si>
  <si>
    <t>fioDirector</t>
  </si>
  <si>
    <t>postDirector</t>
  </si>
  <si>
    <t>webSite</t>
  </si>
  <si>
    <t>isUsn</t>
  </si>
  <si>
    <t>sphereCode</t>
  </si>
  <si>
    <t>Анжеро-Судженская ЛПДС филиала "Новосибирское РНУ" АО "Транснефть - Западная Сибирь"</t>
  </si>
  <si>
    <t>Анжеро-Судженская линейная производственно-диспетчерская станция  филиала "Новосибирское РНУ" АО "Транснефть - Западная Сибирь"</t>
  </si>
  <si>
    <t>5502020634</t>
  </si>
  <si>
    <t>424603001</t>
  </si>
  <si>
    <t>1025500514489</t>
  </si>
  <si>
    <t>00139152</t>
  </si>
  <si>
    <t>Российская Федерация, 652472, г. Анжеро-Судженск,2</t>
  </si>
  <si>
    <t>Российская Федерация, 644033, г. Омск, ул. Красный Путь, 111, корп. 1</t>
  </si>
  <si>
    <t>(383) 229-96-76, 229-96-37</t>
  </si>
  <si>
    <t>MakushkinaIS@oms.transneft.ru</t>
  </si>
  <si>
    <t>Толмачев Дмитрий Викторович</t>
  </si>
  <si>
    <t xml:space="preserve"> Начальника управления</t>
  </si>
  <si>
    <t>transsibneft.transneft.ru/info</t>
  </si>
  <si>
    <t>VS</t>
  </si>
  <si>
    <t>АО "ЕВРАЗ ЗСМК"</t>
  </si>
  <si>
    <t>Акционерное общество "ЕВРАЗ Объединённый Западно-Сибирский металлургический комбинат"</t>
  </si>
  <si>
    <t>4218000951</t>
  </si>
  <si>
    <t>421801001</t>
  </si>
  <si>
    <t>1024201670020</t>
  </si>
  <si>
    <t>05757676</t>
  </si>
  <si>
    <t>Российская Федерация, 654043, Кемеровская область, г. Новокузнецк, шоссе Космическое, 16</t>
  </si>
  <si>
    <t>(3843) 59-59-00, 59-34-68</t>
  </si>
  <si>
    <t>zsmk@zsmk.ru,koryakina_av@zsmk.ru</t>
  </si>
  <si>
    <t>Юрьев Алексей Борисович</t>
  </si>
  <si>
    <t>Управляющий директор</t>
  </si>
  <si>
    <t>www.zsmk.ru</t>
  </si>
  <si>
    <t>АО "Кемеровская генерация"</t>
  </si>
  <si>
    <t>Акционерное общество "Кемеровская генерация"</t>
  </si>
  <si>
    <t>4205243192</t>
  </si>
  <si>
    <t>420501001</t>
  </si>
  <si>
    <t>1122224002284</t>
  </si>
  <si>
    <t>37717187</t>
  </si>
  <si>
    <t>Российская Федерация, 650000, Кемеровская область, г. Кемерово, пр-т Кузнецкий, д. 30</t>
  </si>
  <si>
    <t>115054, Российская Федерация, г.Москва, ул. Дубининская, дом 53, строение 5, эт/пом/ком 2/V/1</t>
  </si>
  <si>
    <t>(3842) 45-33-50, 36-68-48, 45-37-77</t>
  </si>
  <si>
    <t>tgk12@sibgenco.ru</t>
  </si>
  <si>
    <t>Баев Антон Сергеевич</t>
  </si>
  <si>
    <t>Зам Ген директора –Директор Кузбасского ф-ла "СГК"</t>
  </si>
  <si>
    <t>www.sibgenco.ru</t>
  </si>
  <si>
    <t>АО "Кузнецкая ТЭЦ"</t>
  </si>
  <si>
    <t>Акционерное общество "Кузнецкая ТЭЦ"</t>
  </si>
  <si>
    <t>4205243178</t>
  </si>
  <si>
    <t>1122224002295</t>
  </si>
  <si>
    <t>37717224</t>
  </si>
  <si>
    <t>(3842) 453-350,36-68-48, 45-37-77</t>
  </si>
  <si>
    <t>tgk12@sibgenco.ru, Kuztec@sibgenco.ru; TomilovaIA@</t>
  </si>
  <si>
    <t>Директор Кузбасского филиала ООО "СГК"</t>
  </si>
  <si>
    <t>АО «Мариинский ЛВЗ»</t>
  </si>
  <si>
    <t>Акционерное общество "Мариинский ликеро-водочный завод"</t>
  </si>
  <si>
    <t>4213003050</t>
  </si>
  <si>
    <t>421301001</t>
  </si>
  <si>
    <t>1024201368696</t>
  </si>
  <si>
    <t>337923</t>
  </si>
  <si>
    <t>Российская Федерация, 652154, Кемеровская область,  г.Мариинск, ул. Пальчикова, 28</t>
  </si>
  <si>
    <t>8 38443 5-80-22; (38443) 5-06-01</t>
  </si>
  <si>
    <t>mlvz.ofis@mlvz.net</t>
  </si>
  <si>
    <t>Прохоров Константин Анатольевич</t>
  </si>
  <si>
    <t>Генеральный директор</t>
  </si>
  <si>
    <t>http://www.mlvz.net/</t>
  </si>
  <si>
    <t>АО "ПО Водоканал"</t>
  </si>
  <si>
    <t>Акционерное общество "Производственное объединение Водоканал"</t>
  </si>
  <si>
    <t>4223030694</t>
  </si>
  <si>
    <t>422301001</t>
  </si>
  <si>
    <t>1024201883320</t>
  </si>
  <si>
    <t>653000, Кемеровская область, г. Прокопьевск, пер. Артема,7</t>
  </si>
  <si>
    <t>8(3846) 61-33-63, 61-47-74</t>
  </si>
  <si>
    <t>vodapr_plan@mail.ru, Vodapr@mail.ru</t>
  </si>
  <si>
    <t>Райлян Юрий Михайлович</t>
  </si>
  <si>
    <t>И.о. генерального директора</t>
  </si>
  <si>
    <t>АО "РУСАЛ Новокузнецкий Алюминиевый Завод"</t>
  </si>
  <si>
    <t>Акционерное общество "РУСАЛ Новокузнецкий Алюминиевый Завод"</t>
  </si>
  <si>
    <t>4221000535</t>
  </si>
  <si>
    <t>997550001</t>
  </si>
  <si>
    <t>1024201821093</t>
  </si>
  <si>
    <t>05785276</t>
  </si>
  <si>
    <t>РОССИЯ, 654000, Кемеровская область, г. Новокузнецк, пр-д Ферросплавный, д. 7</t>
  </si>
  <si>
    <t>РОССИЯ, 654000, Кемеровская область, г. Новокузнецк</t>
  </si>
  <si>
    <t>(3843) 39-73-22/ 37-45-32</t>
  </si>
  <si>
    <t>RostovVV@nkaz.rusal.ru</t>
  </si>
  <si>
    <t>Марков Вячеслав Викторович</t>
  </si>
  <si>
    <t>www.rusal.ru</t>
  </si>
  <si>
    <t>АО "Транснефть-Западная Сибирь"</t>
  </si>
  <si>
    <t>Акционерное общество "Транснефть-Западная Сибирь"</t>
  </si>
  <si>
    <t>546050001</t>
  </si>
  <si>
    <t>644040, г. Омск, пер. Нефтяной, 18</t>
  </si>
  <si>
    <t>644033, г. Омск, ул. Красный путь, 111,  кор.1</t>
  </si>
  <si>
    <t>(3812) 69-16-98, ф. (3812) 69-11-70 приемная</t>
  </si>
  <si>
    <t>ZenzerovaLV@omsornu.oms.transneft.ru</t>
  </si>
  <si>
    <t>Шувалов Владимир Валерьевич</t>
  </si>
  <si>
    <t>Начальник ОРНУ</t>
  </si>
  <si>
    <t>http://www.transsibneft.com/index.htm</t>
  </si>
  <si>
    <t>АО ЦОФ "Берёзовская"</t>
  </si>
  <si>
    <t>Акционерное общество Центральная обогатительная фабрика "Берёзовская"</t>
  </si>
  <si>
    <t>4203001617</t>
  </si>
  <si>
    <t>424950001</t>
  </si>
  <si>
    <t>1024200646018</t>
  </si>
  <si>
    <t>00160212</t>
  </si>
  <si>
    <t>1 22 47 | Публичные акционерные общества</t>
  </si>
  <si>
    <t>Российская Федерация, 652421, Кемеровская область, г.Берёзовский</t>
  </si>
  <si>
    <t>38445-39980; 39981</t>
  </si>
  <si>
    <t>ccm@koks.metholding.ru</t>
  </si>
  <si>
    <t>Куколев Александр Анатольевич</t>
  </si>
  <si>
    <t>Ачинская дистанция гражданских сооружений - СП КЖД - филиала ОАО "РЖД"</t>
  </si>
  <si>
    <t>Ачинская дистанция гражданских сооружений - структурное подразделение Красноярской железной дороги - филиала ОАО "РЖД"</t>
  </si>
  <si>
    <t>7708503727</t>
  </si>
  <si>
    <t>1037739877295</t>
  </si>
  <si>
    <t>662156, Красноярский край, г.Ачинск, ул.Привокзальная, 3</t>
  </si>
  <si>
    <t>107174, г.Москва, ул.Новая Басманная, д.2</t>
  </si>
  <si>
    <t>(39151) 65695 / 66477</t>
  </si>
  <si>
    <t>semyach@ach.krw.ru</t>
  </si>
  <si>
    <t>начальник дистанции</t>
  </si>
  <si>
    <t>КАО "Азот"</t>
  </si>
  <si>
    <t>КЕМЕРОВСКОЕ АКЦИОНЕРНОЕ ОБЩЕСТВО " АЗОТ "</t>
  </si>
  <si>
    <t>4205000908</t>
  </si>
  <si>
    <t>1024200705077</t>
  </si>
  <si>
    <t>05761637</t>
  </si>
  <si>
    <t>РОССИЯ, 650021, Кемеровская область, г. Кемерово, ул. Грузовая, стр. 1</t>
  </si>
  <si>
    <t>(3842) 571-577, 570-669/ 570-091, 571-924, 255-947</t>
  </si>
  <si>
    <t>info@azot.kuzbass.net</t>
  </si>
  <si>
    <t>Безух Игорь Геннадьевич</t>
  </si>
  <si>
    <t>www.sds-azot.ru</t>
  </si>
  <si>
    <t>Красноярская дирекция по тепловодоснабжению</t>
  </si>
  <si>
    <t>Красноярская дирекция по тепловодоснабжению - структурное подразделение Центральной дирекции по тепловодоснабжению - филиала ОАО "Российские железные дороги"</t>
  </si>
  <si>
    <t>246645014</t>
  </si>
  <si>
    <t xml:space="preserve"> 660021 г.Красноярск, ул.Горького, д.6</t>
  </si>
  <si>
    <t>107174, г.Москва, ул.Новая Басманная, д. 2, Красноярской ДТВ - 660021 г.Красноярск, ул.Горького, д.6</t>
  </si>
  <si>
    <t>(391) -259-52-98</t>
  </si>
  <si>
    <t>PotemkinaTE@krw.ru</t>
  </si>
  <si>
    <t>Гамалей Николай Иванович</t>
  </si>
  <si>
    <t>начальник дирекции</t>
  </si>
  <si>
    <t>Кузбасский территориальный участок ЗСД по тепловодоснабжению - СП ЦД по тепловодоснабжению - филиал ОАО "РЖД"</t>
  </si>
  <si>
    <t>Кузбасский территорильный  участокЗападно-Сибирской дирекции по тепловодоснабжению - структурного подразделения Центральной дирекции по тепловодоснабжению-филиал ОАО "РЖД"</t>
  </si>
  <si>
    <t>540775040</t>
  </si>
  <si>
    <t>630132, г.Новосибирск, ул.Движенцев, 20</t>
  </si>
  <si>
    <t>(383)-229-23-71/ 2292371</t>
  </si>
  <si>
    <t>Кутлин Владимир Николаевич</t>
  </si>
  <si>
    <t>МКП "ВКХ"</t>
  </si>
  <si>
    <t>Муниципальное казенное предприятие Новокузнецкого городского округа "Водопроводно-канализационное хозяйство"</t>
  </si>
  <si>
    <t>4217191774</t>
  </si>
  <si>
    <t>421701001</t>
  </si>
  <si>
    <t>1184205022847</t>
  </si>
  <si>
    <t>34166812</t>
  </si>
  <si>
    <t>6 51 43 | Муниципальные казенные предприятия</t>
  </si>
  <si>
    <t>654041, Кемеровская область, г. Новокузнецк, ул. Сеченова, 19А</t>
  </si>
  <si>
    <t>8-384-3-92-11-44</t>
  </si>
  <si>
    <t>mkpvkh2018@mail.ru</t>
  </si>
  <si>
    <t>Климентоа Артем Николаевич</t>
  </si>
  <si>
    <t>Директор</t>
  </si>
  <si>
    <t>МКП "Водоканал" ТМР</t>
  </si>
  <si>
    <t>Муниципальное казенное предприятие "Водоканал"Таштаголького муниципального района</t>
  </si>
  <si>
    <t>4252015570</t>
  </si>
  <si>
    <t>425201001</t>
  </si>
  <si>
    <t>1194205017269</t>
  </si>
  <si>
    <t>41121336</t>
  </si>
  <si>
    <t>6 52 43 | Муниципальные унитарные предприятия</t>
  </si>
  <si>
    <t>652992, Кемеровская область, г. Таштагол, ул. Геологическая д.62, пом.1</t>
  </si>
  <si>
    <t>83843465636</t>
  </si>
  <si>
    <t>ukek.econ@yandex.ru</t>
  </si>
  <si>
    <t>Скутнев Александр Николаевич</t>
  </si>
  <si>
    <t>МКП "КОМФОРТ"</t>
  </si>
  <si>
    <t>Муниципальное казенное предприятие "КОМФОРТ" Тяжинского муниципального округа</t>
  </si>
  <si>
    <t>4213011357</t>
  </si>
  <si>
    <t>1164205054860</t>
  </si>
  <si>
    <t>00198054</t>
  </si>
  <si>
    <t>652240,  Кемеровская область, р. Тяжинский. пгт. Тяжинский, ул. Сибирская, д. 11А</t>
  </si>
  <si>
    <t>652240, Кемеровская область, р. Тяжинский. пгт. Тяжинский, ул. Сибирская, д. 11А</t>
  </si>
  <si>
    <t>8(384-49) 28-6-11</t>
  </si>
  <si>
    <t>komfort.mup@mail.ru</t>
  </si>
  <si>
    <t>Домченко Николай Владимирович</t>
  </si>
  <si>
    <t>директор</t>
  </si>
  <si>
    <t>МКП "КТВС НМР"</t>
  </si>
  <si>
    <t>Муниципальное казенное предприятие "Котельные, тепловые и водопроводные сети Новокузнецкого муниципального района"</t>
  </si>
  <si>
    <t>4252015404</t>
  </si>
  <si>
    <t>1194205013034</t>
  </si>
  <si>
    <t>53873567</t>
  </si>
  <si>
    <t>654027,г. Новокузнецк, ул. Курако, д. 51а/19</t>
  </si>
  <si>
    <t>654201, Кемеровская область, Новокузнецкий район,с. Сосновка, ул. Юдина, д.1, литера а, помещение 3</t>
  </si>
  <si>
    <t>8-384-3-92-12-13</t>
  </si>
  <si>
    <t>office@ktsnr.ru</t>
  </si>
  <si>
    <t>Климентов Артем Николаевич</t>
  </si>
  <si>
    <t>МКП МГО "Водоканал"</t>
  </si>
  <si>
    <t>Муниципальное казенное предприятие Мысковского городского округа "Водоканал"</t>
  </si>
  <si>
    <t>4214040978</t>
  </si>
  <si>
    <t>421401001</t>
  </si>
  <si>
    <t>1204200001521</t>
  </si>
  <si>
    <t>50089809</t>
  </si>
  <si>
    <t>652840, Кемеровская область- Кузбасс, г. Мыски, ул. Олимпийская, д.1</t>
  </si>
  <si>
    <t>8-384-74-2-08-99</t>
  </si>
  <si>
    <t>mkp-vdk@ya.ru</t>
  </si>
  <si>
    <t>Миронов Вдадимир Алексеевич</t>
  </si>
  <si>
    <t>водоканалмыски.рф</t>
  </si>
  <si>
    <t>МКП ММО "Ресурс"</t>
  </si>
  <si>
    <t>Муниципальное казенное предприятие Мариинского муниципального округа "Ресурс"</t>
  </si>
  <si>
    <t>4213012417</t>
  </si>
  <si>
    <t>1194205016125</t>
  </si>
  <si>
    <t>94647895</t>
  </si>
  <si>
    <t>652150, Кемеровская область, г. Мариинск, ул. Дорожная л. 8</t>
  </si>
  <si>
    <t>mkpresurs@mail.ru</t>
  </si>
  <si>
    <t>Кондратьев  Владимир Анатольевич</t>
  </si>
  <si>
    <t>МКП ОГО "Теплоэнерго"</t>
  </si>
  <si>
    <t>Муниципальное казенное предприятие Осинниковского городского округа "Теплоэнерго"</t>
  </si>
  <si>
    <t>4222016746</t>
  </si>
  <si>
    <t>422201001</t>
  </si>
  <si>
    <t>1194205015113</t>
  </si>
  <si>
    <t>89948915</t>
  </si>
  <si>
    <t>652815, Кемеровская область, г. Осинники, ул. Чайковского, дом 1 "А"</t>
  </si>
  <si>
    <t>teploenergo_osinniki@list.ru</t>
  </si>
  <si>
    <t>Волховицкий Владимир Алексеевич</t>
  </si>
  <si>
    <t>МКП "Тепло"</t>
  </si>
  <si>
    <t>Муниципальное казенное предприятие "Тепло"</t>
  </si>
  <si>
    <t>4230032501</t>
  </si>
  <si>
    <t>423001001</t>
  </si>
  <si>
    <t>1184205004070</t>
  </si>
  <si>
    <t>25494144</t>
  </si>
  <si>
    <t>652305, Кемеровская обл., г. Топки, ул. Алма-Атинская,31"3"</t>
  </si>
  <si>
    <t>3845431132</t>
  </si>
  <si>
    <t>mkpjkh-topki@mail.ru</t>
  </si>
  <si>
    <t>Сербай Галина Николаевна</t>
  </si>
  <si>
    <t>МКП "Теплосеть" КГО</t>
  </si>
  <si>
    <t>Муниципальное казенное предприятие "Теплосеть" Калтанского городского округа</t>
  </si>
  <si>
    <t>4222016778</t>
  </si>
  <si>
    <t>1194205017555</t>
  </si>
  <si>
    <t>41180706</t>
  </si>
  <si>
    <t>652740, Кемеровская область, г. Калтан, пр. Комсомольский, д.7/3</t>
  </si>
  <si>
    <t>teploset_kaltan@mail.ru</t>
  </si>
  <si>
    <t>И ванов Андрей Анатольевич</t>
  </si>
  <si>
    <t>МКП "ЭнергоРесурс КМО"</t>
  </si>
  <si>
    <t>Муниципальное казенное предприятие "ЭнергоРесурс Кемеровского муниципального округа"</t>
  </si>
  <si>
    <t>4205408510</t>
  </si>
  <si>
    <t>1224200009934</t>
  </si>
  <si>
    <t>52963570</t>
  </si>
  <si>
    <t>650002, г. Кемерово, пр. Шахтеров, 113 "з"</t>
  </si>
  <si>
    <t>650524 Кемеровская область - Кузбасс, МО Кемеровский, д. Старочервово, пер. Подгорный стр.6, пом.6</t>
  </si>
  <si>
    <t>8-384-2-64-60-68</t>
  </si>
  <si>
    <t>energoresurskmo@inbox.ru</t>
  </si>
  <si>
    <t>Алексеенко Максим Николаевич</t>
  </si>
  <si>
    <t>erkmo.ru</t>
  </si>
  <si>
    <t>МП "Исток"</t>
  </si>
  <si>
    <t>Муниципальное предприятие города Киселевска "Исток"</t>
  </si>
  <si>
    <t>4211023572</t>
  </si>
  <si>
    <t>421101001</t>
  </si>
  <si>
    <t>1094211000828</t>
  </si>
  <si>
    <t>62503786</t>
  </si>
  <si>
    <t>652729, Кемеровская обл, Киселевск г, Желтых Акаций ул, 1а</t>
  </si>
  <si>
    <t>652715, Кемеровская обл, Киселевск г, Добровольная ул, 30</t>
  </si>
  <si>
    <t>8-384-64-7-23-93 (ф)</t>
  </si>
  <si>
    <t>mp.istok@mail.ru</t>
  </si>
  <si>
    <t>Шишкин Сергей Владимирович</t>
  </si>
  <si>
    <t>МУП "Водоканал"</t>
  </si>
  <si>
    <t>Муниципальное унитарное предприятие "Водоканал"</t>
  </si>
  <si>
    <t>4202043124</t>
  </si>
  <si>
    <t>420201001</t>
  </si>
  <si>
    <t>1124202000053</t>
  </si>
  <si>
    <t>652600, г.Белово, ул. Тельмана, 3</t>
  </si>
  <si>
    <t>8-384-52-2-15-54</t>
  </si>
  <si>
    <t>bukov-z@rambler.ru</t>
  </si>
  <si>
    <t>Буков Сергей Николаевич</t>
  </si>
  <si>
    <t>Муниципальное унитарное предприятие "Водоканал" Тяжинского муниципального района</t>
  </si>
  <si>
    <t>4213012270</t>
  </si>
  <si>
    <t>1194205003519</t>
  </si>
  <si>
    <t>35829551</t>
  </si>
  <si>
    <t>652240, Кемеровская область, Тяжинский район, пгт. Тяжинский, ул. Сибирская, д.11 А, офис 2</t>
  </si>
  <si>
    <t>83844928726</t>
  </si>
  <si>
    <t>VkanaL19@mail.ru</t>
  </si>
  <si>
    <t>Саватейкин Александр Михайлович</t>
  </si>
  <si>
    <t>МУП Гурьевского муниципального района "УК ЖКХ"</t>
  </si>
  <si>
    <t>Муниципальное унитарное предприятие Гурьевского муниципального района "Управляющая компания жилищно-коммунального хозяйства"</t>
  </si>
  <si>
    <t>4202047136</t>
  </si>
  <si>
    <t>1144202000029</t>
  </si>
  <si>
    <t>16715422</t>
  </si>
  <si>
    <t>652774, Кемеровская обл., Гурьевский р-н, с. Малая Салаирка, ул. Школьная 15а</t>
  </si>
  <si>
    <t>652780, Кемеровская обл. г. Гурьевск, ул. Мичурина 11а</t>
  </si>
  <si>
    <t>8(38463) 313-72</t>
  </si>
  <si>
    <t>komhoz2010@yandex.ru</t>
  </si>
  <si>
    <t>Паньков Вячеслав Валентинович</t>
  </si>
  <si>
    <t>МУП "ИЖКХ" Ижморского муниципального округа"</t>
  </si>
  <si>
    <t>Муниципальное унитарное предприятие "Ижморское жилищно-коммунальное хозяйство" Ижморского муниципального округа"</t>
  </si>
  <si>
    <t>4246021336</t>
  </si>
  <si>
    <t>424601001</t>
  </si>
  <si>
    <t>1174205014048</t>
  </si>
  <si>
    <t>15853524</t>
  </si>
  <si>
    <t>652120, Кемеровская область, Ижморский район, пгт Ижморский ул. Гагарина, дом 15</t>
  </si>
  <si>
    <t>8(384) 59-2-19-61</t>
  </si>
  <si>
    <t>mypgkh@mail.ru</t>
  </si>
  <si>
    <t>Смоляков Анатолий Леонидович</t>
  </si>
  <si>
    <t>МУП "Комфорт"</t>
  </si>
  <si>
    <t>Муниципальное унитарное предприятие "Комфорт"</t>
  </si>
  <si>
    <t>4230026593</t>
  </si>
  <si>
    <t>1094230000842</t>
  </si>
  <si>
    <t>62481292</t>
  </si>
  <si>
    <t>652050, Кемеровская обл. г. Юрга, ул. Шоссейная 54А</t>
  </si>
  <si>
    <t>652081, Кемеровская обл., Юргинский район, с. Верх-Тайменка, пер. Школьный 2</t>
  </si>
  <si>
    <t>8-384-51-4-90-30</t>
  </si>
  <si>
    <t>komfort-priemnaya@mail.ru</t>
  </si>
  <si>
    <t>Ласец Алексей Владимирович</t>
  </si>
  <si>
    <t>МУП "Междуреченский Водоканал"</t>
  </si>
  <si>
    <t>Муниципальное унитарное предприятие  "Междуреченский Водоканал"</t>
  </si>
  <si>
    <t>4214040174</t>
  </si>
  <si>
    <t>1184205021219</t>
  </si>
  <si>
    <t>33873105</t>
  </si>
  <si>
    <t>652870,Кемеровская область, г. Междуреченск, ул. Кузнецкая, 27</t>
  </si>
  <si>
    <t>8-384-75-2-54-02</t>
  </si>
  <si>
    <t>vodamzk@mail.ru</t>
  </si>
  <si>
    <t>Братенков Евгений Владимирович</t>
  </si>
  <si>
    <t>vodamzk.ru</t>
  </si>
  <si>
    <t>МУП "ТЖКХ" Тисульского муниципального района"</t>
  </si>
  <si>
    <t>Муниципальное унитарное предприятие "Тисульское жилищно-коммунальное хозяйство"  Тисульского муниципального района</t>
  </si>
  <si>
    <t>4213012375</t>
  </si>
  <si>
    <t>1194205015047</t>
  </si>
  <si>
    <t>89951930</t>
  </si>
  <si>
    <t>652210, Кемеровская область-Кузбасс, Тисульский р-н,п.г.т. Тисуль, ул. Энгельса, 22</t>
  </si>
  <si>
    <t>652210, Кемеровская область-Кузбасс, Тисульский р-н,п.г.т. Тисуль, ул. Ленина, 53 оф.3</t>
  </si>
  <si>
    <t>8-961-700-34-65</t>
  </si>
  <si>
    <t>Вельмякина Татьяна Викторовна</t>
  </si>
  <si>
    <t>mupgkh2019@yandex.ru</t>
  </si>
  <si>
    <t>ОАО «СКЭК»</t>
  </si>
  <si>
    <t>ОТКРЫТОЕ АКЦИОНЕРНОЕ ОБЩЕСТВО "СЕВЕРО-КУЗБАССКАЯ ЭНЕРГЕТИЧЕСКАЯ КОМПАНИЯ"</t>
  </si>
  <si>
    <t>4205153492</t>
  </si>
  <si>
    <t>1084205006600</t>
  </si>
  <si>
    <t>26623916</t>
  </si>
  <si>
    <t>650000, Россия, Кемеровская область, г. Кемерово, ул. Кузбасская, 6</t>
  </si>
  <si>
    <t>(384-2)36-26-83</t>
  </si>
  <si>
    <t>krupov@skek.ru</t>
  </si>
  <si>
    <t>Волков Дмитрий Иванович</t>
  </si>
  <si>
    <t>www.skek.ru</t>
  </si>
  <si>
    <t>ООО "АВК ПЛЮС"</t>
  </si>
  <si>
    <t>Общество с ограниченной ответственностью "АВК ПЛЮС"</t>
  </si>
  <si>
    <t>4205252430</t>
  </si>
  <si>
    <t>1124205017595</t>
  </si>
  <si>
    <t>1 23 00 | Общества с ограниченной ответственностью</t>
  </si>
  <si>
    <t>650023, г. Кемерово, пр-т Ленина, д. 106-а, кв. 4</t>
  </si>
  <si>
    <t>8-3842-57-43-46</t>
  </si>
  <si>
    <t>Романченко Наталья Владимировна</t>
  </si>
  <si>
    <t>ООО "БВК"</t>
  </si>
  <si>
    <t>Общество с ограниченной ответственностью "Белогорский ВодоКанал"</t>
  </si>
  <si>
    <t>4213012657</t>
  </si>
  <si>
    <t>1204200005789</t>
  </si>
  <si>
    <t>75761509</t>
  </si>
  <si>
    <t>652238, Кемеровская область - Кузбасс, Тисульский район, пгт. Белогорск, ул. Лесная, д.1Б, оф.2</t>
  </si>
  <si>
    <t>8-38447-63-1-20</t>
  </si>
  <si>
    <t>b.vodokanl@yandex.ru</t>
  </si>
  <si>
    <t>Пакулова Евгения Александровна</t>
  </si>
  <si>
    <t>ООО "Велес+"</t>
  </si>
  <si>
    <t>Общество с ограниченной ответственностью "Велес+"</t>
  </si>
  <si>
    <t>4212046580</t>
  </si>
  <si>
    <t>1244200011769</t>
  </si>
  <si>
    <t>47822979</t>
  </si>
  <si>
    <t>652594, Кемеровская область-Кузбасс, Ленинск-Кузнецкий муниципальный округ, д. Красноярка, пер. Школьный, д. 2, кв.1</t>
  </si>
  <si>
    <t>89609006007</t>
  </si>
  <si>
    <t>oooveles.2014@mail.ru</t>
  </si>
  <si>
    <t>Соколова Оксана Николаевна</t>
  </si>
  <si>
    <t>ООО "Водоканал"</t>
  </si>
  <si>
    <t>Общество с ограниченной ответственностью "Водоканал"</t>
  </si>
  <si>
    <t>4217166136</t>
  </si>
  <si>
    <t>1144217006966</t>
  </si>
  <si>
    <t>Российская Федерация, 654005, Кемеровская область, г. Новокузнецк, пр. Строителей, 98</t>
  </si>
  <si>
    <t>(3843) 900-897, 900-810, 790-494</t>
  </si>
  <si>
    <t>office@vdk.ru</t>
  </si>
  <si>
    <t>Тихонова Татьяна Евгеньевна</t>
  </si>
  <si>
    <t>www.vdk.ru</t>
  </si>
  <si>
    <t>4246021953</t>
  </si>
  <si>
    <t>1184205010857</t>
  </si>
  <si>
    <t>28660258</t>
  </si>
  <si>
    <t>652470, Кемеровская область, г. Анжеро-Судженск, ул. Милицейская, 64</t>
  </si>
  <si>
    <t>652470, Кемеровская область, г. Анжеро-Судженск, ул. Желябова, 5/2</t>
  </si>
  <si>
    <t>8(38453)6-56-82, 8(38453)6-46-26</t>
  </si>
  <si>
    <t>asvik-akva@inbox.ru? Vodokanalas@mail.ru</t>
  </si>
  <si>
    <t>Баранов Евгений Сергеевич</t>
  </si>
  <si>
    <t>Исполнительный директор</t>
  </si>
  <si>
    <t>4252012548</t>
  </si>
  <si>
    <t>1164205071546</t>
  </si>
  <si>
    <t>03823067</t>
  </si>
  <si>
    <t>654005, Кемеровская область, г.Новокузнецк, ул.Доз, дом 2, офис 4</t>
  </si>
  <si>
    <t>654216, Кемеровская область, Новокузнецкий район, с. Атаманово, ул. Цветочная, д.4</t>
  </si>
  <si>
    <t>(3843)46-56-36</t>
  </si>
  <si>
    <t>vodokanal142@mail.ru</t>
  </si>
  <si>
    <t>Глумов Алексей Владимирович</t>
  </si>
  <si>
    <t>ООО"Водоснабжение"</t>
  </si>
  <si>
    <t>Общество с ограниченной ответственностью "Водоснабжение"</t>
  </si>
  <si>
    <t>4202023801</t>
  </si>
  <si>
    <t>1034202007212</t>
  </si>
  <si>
    <t>652600, Кемеровская область, г.Белово, ул.2-я Рабочая</t>
  </si>
  <si>
    <t>8 (384-52) 6-13-31</t>
  </si>
  <si>
    <t>Kuzbass82@bk.ru</t>
  </si>
  <si>
    <t>ООО "ВодСнаб"</t>
  </si>
  <si>
    <t>Общество с ограниченной ответственностью "ВодСнаб"</t>
  </si>
  <si>
    <t>4230030215</t>
  </si>
  <si>
    <t>1154230000880</t>
  </si>
  <si>
    <t>27633845</t>
  </si>
  <si>
    <t>652055, Россия, Кемеровская область, г. Юрга, ул. Исайченко, 1А</t>
  </si>
  <si>
    <t>+7(384-51)4-79-79, факс +7(384-51) 4-79-77</t>
  </si>
  <si>
    <t>vs@upravkom.ru</t>
  </si>
  <si>
    <t>Шматов Евгений Васильевич</t>
  </si>
  <si>
    <t>ООО "Горводоканал"</t>
  </si>
  <si>
    <t>Общество с ограниченной ответственностью "Горводоканал"</t>
  </si>
  <si>
    <t>5406737355</t>
  </si>
  <si>
    <t>540501001</t>
  </si>
  <si>
    <t>1135476022252</t>
  </si>
  <si>
    <t>23549421</t>
  </si>
  <si>
    <t>652150, Кемеровская обл., г. Мариинск, пер. Южный, д. 1</t>
  </si>
  <si>
    <t>630083, г.Новосибирск, ул. Большевистская, д. 122, кв. 17</t>
  </si>
  <si>
    <t>8-38443-5-18-56</t>
  </si>
  <si>
    <t>vam.81@mail.ru</t>
  </si>
  <si>
    <t>Клюева Наталья Николаевна</t>
  </si>
  <si>
    <t>генеральный директор</t>
  </si>
  <si>
    <t>ООО "Гурьевск-Сталь"</t>
  </si>
  <si>
    <t>Общество с ограниченной ответственностью "Гурьевск-Сталь"</t>
  </si>
  <si>
    <t>4202050643</t>
  </si>
  <si>
    <t>1164205058137</t>
  </si>
  <si>
    <t>01655393</t>
  </si>
  <si>
    <t>652780, Кемеровская область-Кузбасс, г.Гурьевск, ул. Гагарига, д. 1</t>
  </si>
  <si>
    <t>8-384-63-5-00-36/5-00-97</t>
  </si>
  <si>
    <t>Gur-Stal@gmz.kuzbass.net</t>
  </si>
  <si>
    <t>Дворянчиков Владимир Николаевич</t>
  </si>
  <si>
    <t>ООО "ИНТЕГРАЛ"</t>
  </si>
  <si>
    <t>Общество с ограниченной ответственностью "ИНТЕГРАЛ"</t>
  </si>
  <si>
    <t>7707422881</t>
  </si>
  <si>
    <t>770701001</t>
  </si>
  <si>
    <t>1187746947332</t>
  </si>
  <si>
    <t>34288478</t>
  </si>
  <si>
    <t>652050, Кемеровская область, г. Юрга, ул. Шоссейная, д. 3, офис № 3</t>
  </si>
  <si>
    <t>127055, Россия, г. Москва, ул. Лесная, д.61, строение 2, цокольный этаж № 0, помещение 1, комната 2</t>
  </si>
  <si>
    <t>Блинов Антон Вадимович</t>
  </si>
  <si>
    <t>ООО "КВС"</t>
  </si>
  <si>
    <t>Общество с ограниченной ответственностью "Киселевский Водоснаб"</t>
  </si>
  <si>
    <t>4223104956</t>
  </si>
  <si>
    <t>1164205072745</t>
  </si>
  <si>
    <t>04017049</t>
  </si>
  <si>
    <t>652723, Кемеровская область, г. Киселевск, ул. Добровольная, д.30 А</t>
  </si>
  <si>
    <t>8-384-64-5-00-42</t>
  </si>
  <si>
    <t>ks_voda@mail.ru</t>
  </si>
  <si>
    <t>Хадыев Ибрагим Файзылхакович</t>
  </si>
  <si>
    <t>ООО "КК-ИНВЕСТ"</t>
  </si>
  <si>
    <t>Общество с ограниченной ответственностью "КК-ИНВЕСТ"</t>
  </si>
  <si>
    <t>1901133713</t>
  </si>
  <si>
    <t>190101001</t>
  </si>
  <si>
    <t>1174205005413</t>
  </si>
  <si>
    <t>09809016</t>
  </si>
  <si>
    <t>650066,г. Кемерово, пр. Ленина, д. 61</t>
  </si>
  <si>
    <t>655004, Республика Хакасия, г. Абакан, ул. Некрасова, д. 31, стр.1, 3Н помещение14</t>
  </si>
  <si>
    <t>8-384-2-720625</t>
  </si>
  <si>
    <t>kkioffice@kkinvest.ru</t>
  </si>
  <si>
    <t>Бельков Вадим Витальевич</t>
  </si>
  <si>
    <t>kkinvest.ru</t>
  </si>
  <si>
    <t>ООО "НТСК"</t>
  </si>
  <si>
    <t>Общество с ограниченной ответственностью "Новосибирская теплосетевая компания"</t>
  </si>
  <si>
    <t>5406993045</t>
  </si>
  <si>
    <t>540601001</t>
  </si>
  <si>
    <t>1185476068909</t>
  </si>
  <si>
    <t>ООО "Промышленновские коммунальные системы"</t>
  </si>
  <si>
    <t>Общество с ограниченной ответственностью "Промышленновские коммунальные системы"</t>
  </si>
  <si>
    <t>4240009967</t>
  </si>
  <si>
    <t>424001001</t>
  </si>
  <si>
    <t>1084240000327</t>
  </si>
  <si>
    <t>652380,Кемеровская область, пгт.Промышленная, ул.Некрасова ,20</t>
  </si>
  <si>
    <t>8 (38442) 7-45-83, 7-42-39; 7-47-31</t>
  </si>
  <si>
    <t>pks@rambler.ru</t>
  </si>
  <si>
    <t>Минаков Александр Сергеевич</t>
  </si>
  <si>
    <t>ООО "Ресурс-Гарант"</t>
  </si>
  <si>
    <t>Общество с органиченной ответственностью "Ресурс-Гарант"</t>
  </si>
  <si>
    <t>4213010240</t>
  </si>
  <si>
    <t>1134213000130</t>
  </si>
  <si>
    <t>14795813</t>
  </si>
  <si>
    <t>652210, Кемеровская обл.,Тисульский район, пгт. Тисуль, ул. Энгельса 22</t>
  </si>
  <si>
    <t>652210, Кемеровская обл.,Тисульский район, пгт. Тисуль, пер.Весенний, 6</t>
  </si>
  <si>
    <t>(38447) 2-16-37</t>
  </si>
  <si>
    <t>ooo_tek@bk.ru</t>
  </si>
  <si>
    <t>Баум Павел Владимирович</t>
  </si>
  <si>
    <t>ООО "СДС"</t>
  </si>
  <si>
    <t>Общество с ограниченной ответственности "СибДорСтрой"</t>
  </si>
  <si>
    <t>4229006578</t>
  </si>
  <si>
    <t>422901001</t>
  </si>
  <si>
    <t>1054229000759</t>
  </si>
  <si>
    <t>74314814</t>
  </si>
  <si>
    <t>652320, Кемеровская обл., Топкинский окр., г. Топки, ул. Советская д.58</t>
  </si>
  <si>
    <t>8-384-54-3-25-87</t>
  </si>
  <si>
    <t>vkh_tpk@mail.ru ;      topkivoda@mail.ru</t>
  </si>
  <si>
    <t>Кондратов Анатолий Алексеевич</t>
  </si>
  <si>
    <t>ООО "СПК "Чистогорский"</t>
  </si>
  <si>
    <t>Общество с ограниченной ответственностью "Сельскохозяйственный Производственный Комплекс "Чистогорский"</t>
  </si>
  <si>
    <t>4238013194</t>
  </si>
  <si>
    <t>423801001</t>
  </si>
  <si>
    <t>1024202126508</t>
  </si>
  <si>
    <t>10896629</t>
  </si>
  <si>
    <t>Российская Федерация, 654235, Кемеровская область, Новокузнецкий район, п.Чистогорский</t>
  </si>
  <si>
    <t>8-3843-55-11-19, 8-3843-55-11-21</t>
  </si>
  <si>
    <t>chistogorskiy.peo@mail.ru, SPKChistogorsk@mail.ru</t>
  </si>
  <si>
    <t>Колобаев Алексей Игоревич</t>
  </si>
  <si>
    <t>http://chistogorsk.ru/</t>
  </si>
  <si>
    <t>ООО "ТВК"</t>
  </si>
  <si>
    <t>Общество с ограниченной ответственностью "ТВК"</t>
  </si>
  <si>
    <t>4202026697</t>
  </si>
  <si>
    <t>1054202026317</t>
  </si>
  <si>
    <t>76905258</t>
  </si>
  <si>
    <t>652614, г.Белово пгт.Грамотеино мкр.Листвяжный 53</t>
  </si>
  <si>
    <t>(384-52)2-87-45</t>
  </si>
  <si>
    <t>Tatyana.Gintner@belovo.belon.ru</t>
  </si>
  <si>
    <t>Баранов Александр Александрович</t>
  </si>
  <si>
    <t>ООО "ТВКХ"</t>
  </si>
  <si>
    <t>Общество с ограниченной ответственностью "Тайгинское ВКХ"</t>
  </si>
  <si>
    <t>4205375960</t>
  </si>
  <si>
    <t>1184205024706</t>
  </si>
  <si>
    <t>34971287</t>
  </si>
  <si>
    <t>652400, Российская Федерация, Кемеровская область, г. Тайга, ул. Никитина, д.2, каб. 201</t>
  </si>
  <si>
    <t>8-384-48-2-35-66</t>
  </si>
  <si>
    <t>Утенков А Г</t>
  </si>
  <si>
    <t>ООО "Тепло-энергетические предприятия"</t>
  </si>
  <si>
    <t>Общество с ограниченной ответственностью "Тепло-энергетические предприятия"</t>
  </si>
  <si>
    <t>4212427497</t>
  </si>
  <si>
    <t>1054212007002</t>
  </si>
  <si>
    <t>72272448</t>
  </si>
  <si>
    <t>652449 Кемеровская область Крапивинский район пгт Зеленогорский ул.Центральная д.406 кор.2 пом.1</t>
  </si>
  <si>
    <t>8(384-46)2-53-50</t>
  </si>
  <si>
    <t>120971@rambler.ru,tdima27@ya.ru</t>
  </si>
  <si>
    <t>Сметанин Евгений Сергеевич</t>
  </si>
  <si>
    <t>тэп42.рф</t>
  </si>
  <si>
    <t>ООО "УК"Журавлевы горы"</t>
  </si>
  <si>
    <t>Общество с ограниченной ответственностью "Управляющая компания "Журавлевы горы"</t>
  </si>
  <si>
    <t>4250007020</t>
  </si>
  <si>
    <t>425001001</t>
  </si>
  <si>
    <t>1104250000733</t>
  </si>
  <si>
    <t>69971929</t>
  </si>
  <si>
    <t>650521, Российская Федерация, Кемеровская область, Кемеровский район, д. Солонечная, ул. Сиреневый туман, 2</t>
  </si>
  <si>
    <t>650521, Российская Федерация, Кемеровская область, Кемеровский район, д. Солонечная, ул. Журавушкин переулок, 1</t>
  </si>
  <si>
    <t>384-2-49-60-41</t>
  </si>
  <si>
    <t>zhurgory@mail.ru</t>
  </si>
  <si>
    <t>Жуков Владимир Данилович</t>
  </si>
  <si>
    <t>ООО "Чистая вода"</t>
  </si>
  <si>
    <t>Общество с ограниченной ответственностью "Чистая вода"</t>
  </si>
  <si>
    <t>4246023100</t>
  </si>
  <si>
    <t>1214200011321</t>
  </si>
  <si>
    <t>59209528</t>
  </si>
  <si>
    <t>652470,Кемеровская область-Кузбасс, г. Анжеро-Судженск, ул. Горняцкая, д. 4</t>
  </si>
  <si>
    <t>8-384-53-5-05-63</t>
  </si>
  <si>
    <t>chistaya_voda@internet.ru</t>
  </si>
  <si>
    <t>Мысак Сергей Дмитриевич</t>
  </si>
  <si>
    <t>ООО "ЭК"</t>
  </si>
  <si>
    <t>Общество с ограниченной ответственностью "ЭнергоКомпания"</t>
  </si>
  <si>
    <t>4202044463</t>
  </si>
  <si>
    <t>1124202001285</t>
  </si>
  <si>
    <t>10900160</t>
  </si>
  <si>
    <t>Российская Федерация, 652642, Кемеровская область, г. Белово, пгт Бачатский, ул. Комсомольская, 10</t>
  </si>
  <si>
    <t>(38452) 7-00-69, 7-42-34</t>
  </si>
  <si>
    <t>EnergyCompany2012@mail.ru; igoshindv@yandex.ru</t>
  </si>
  <si>
    <t>Дмитрий Валерьевич Игошин</t>
  </si>
  <si>
    <t>ООО "Энергоресурс"</t>
  </si>
  <si>
    <t>Общество с ограниченной ответственностью "Энергоресурс"</t>
  </si>
  <si>
    <t>4205284720</t>
  </si>
  <si>
    <t>1144205004822</t>
  </si>
  <si>
    <t>16728086</t>
  </si>
  <si>
    <t>Российская Федерация, 650000, г. Кемерово, ул. Кузбасская, 10, оф. 312</t>
  </si>
  <si>
    <t>8(3842)90-07-94</t>
  </si>
  <si>
    <t>energoresurs42@yandex.ru</t>
  </si>
  <si>
    <t>Рубин Антон Сергеевич</t>
  </si>
  <si>
    <t>энергоресурс42.рф</t>
  </si>
  <si>
    <t>ООО "Энергосервис г. Гурьевска"</t>
  </si>
  <si>
    <t>Общество с ограниченной ответственностью "Энергосервис г. Гурьевска"</t>
  </si>
  <si>
    <t>4202049045</t>
  </si>
  <si>
    <t>1154202000260</t>
  </si>
  <si>
    <t>27610011</t>
  </si>
  <si>
    <t>Российская Федерация, 652780, Кемеровская область, г. Гурьевск, ул. Партизанская, 19</t>
  </si>
  <si>
    <t>(38463) 5-42-50</t>
  </si>
  <si>
    <t>Журавлев Евгений Владимирович</t>
  </si>
  <si>
    <t>ООО "ЭнергоТранзит"</t>
  </si>
  <si>
    <t>Общество  с ограниченной ответственностью "ЭнергоТранзит"</t>
  </si>
  <si>
    <t>5406603432</t>
  </si>
  <si>
    <t>1165476072233</t>
  </si>
  <si>
    <t>00072962</t>
  </si>
  <si>
    <t>654005, Кемеровская обл.,  г. Новокузнецк, ул. Коммунальная 25</t>
  </si>
  <si>
    <t>654005, Кемеровская обл.,  г. Новокузнецк, ул. Орджоникидзе 12, офис 7</t>
  </si>
  <si>
    <t>8923-626-58-63 Лайвина Юлия, 8-384-3-46-83-23 Муц</t>
  </si>
  <si>
    <t>info@teh-gorod.ru</t>
  </si>
  <si>
    <t>Лемешков Евгений Геннадьевич</t>
  </si>
  <si>
    <t>energo-tranzit.ru</t>
  </si>
  <si>
    <t>Филиал АО ""УК "Кузбассразрезуголь" "Бачатский угольный разрез"</t>
  </si>
  <si>
    <t>4205049090</t>
  </si>
  <si>
    <t>420202004</t>
  </si>
  <si>
    <t>1034205040935</t>
  </si>
  <si>
    <t>14789675</t>
  </si>
  <si>
    <t>3 00 02 | Филиалы юридических лиц</t>
  </si>
  <si>
    <t>Российская Федерация, 652642, Кемеровская область, г. Белово-9, Комсомольская ул., 19 А</t>
  </si>
  <si>
    <t>8 (38452) 7-04-20, 7-29-30 факс</t>
  </si>
  <si>
    <t xml:space="preserve"> Приезжев Николай Сергеевич</t>
  </si>
  <si>
    <t>office@bach.kru.ru</t>
  </si>
  <si>
    <t>Филиал АО "УК "Кузбассразрезуголь" - "Моховский угольный разрез"</t>
  </si>
  <si>
    <t>421202001</t>
  </si>
  <si>
    <t>652661, Кемеровская область, р.Беловский, Моховский угольный разрез</t>
  </si>
  <si>
    <t>650054, г.Кемерово, Пионерский бульвар, 4-2а</t>
  </si>
  <si>
    <t>Филиал АО "УК "Кузбассразрезуголь" "Талдинский угольный разрез"</t>
  </si>
  <si>
    <t>Филиал акционерного общества "Угольная компания "Кузбассразрезуголь" "Талдинский угольный разрез"</t>
  </si>
  <si>
    <t>423802002</t>
  </si>
  <si>
    <t>14792950</t>
  </si>
  <si>
    <t>Российская Федерация, 654212, Кемеровская область, Новокузнецкий район, с. Красулино</t>
  </si>
  <si>
    <t>Российская Федерация, 650054, г. Кемерово, Пионерский бульвар, 4 а</t>
  </si>
  <si>
    <t>(3843) 790-216</t>
  </si>
  <si>
    <t>office@tld.kru.ru</t>
  </si>
  <si>
    <t>Барашкин Андрей Борисович</t>
  </si>
  <si>
    <t>kru.kem.ru</t>
  </si>
  <si>
    <t>ФКУ КП-3 ГУФСИН России по Кемеровской области</t>
  </si>
  <si>
    <t>Федеральное казенное учреждение "Колония-поселение № 3 Главного управления Федеральной службы исполнения наказаний по Кемеровской области</t>
  </si>
  <si>
    <t>4244001260</t>
  </si>
  <si>
    <t>1024201368740</t>
  </si>
  <si>
    <t>08830994</t>
  </si>
  <si>
    <t>7 51 04 | Федеральные государственные казенные учреждения</t>
  </si>
  <si>
    <t>652285, Кемеровская обл., Чебулинский район, п. Новоивановский, ул. Трактовая, 2</t>
  </si>
  <si>
    <t>8-384-44-23-1-84, факс 8-384-44-23-2-78</t>
  </si>
  <si>
    <t>kp3@42.fsin.gov.ru</t>
  </si>
  <si>
    <t>Сутормин Иван Михайлович</t>
  </si>
  <si>
    <t>Начальник, подполковник внутренней службы</t>
  </si>
  <si>
    <t>VO</t>
  </si>
  <si>
    <t>АО "Знамя"</t>
  </si>
  <si>
    <t xml:space="preserve"> АКЦИОНЕРНОЕ ОБЩЕСТВО "ЗНАМЯ"</t>
  </si>
  <si>
    <t>4211002950</t>
  </si>
  <si>
    <t>1024201255286</t>
  </si>
  <si>
    <t>07511502</t>
  </si>
  <si>
    <t>РОССИЯ, 652718, Кемеровская обл., Киселевск, ул. Ускатная, дом 6а</t>
  </si>
  <si>
    <t>(38464) 74876;(38464) 74210 (факс); 39-590</t>
  </si>
  <si>
    <t>oao_znamya@mail.ru</t>
  </si>
  <si>
    <t>Галкин Леонид Андреевич</t>
  </si>
  <si>
    <t>АО "Кузбасская птицефабрика"</t>
  </si>
  <si>
    <t>Акционерное общество  "Кузбасская птицефабрика"</t>
  </si>
  <si>
    <t>4238019693</t>
  </si>
  <si>
    <t>1064238008416</t>
  </si>
  <si>
    <t>Российская Федерация, 654241, Кемеровская область, Новокузнецкий район, пос. Степной</t>
  </si>
  <si>
    <t>8-3843-557-281; ф 557-034</t>
  </si>
  <si>
    <t>kpf-1966@yandex.ru</t>
  </si>
  <si>
    <t>Шарыкина Оксана Александровна</t>
  </si>
  <si>
    <t xml:space="preserve"> (384)-56-93-001; (384)-56-95-739</t>
  </si>
  <si>
    <t>Ютяев Евгений Петрович</t>
  </si>
  <si>
    <t>Руководитель АО "СУЭК-Кузбасс",</t>
  </si>
  <si>
    <t>МБУ "Кемдор"</t>
  </si>
  <si>
    <t>Муниципальное бюджетное учреждение "Кемеровские автодороги"</t>
  </si>
  <si>
    <t>4205159600</t>
  </si>
  <si>
    <t>1084205012572</t>
  </si>
  <si>
    <t>7 54 03 | Муниципальные бюджетные учреждения</t>
  </si>
  <si>
    <t>Российская Федерация, 650025, Кемеровская область, г. Кемерово, пр. Кузнецкий, 69</t>
  </si>
  <si>
    <t>Калинкин Андрей Александрович</t>
  </si>
  <si>
    <t>И.о. директора</t>
  </si>
  <si>
    <t>МКП "ЖКХ"</t>
  </si>
  <si>
    <t>Муниципальное казённое предприятие "Жилищно-коммунальное хозяйство"</t>
  </si>
  <si>
    <t>4230005515</t>
  </si>
  <si>
    <t>1124230001048</t>
  </si>
  <si>
    <t>10899556</t>
  </si>
  <si>
    <t>Российская Федерация, 652300, Кемеровская обл., г.Топки, ул. Алма-Атинская, 31</t>
  </si>
  <si>
    <t>Российская Федерация, 652300, Кемеровская обл., г.Топки, мкр.Красная Горка, 17а</t>
  </si>
  <si>
    <t>8-384-54-3-11-32</t>
  </si>
  <si>
    <t>Даненкин Дмитрий Юрьевич</t>
  </si>
  <si>
    <t>МП "Кристалл"</t>
  </si>
  <si>
    <t>Муниципальное предприятие Киселевского городского округа "Кристалл"</t>
  </si>
  <si>
    <t>4223124159</t>
  </si>
  <si>
    <t>1194205012407</t>
  </si>
  <si>
    <t>49540268</t>
  </si>
  <si>
    <t>652700, Кемеровская область, г. Киселевск, ул. Коммунальная, оф.2</t>
  </si>
  <si>
    <t>8-384-64-2-06-10. факс 8-384-64-2-14-73</t>
  </si>
  <si>
    <t>mpkristall@yandex.ru</t>
  </si>
  <si>
    <t>Лашманкин Денис Сергеевич</t>
  </si>
  <si>
    <t>МП ПЖРЭТ Рудничного района</t>
  </si>
  <si>
    <t>Муниципальное предприятие г. Кемерово "Производственный жилищный ремонтно-эксплуатационный трест Рудничного района"</t>
  </si>
  <si>
    <t>4205003472</t>
  </si>
  <si>
    <t>1024200691261</t>
  </si>
  <si>
    <t>53066921</t>
  </si>
  <si>
    <t>6500044, Кемеровская область-Кузбасс, г. Кемерово, ул. Нахимова 34</t>
  </si>
  <si>
    <t>384-2-64-30-10</t>
  </si>
  <si>
    <t>admin@pjret-kemerovo.ru</t>
  </si>
  <si>
    <t>Кудрявцев Василий Александрович</t>
  </si>
  <si>
    <t>pjret-kemerovo.ru</t>
  </si>
  <si>
    <t>ООО"БелГОС"</t>
  </si>
  <si>
    <t>Общество с ограниченной ответственностью "Беловские Городские Очистные сооружения"</t>
  </si>
  <si>
    <t>4202023230</t>
  </si>
  <si>
    <t>1034202004407</t>
  </si>
  <si>
    <t>652600, Кемеровская область,  г.Белово,  ул.Кузбасская, 6</t>
  </si>
  <si>
    <t>8 (384-52)4-37-28; 2-92-28</t>
  </si>
  <si>
    <t>belgos@front.ru</t>
  </si>
  <si>
    <t>ООО "Белсток"</t>
  </si>
  <si>
    <t>Общество с ограниченной ответственностью "Белсток"</t>
  </si>
  <si>
    <t>4202047785</t>
  </si>
  <si>
    <t>1144202000491</t>
  </si>
  <si>
    <t>22926672</t>
  </si>
  <si>
    <t>Российская Федерация, 652600, Кемеровская область, г. Белово, ул. Береговая, 5</t>
  </si>
  <si>
    <t>83845261984</t>
  </si>
  <si>
    <t>kuzbass82@bk.ru</t>
  </si>
  <si>
    <t>Шатилова Светлана Владимировна</t>
  </si>
  <si>
    <t>ООО "Велес"</t>
  </si>
  <si>
    <t>Общество с ограниченной ответственностью "Велес"</t>
  </si>
  <si>
    <t>4246025556</t>
  </si>
  <si>
    <t>1244200003541</t>
  </si>
  <si>
    <t>81331339</t>
  </si>
  <si>
    <t>652470,  Кемеровская область-Кузбасс г. Анжеро-Судженск ул. им 50 - летия Октября д.9 пом. 23</t>
  </si>
  <si>
    <t>652491, Кемеровская область-Кузбасс г. Анжеро-Судженск пгт Рудничный, ул. Коммунистическая д.10, кв.16</t>
  </si>
  <si>
    <t>89234841149,89950611149</t>
  </si>
  <si>
    <t>veles42ru@mail.ru</t>
  </si>
  <si>
    <t>Пономарев Дмитрий Михайлович</t>
  </si>
  <si>
    <t>ООО "Водокомплекс"</t>
  </si>
  <si>
    <t>Общество с ограниченной ответственностью "Водокомплекс"</t>
  </si>
  <si>
    <t>5406734820</t>
  </si>
  <si>
    <t>1135476004168</t>
  </si>
  <si>
    <t>652150, Кемеровская обл., г.Мариинск, пер. Южный, д.1</t>
  </si>
  <si>
    <t>630083, Новосибирская область, г Новосибирск, ул. Большевистская, д. 122, кв. 17</t>
  </si>
  <si>
    <t>ООО "Мир тепла"</t>
  </si>
  <si>
    <t>Общество с ограниченной ответственностью "Мир тепла"</t>
  </si>
  <si>
    <t>4246022837</t>
  </si>
  <si>
    <t>1204200016734</t>
  </si>
  <si>
    <t>59901595</t>
  </si>
  <si>
    <t>652470, Кемеровская область- Кузбасс, г. Анжеро - Судженск, ул. Ленина, д. 7, оф. 216</t>
  </si>
  <si>
    <t>89236030618</t>
  </si>
  <si>
    <t>sduvjkmuf@yandex.ru</t>
  </si>
  <si>
    <t>Дуванов Сергей Анатольевич</t>
  </si>
  <si>
    <t>ООО "ОФ "Прокопьевскуголь"</t>
  </si>
  <si>
    <t>Общество с ограниченной ответственностью "Обогатительная фабрика "Прокопьевскуголь"</t>
  </si>
  <si>
    <t>4223036696</t>
  </si>
  <si>
    <t>1044223005485</t>
  </si>
  <si>
    <t>72297626</t>
  </si>
  <si>
    <t>Российская Федерация, 653016, Кемеровская область, г. Прокопьевск, ул. Кутузова, 1</t>
  </si>
  <si>
    <t>Российская Федерация, 653045, Кемеровская область, г. Прокопьевск, ул.Кутузова,1</t>
  </si>
  <si>
    <t>(3846) 67-67-40, 67-05-46</t>
  </si>
  <si>
    <t>priemnaya-ofpu@yandex.ru</t>
  </si>
  <si>
    <t>Михайленко Сергей Владимирович</t>
  </si>
  <si>
    <t>ООО "Сети Шерегеша"</t>
  </si>
  <si>
    <t>4253042513</t>
  </si>
  <si>
    <t>425301001</t>
  </si>
  <si>
    <t>1184205013926</t>
  </si>
  <si>
    <t>31594275</t>
  </si>
  <si>
    <t>652971, Кемеровская область - Кузбасс, Таштагольский район, пгт. Шерегеш, ул. Горнолыжная ,д. 3.</t>
  </si>
  <si>
    <t>654033, Кемеровская область - Кузбасс, г. Новокузнецк, ул. Некрасова, д. 30, корп. 1 пом. 1.</t>
  </si>
  <si>
    <t>bykov.dv@mehanik42.ru</t>
  </si>
  <si>
    <t>Ивушкина Ольга Константиновна</t>
  </si>
  <si>
    <t>seti-sheregesha.tilda.ws</t>
  </si>
  <si>
    <t>ООО "Тепло"</t>
  </si>
  <si>
    <t>Общество с ограниченной ответственностью "Тепло"</t>
  </si>
  <si>
    <t>4252000648</t>
  </si>
  <si>
    <t>1104252000600</t>
  </si>
  <si>
    <t>67705253</t>
  </si>
  <si>
    <t>Российская Федерация, 652992, Кемеровская область, Таштагольский район, г. Таштагол, ул. Геологическая, 61</t>
  </si>
  <si>
    <t>gkh42@yandex.ru</t>
  </si>
  <si>
    <t>Болдыков Геннадий Филиппович</t>
  </si>
  <si>
    <t>TE</t>
  </si>
  <si>
    <t>АО "Каскад-Энерго"</t>
  </si>
  <si>
    <t>Акционерное общество  "Каскад-энерго"</t>
  </si>
  <si>
    <t>4246003760</t>
  </si>
  <si>
    <t>1034246002273</t>
  </si>
  <si>
    <t>14791755</t>
  </si>
  <si>
    <t>Российская Федерация, 652470, Кемеровская область, г. Анжеро-Судженск, ул. Ленина, 4</t>
  </si>
  <si>
    <t>(38453) 6-22-08</t>
  </si>
  <si>
    <t>kasenergo@mail.ru</t>
  </si>
  <si>
    <t>Лермонтов Юрий Борисович</t>
  </si>
  <si>
    <t>http://kas-energo.ru/</t>
  </si>
  <si>
    <t>АО "Кузбассэнерго"</t>
  </si>
  <si>
    <t>Кузбасское  акционерное общество энергетики и электрификации "Кузбассэнерго"</t>
  </si>
  <si>
    <t>4200000333</t>
  </si>
  <si>
    <t>1024200678260</t>
  </si>
  <si>
    <t>00105638</t>
  </si>
  <si>
    <t>Российская Федерация, 650000, г. Кемерово, пр. Кузнецкий, 30</t>
  </si>
  <si>
    <t>(3842) 45-33-50. 36-68-45. 45-37-77</t>
  </si>
  <si>
    <t>АО "Ново-Кемеровская ТЭЦ"</t>
  </si>
  <si>
    <t>Акционерное общество "Ново-Кемеровская ТЭЦ"</t>
  </si>
  <si>
    <t>4205243185</t>
  </si>
  <si>
    <t>1122224002251</t>
  </si>
  <si>
    <t>37717201</t>
  </si>
  <si>
    <t>(3842)57-15-06</t>
  </si>
  <si>
    <t>LihomanovaMP@sibgenco.ru</t>
  </si>
  <si>
    <t>АО "Теплоэнерго"</t>
  </si>
  <si>
    <t>Акционерное общество "Теплоэнерго"</t>
  </si>
  <si>
    <t>4205049011</t>
  </si>
  <si>
    <t>1034205041375</t>
  </si>
  <si>
    <t>14788109</t>
  </si>
  <si>
    <t>Российская Федерация, 650044, г. Кемерово, ул. Шахтерская, 3а</t>
  </si>
  <si>
    <t>(3842) 64-33-79</t>
  </si>
  <si>
    <t>teplokem@yandex.ru</t>
  </si>
  <si>
    <t>Недосекин Константин Викторович</t>
  </si>
  <si>
    <t>Генеральный директор ООО "УстэК" (упр. компания)</t>
  </si>
  <si>
    <t>www.tessib.ru</t>
  </si>
  <si>
    <t>АО "Угольная компания "Северный Кузбасс"</t>
  </si>
  <si>
    <t>Акционерное общество "Угольная компания "Северный Кузбасс"</t>
  </si>
  <si>
    <t>4250005979</t>
  </si>
  <si>
    <t>1094250000327</t>
  </si>
  <si>
    <t>Российская Федерация, 652427, Кемеровская область, г. Березовский, ул. Матросова, 1</t>
  </si>
  <si>
    <t>(38445) 41-810, 56-139, 41-012, факс 5-56-63</t>
  </si>
  <si>
    <t>company@kuzcoal.ru</t>
  </si>
  <si>
    <t>Салихов Альберт Фидаилович</t>
  </si>
  <si>
    <t>www.kuzcoal.ru</t>
  </si>
  <si>
    <t>ГБУЗ ККЦОЗШ</t>
  </si>
  <si>
    <t>Государственное бюджетное учреждение здравоохранения Кузбасский клинический центр охраны здоровья шахтеров имени святой великомученицы Варвары</t>
  </si>
  <si>
    <t>4212007870</t>
  </si>
  <si>
    <t>1024201298527</t>
  </si>
  <si>
    <t>34772056</t>
  </si>
  <si>
    <t>7 52 01 | Государственные автономные учреждения субъектов Российской Федерации</t>
  </si>
  <si>
    <t>652509, Кемеровская область, г. Ленинск-Кузнецкий, 7 микрорайон, 9</t>
  </si>
  <si>
    <t>(38456) 2-40-50, 9-51-31</t>
  </si>
  <si>
    <t>info@gnkc.lnk.kuzbass.net</t>
  </si>
  <si>
    <t>Черникова Оксана Николаевна</t>
  </si>
  <si>
    <t>главный врач</t>
  </si>
  <si>
    <t>www.mine-med.ru</t>
  </si>
  <si>
    <t>ГБУЗ КО ЛКПБ</t>
  </si>
  <si>
    <t>Государственное бюджетное учреждение здравоохранения Кемеровской области "Ленинск-Кузнецкая психиатрическая больница"</t>
  </si>
  <si>
    <t>4212012781</t>
  </si>
  <si>
    <t>1024201306579</t>
  </si>
  <si>
    <t>41863279</t>
  </si>
  <si>
    <t>7 52 04 | Государственные казенные учреждения субъектов Российской Федерации</t>
  </si>
  <si>
    <t>Российская Федерация, 652518 г. Ленинск-Кузнецкий, пер. Рижский, 8</t>
  </si>
  <si>
    <t>(38456) 2-76-06</t>
  </si>
  <si>
    <t>gkuzlkpb@mail.ru</t>
  </si>
  <si>
    <t>Ларина Ирина Анатольевна</t>
  </si>
  <si>
    <t>Главный врач</t>
  </si>
  <si>
    <t>ГБУ "Малиновский дом - интернат для граждан, имеющих психические расстройства"</t>
  </si>
  <si>
    <t>Государственное бюджетное стационарное учреждение социального обслуживания "Малиновский дом - интернат для граждан, имеющих психические расстройства"</t>
  </si>
  <si>
    <t>4222003754</t>
  </si>
  <si>
    <t>1024201856403</t>
  </si>
  <si>
    <t>05245249</t>
  </si>
  <si>
    <t>652831, Кемеровская область - Кузбасс, г. Калтан, п. Малиновка, ул.60 лет Октября д.1 к.А</t>
  </si>
  <si>
    <t>malinovskij-internat@yandex.ru</t>
  </si>
  <si>
    <t>Свирин Иван Васильевич</t>
  </si>
  <si>
    <t>malpi.kmr.socinfo.ru</t>
  </si>
  <si>
    <t>Гурьевский филиал ПАО "ЧМК"</t>
  </si>
  <si>
    <t>Гурьевский филиал публичного акционерного общества "Челябинский металлургический завод"</t>
  </si>
  <si>
    <t>7450001007</t>
  </si>
  <si>
    <t>421243001</t>
  </si>
  <si>
    <t>1027402812777</t>
  </si>
  <si>
    <t>64069199</t>
  </si>
  <si>
    <t>652780,Кемеровская область- Кузбасс. г. Гурьевск. ул. Ю. Гагарина, д.1</t>
  </si>
  <si>
    <t>454047, Челябинская обл. г. Челябинск, ул. 2-я Павелецкая, д.14</t>
  </si>
  <si>
    <t>ЗАО "Тяжинское ДРСУ"</t>
  </si>
  <si>
    <t>Закрытое акционерное общество "Тяжинское дорожное ремонтно-строительное управление"</t>
  </si>
  <si>
    <t>4243005819</t>
  </si>
  <si>
    <t>424301001</t>
  </si>
  <si>
    <t>1064243002702</t>
  </si>
  <si>
    <t>03430646</t>
  </si>
  <si>
    <t>Российская Федерация, 652240, Кемеровская область, Тяжинский район, пгт Тяжинский, ул. Ленина, 65</t>
  </si>
  <si>
    <t>(38449) 2-74-39, 2-10-04, факс 2-74-67</t>
  </si>
  <si>
    <t>tjndrsu@mail.ru</t>
  </si>
  <si>
    <t>Григорович Сергей Дмитриевич</t>
  </si>
  <si>
    <t>ИП Задояная Ксения Анатольевна</t>
  </si>
  <si>
    <t>Индивидуальный предприниматель Задояная Ксения Анатольевна</t>
  </si>
  <si>
    <t>590422002896</t>
  </si>
  <si>
    <t>отсутствует</t>
  </si>
  <si>
    <t>317595800042051</t>
  </si>
  <si>
    <t>0112841376</t>
  </si>
  <si>
    <t>5 01 02 | Индивидуальные предприниматели</t>
  </si>
  <si>
    <t>614090, г. Пермь, ул. Вижайская, д. 28, кв. 67</t>
  </si>
  <si>
    <t>Задояная Ксения Анатольевна</t>
  </si>
  <si>
    <t>Индивидуальный предприниматель</t>
  </si>
  <si>
    <t>МП "ГУЖКХ"</t>
  </si>
  <si>
    <t>Муниципальное предприятие Новокузнецкого городского округа "Городское управление жилищно-коммунального хозяйства"</t>
  </si>
  <si>
    <t>4253026631</t>
  </si>
  <si>
    <t>1154253000494</t>
  </si>
  <si>
    <t>26647012</t>
  </si>
  <si>
    <t>654000, Кемеровская область, г. Новокузнецк, ул. Покрышкина,22А</t>
  </si>
  <si>
    <t>654025, Кемеровская область, г. Новокузнецк, ул. Новаторов, 10</t>
  </si>
  <si>
    <t>8-384-3-20-98-06</t>
  </si>
  <si>
    <t>mp44120@mail.ru</t>
  </si>
  <si>
    <t>Лученков Андрей Васильевич</t>
  </si>
  <si>
    <t>МУП "ГТХ"</t>
  </si>
  <si>
    <t>Муниципальное унитарное предприятие "Городское Тепловое Хозяйство"</t>
  </si>
  <si>
    <t>4223121302</t>
  </si>
  <si>
    <t>1184205010186</t>
  </si>
  <si>
    <t>28602108</t>
  </si>
  <si>
    <t>653000, Кемеровская область, г. Прокопьевск, ул. Рудничная, д.6</t>
  </si>
  <si>
    <t>mup22052018@mail.ru</t>
  </si>
  <si>
    <t>Маркова Наталья Владимировна</t>
  </si>
  <si>
    <t>МУП "МТСК"</t>
  </si>
  <si>
    <t>Муниципальное унитарное предприятие "Междуреченская теплосетевая компания"</t>
  </si>
  <si>
    <t>4214039620</t>
  </si>
  <si>
    <t>1174205029822</t>
  </si>
  <si>
    <t>20440057</t>
  </si>
  <si>
    <t>652870, Кемеровская область, г. Междуреченск, ул. Юности, 3а</t>
  </si>
  <si>
    <t>652870, Кемеровская область, г. Междуреченск, ул. Кузнецкая, 11а</t>
  </si>
  <si>
    <t>8(38475)23223</t>
  </si>
  <si>
    <t>mtsk@rikt.ru</t>
  </si>
  <si>
    <t>Крамаренко Дмитрий Николаевич</t>
  </si>
  <si>
    <t>ООО "Авангард"</t>
  </si>
  <si>
    <t>Общество с ограниченной ответственностью "Авангард"</t>
  </si>
  <si>
    <t>4212016828</t>
  </si>
  <si>
    <t>1064212017924</t>
  </si>
  <si>
    <t>9538222866</t>
  </si>
  <si>
    <t>652518, Кемеровская область, г.Ленинск-Кузнецкий, пл.Кирова,14</t>
  </si>
  <si>
    <t>8-384-56-2-79-67</t>
  </si>
  <si>
    <t>Кайгородова Елена Александровна</t>
  </si>
  <si>
    <t>ООО "А-Энерго"</t>
  </si>
  <si>
    <t>Общество с ограниченной ответственностью "А-Энерго"</t>
  </si>
  <si>
    <t>4205331498</t>
  </si>
  <si>
    <t>1164205070743</t>
  </si>
  <si>
    <t>03712652</t>
  </si>
  <si>
    <t>Российская Федерация, 652152, Кемеровская область, г. Мариинск, ул. Юбилейная, 2А</t>
  </si>
  <si>
    <t>Российская Федерация, 650070, Кемеровская область, г. Кемерово, ул. Тухачевского д.61 пом.19</t>
  </si>
  <si>
    <t>info@ a-energo42.ru</t>
  </si>
  <si>
    <t>Лысенко Игорь Юрьевич</t>
  </si>
  <si>
    <t>ООО "Аэрокузбасс"</t>
  </si>
  <si>
    <t>Общество с ограниченной ответственностью "АЭРОКУЗБАСС"</t>
  </si>
  <si>
    <t>7716154981</t>
  </si>
  <si>
    <t>1024201755940</t>
  </si>
  <si>
    <t>18404933</t>
  </si>
  <si>
    <t>Российская Федерация, 654000, Кемеровская область, г. Новокузнецк, ул. Аэропортовая, зд.7</t>
  </si>
  <si>
    <t>(3843) 79-09-18, факс 79-09-62</t>
  </si>
  <si>
    <t>reception@aerokuz.net</t>
  </si>
  <si>
    <t>Ермаков Кирилл Юрьевич</t>
  </si>
  <si>
    <t>www.aerokuz.ru</t>
  </si>
  <si>
    <t>ООО "Бастет"</t>
  </si>
  <si>
    <t>Общество с ограниченной ответственностью "Бастет"</t>
  </si>
  <si>
    <t>4202044270</t>
  </si>
  <si>
    <t>1124202001098</t>
  </si>
  <si>
    <t>10891106</t>
  </si>
  <si>
    <t>Российская Федерация, 652690, Кемеровская область, пгт. Краснобродский, п. Артышта, ул. Юбилейная, 16</t>
  </si>
  <si>
    <t>8-923-630-50-60</t>
  </si>
  <si>
    <t>zavarzinae@mail.ru</t>
  </si>
  <si>
    <t>Заварзина Евгения Юрьевна</t>
  </si>
  <si>
    <t>ООО "Боровково"</t>
  </si>
  <si>
    <t>Общество с ограниченной ответственностью "Боровково"</t>
  </si>
  <si>
    <t>4238018467</t>
  </si>
  <si>
    <t>1064238000210</t>
  </si>
  <si>
    <t>93129152</t>
  </si>
  <si>
    <t>Российская Федерация, 654034, Кемеровская область, г. Новокузнецк, ул. Малоэтажная, 9</t>
  </si>
  <si>
    <t>(3843) 703400, 703401</t>
  </si>
  <si>
    <t>hvat_la@kpk.su</t>
  </si>
  <si>
    <t>Карбышев Андрей Викторович</t>
  </si>
  <si>
    <t>ООО "ВЕЛЕС"</t>
  </si>
  <si>
    <t>Общество с ограниченной ответственностью "ВЕЛЕС"</t>
  </si>
  <si>
    <t>4212036655</t>
  </si>
  <si>
    <t>1144212000547</t>
  </si>
  <si>
    <t>22928323</t>
  </si>
  <si>
    <t>Российская Федерация, 652523, Кемеровская область, г. Ленинск-Кузнецкий, ул. Телефонная, д. 13, оф. 227</t>
  </si>
  <si>
    <t>(38456) 494-14</t>
  </si>
  <si>
    <t>ooo-veles.hol.es</t>
  </si>
  <si>
    <t>ООО "Енисей"</t>
  </si>
  <si>
    <t>Общество с ограниченной ответственностью "Енисей"</t>
  </si>
  <si>
    <t>5405024680</t>
  </si>
  <si>
    <t>1185476051947</t>
  </si>
  <si>
    <t>29744796</t>
  </si>
  <si>
    <t>630083, Новосибирская обл., г. Новосибирск, ул. Грибоедова, д. 2, корп. Б, оф. 54</t>
  </si>
  <si>
    <t>oenisei@yandex.ru</t>
  </si>
  <si>
    <t>Овсянников Иван Витальевич</t>
  </si>
  <si>
    <t>ООО "ЖКХ Тамбар"</t>
  </si>
  <si>
    <t>Общество с ограниченной ответственностью "ЖКХ Тамбар"</t>
  </si>
  <si>
    <t>4243006153</t>
  </si>
  <si>
    <t>1074243000259</t>
  </si>
  <si>
    <t>82740726</t>
  </si>
  <si>
    <t>652236, Кемеровская область, Тисульский район, с. Тамбар, ул. Комсомольская, 13а</t>
  </si>
  <si>
    <t>8 (38447)5-14-82ф. 5-14-39</t>
  </si>
  <si>
    <t>jkh_tambar@mail.ru</t>
  </si>
  <si>
    <t>Тарабанова Нина Викторовна</t>
  </si>
  <si>
    <t>ООО "Завод "Горэкс-Светотехника"</t>
  </si>
  <si>
    <t>Общество с ограниченной ответственностью "Завод взрывозащищенного и общепромышленного оборудования "Горэкс-Светотехника"</t>
  </si>
  <si>
    <t>4223027701</t>
  </si>
  <si>
    <t>771501001</t>
  </si>
  <si>
    <t>1024201884288</t>
  </si>
  <si>
    <t>50578968</t>
  </si>
  <si>
    <t>Российская Федерация, 653024, Кемеровская область, г. Прокопьевск, ул. Сафоновская, 28</t>
  </si>
  <si>
    <t>Российская Федерация, 127576, г. Москва, ул. Новгородская, 1</t>
  </si>
  <si>
    <t>(3846) 66-92-75, 66-92-40, 66-91-84</t>
  </si>
  <si>
    <t>Абрамов Игорь Александрович</t>
  </si>
  <si>
    <t>ООО "Ижморская ТСК"</t>
  </si>
  <si>
    <t>Общество с ограниченной ответственностью "Ижморская тепло-сетевая копания"</t>
  </si>
  <si>
    <t>4246021343</t>
  </si>
  <si>
    <t>1174205014587</t>
  </si>
  <si>
    <t>15924508</t>
  </si>
  <si>
    <t>652120, Кемеровская обл., Ижморский район, п.г.т. Ижморка, ул. Гагарина, д.15, оф.1</t>
  </si>
  <si>
    <t>(384-59) 23393</t>
  </si>
  <si>
    <t>itsk2017@mail.ru</t>
  </si>
  <si>
    <t>Петина Елена Сергеевна</t>
  </si>
  <si>
    <t>ООО "ИТГ"</t>
  </si>
  <si>
    <t>Общество с ограниченной ответственностью "Ижморская ТеплоГенерация"</t>
  </si>
  <si>
    <t>4246026849</t>
  </si>
  <si>
    <t>1254200007445</t>
  </si>
  <si>
    <t>93958262</t>
  </si>
  <si>
    <t>652120, Кемеровская область - Кузбасс, Ижморский муниципальный округ, пгт. Ижморский, ул. Коммунистическая, здание 10, помещение 10</t>
  </si>
  <si>
    <t>89039074752</t>
  </si>
  <si>
    <t>priemnaya@itg-nk.ru</t>
  </si>
  <si>
    <t>Оршанский Владистав Леонидович</t>
  </si>
  <si>
    <t>ООО "Коммунальщик"</t>
  </si>
  <si>
    <t>Общество с ограниченной ответственностью "Коммунальщик"</t>
  </si>
  <si>
    <t>4212012358</t>
  </si>
  <si>
    <t>1064212014866</t>
  </si>
  <si>
    <t>93148468</t>
  </si>
  <si>
    <t>652576, Кем.обл., Ленинск-Кузнецкий р-он, с.Красное, ул. 40лет Октября, д.2</t>
  </si>
  <si>
    <t>8-384-56-61-3-80</t>
  </si>
  <si>
    <t>kommunalhik-kr@yandex.ru</t>
  </si>
  <si>
    <t>Коневский Михаил Васильевич</t>
  </si>
  <si>
    <t>ООО "Коммунэнерго"</t>
  </si>
  <si>
    <t>Общество с ограниченной ответственностью "Коммунэнерго"</t>
  </si>
  <si>
    <t>4205296028</t>
  </si>
  <si>
    <t>1144205016295</t>
  </si>
  <si>
    <t>Российская Федерация, 650070, г. Кемерово, ул. Терешковой, 55 А</t>
  </si>
  <si>
    <t>Российская Федерация, 650099, г. Кемерово, ул. Н. Островского, 32-320</t>
  </si>
  <si>
    <t>(3842) 39-02-03, 39-02-10</t>
  </si>
  <si>
    <t>kommunenergo@gmail.com</t>
  </si>
  <si>
    <t>Козаченко Александра Витальевна</t>
  </si>
  <si>
    <t>www.kek42.ru</t>
  </si>
  <si>
    <t>ООО "КОТК"</t>
  </si>
  <si>
    <t>Общество с ограниченной ответственностью "Киселевская объединенная тепловая компания"</t>
  </si>
  <si>
    <t>4211023156</t>
  </si>
  <si>
    <t>1094211000399</t>
  </si>
  <si>
    <t>89929674</t>
  </si>
  <si>
    <t>652704, Россия, Кемеровская область, г. Киселевск, ул. Лутугина, 10</t>
  </si>
  <si>
    <t>(38464) 71344</t>
  </si>
  <si>
    <t>priemnay@kotk.net</t>
  </si>
  <si>
    <t>Охрименко Сергей Михайлович</t>
  </si>
  <si>
    <t>http://kotk.su</t>
  </si>
  <si>
    <t>ООО "КПК"</t>
  </si>
  <si>
    <t>ООО "Кузбасский Промышленный Консалтинг"</t>
  </si>
  <si>
    <t>4205277956</t>
  </si>
  <si>
    <t>1134205026372</t>
  </si>
  <si>
    <t>16709315</t>
  </si>
  <si>
    <t>650070, г. Кемерово, ул. Двужильного, д. 4, оф. 207</t>
  </si>
  <si>
    <t>650070, г. Кемерово, пр. Молодежный, дом 9/1, 84</t>
  </si>
  <si>
    <t>Ваганов Виталий Игоревич</t>
  </si>
  <si>
    <t>vaganov2000@mail.ru</t>
  </si>
  <si>
    <t>ООО "КузнецкТеплоСбыт"</t>
  </si>
  <si>
    <t>Общество с ограниченной ответственностью "Кузнецк ТеплоСбыт"</t>
  </si>
  <si>
    <t>4217146884</t>
  </si>
  <si>
    <t>1124217006902</t>
  </si>
  <si>
    <t>10892637</t>
  </si>
  <si>
    <t>Российская Федерация, 654006, Кемеровская область, г. Новокузнецк, ул. Рудокопровая, 4</t>
  </si>
  <si>
    <t>(3843) 357-623, 357-513 факс</t>
  </si>
  <si>
    <t>akleeva_np@nkmk.ru</t>
  </si>
  <si>
    <t>Головко Дмитрий Сергеевич</t>
  </si>
  <si>
    <t>ООО "Лесная поляна-Плюс"</t>
  </si>
  <si>
    <t>Общество с ограниченной ответственностью "Лесная поляна-Плюс"</t>
  </si>
  <si>
    <t>4205265799</t>
  </si>
  <si>
    <t>1134205010389</t>
  </si>
  <si>
    <t>Российская Федерация, 650071, г. Кемерово, ул. Молодежная, 1</t>
  </si>
  <si>
    <t>Батюченко Олег Олегович</t>
  </si>
  <si>
    <t>ООО "МАК им. А.А. Леонова"</t>
  </si>
  <si>
    <t>Общество с ограниченной ответственностью "Международный Аэропорт Кемерово имени Алексея Архиповича Леонова"</t>
  </si>
  <si>
    <t>4205074963</t>
  </si>
  <si>
    <t>1044205068159</t>
  </si>
  <si>
    <t>74297145</t>
  </si>
  <si>
    <t>Российская Федерация, 650070, г. Кемерово, Аэропорт</t>
  </si>
  <si>
    <t>(3842) 39-02-14, 39-02-92</t>
  </si>
  <si>
    <t>priemnaya@airkem.ru</t>
  </si>
  <si>
    <t>Рейх Александр Генрихович</t>
  </si>
  <si>
    <t>http://www.airkem.ru/</t>
  </si>
  <si>
    <t>ООО "Мастер"</t>
  </si>
  <si>
    <t>Общество с ограниченной ответственностью "Мастер"</t>
  </si>
  <si>
    <t>4212034016</t>
  </si>
  <si>
    <t>1124212000538</t>
  </si>
  <si>
    <t>10878130</t>
  </si>
  <si>
    <t>652509, Кемеровская область-Кузбасс, г. Ленинск-Кзнецкий, пос.Никитинский, пр-т. Шахтеров, 26</t>
  </si>
  <si>
    <t>652509, Кемеровская область-Кузбасс, г. Ленинск-Кзнецкий, пос.Никитинский, ул. Молодежная,3</t>
  </si>
  <si>
    <t>8(384)56-6-32-24</t>
  </si>
  <si>
    <t>teh.nik2011@yandex.ru</t>
  </si>
  <si>
    <t>Тамбовцев Виктор Александрович</t>
  </si>
  <si>
    <t>ООО "НИИуглеобогащения"</t>
  </si>
  <si>
    <t>Общество с ограниченной ответственностью "Научно-исследовательский институт углеобогащения"</t>
  </si>
  <si>
    <t>4223056766</t>
  </si>
  <si>
    <t>1124223001055</t>
  </si>
  <si>
    <t>37714562</t>
  </si>
  <si>
    <t>Российская Федерация,653000,  Кемеровская область-Кузбасс, г. Прокопьевск, ул. Горная, зд.1 оф. 12</t>
  </si>
  <si>
    <t>(3846) 61-49-13,8-950-595-02-27</t>
  </si>
  <si>
    <t>KuchumovaAR@suek.ru</t>
  </si>
  <si>
    <t>Гущин Алексей Алексеевич</t>
  </si>
  <si>
    <t>sibniicoal.ru</t>
  </si>
  <si>
    <t>ООО "Новая сетевая компания"</t>
  </si>
  <si>
    <t>Общество с ограниченной ответственностью "Новая сетевая компания"</t>
  </si>
  <si>
    <t>4246017160</t>
  </si>
  <si>
    <t>1104246000352</t>
  </si>
  <si>
    <t>67692792</t>
  </si>
  <si>
    <t>(38453) 6-45-50</t>
  </si>
  <si>
    <t>kas-energo.ru</t>
  </si>
  <si>
    <t>Габриель Владимимр Арнгольдтович</t>
  </si>
  <si>
    <t>ООО "НТК"</t>
  </si>
  <si>
    <t>Общество с ограниченной ответственностью "Новокузнецкая теплосетевая компания"</t>
  </si>
  <si>
    <t>4253009805</t>
  </si>
  <si>
    <t>1124253006448</t>
  </si>
  <si>
    <t>10898812</t>
  </si>
  <si>
    <t>Российская Федерация, 654027, Кемеровская область, г. Новокузнецк, ул. Сибиряков-Гвардейцев, 2, офис 318</t>
  </si>
  <si>
    <t>Российская Федерация, 654005, г. Новокузнецк, проезд Колхозный, д.12, корпус 7</t>
  </si>
  <si>
    <t>(3843) 46-83-17</t>
  </si>
  <si>
    <t>zdsk@yandex.ru</t>
  </si>
  <si>
    <t>Карташев Игорь Юрьевич</t>
  </si>
  <si>
    <t>ntsk-nk.ru</t>
  </si>
  <si>
    <t>ООО "Панфиловец"</t>
  </si>
  <si>
    <t>Общество  с  ограниченной  ответственностью  " Панфиловец "</t>
  </si>
  <si>
    <t>4212021835</t>
  </si>
  <si>
    <t>1024201303983</t>
  </si>
  <si>
    <t>50576478</t>
  </si>
  <si>
    <t>Российская Федерация, 652592, Кемеровская область, Ленинск-Кузнецкий район, с. Панфилово, ул. Советская, 103а</t>
  </si>
  <si>
    <t>(38456) 6-52-11, 6-52-28, 6-52-36</t>
  </si>
  <si>
    <t>milaplk24@mail.ru</t>
  </si>
  <si>
    <t>Пермяков Владимир Степанович</t>
  </si>
  <si>
    <t>ООО "СибСтройСервис"</t>
  </si>
  <si>
    <t>Общество с ограниченной ответственностью "СибСтройСервис"</t>
  </si>
  <si>
    <t>4211022988</t>
  </si>
  <si>
    <t>1094211000245</t>
  </si>
  <si>
    <t>89919836</t>
  </si>
  <si>
    <t>Российская Федерация, 652723, Кемеровская область, г. Киселевск, ул. Краснобродская, 5</t>
  </si>
  <si>
    <t>(838464) 5-60-60;3-43-69</t>
  </si>
  <si>
    <t>sibstroi2009@mail.ru</t>
  </si>
  <si>
    <t>Кошаташян Серго Акопович</t>
  </si>
  <si>
    <t>ООО "СибТЭКО"</t>
  </si>
  <si>
    <t>Общество с ограниченной ответственностью "Сибирская теплоэнергетическая компания"</t>
  </si>
  <si>
    <t>4205323056</t>
  </si>
  <si>
    <t>1164205052923</t>
  </si>
  <si>
    <t>27647675</t>
  </si>
  <si>
    <t>650002, г. Кемерово, ул. Институтская д.1, оф.121</t>
  </si>
  <si>
    <t>8-961-717-53-86</t>
  </si>
  <si>
    <t>sibteko@mail.ru</t>
  </si>
  <si>
    <t>Матузов Сергей Владимирович</t>
  </si>
  <si>
    <t>сибтэко.рф</t>
  </si>
  <si>
    <t>ООО "Сибэнерго"</t>
  </si>
  <si>
    <t>Общество с ограниченной ответственностью "Сибэнерго"</t>
  </si>
  <si>
    <t>4217085977</t>
  </si>
  <si>
    <t>1064217063778</t>
  </si>
  <si>
    <t>95384983</t>
  </si>
  <si>
    <t>Российская Федерация, 654007, Кемеровская область, г. Новокузнецк, пр. Пионерский, 42</t>
  </si>
  <si>
    <t>Российская Федерация, 630099, Новосибирская область, г. Новосибирск,ул.Фрунзе, д. 80, офис 627</t>
  </si>
  <si>
    <t>3843-468523 Лайвина Юлия Сергеевна</t>
  </si>
  <si>
    <t>Карташев Игорь Юрьевич (Договор о передаче полномо</t>
  </si>
  <si>
    <t>sg-nk.ru</t>
  </si>
  <si>
    <t>ООО "СТК"</t>
  </si>
  <si>
    <t>Общество с ограниченной ответственностью "Сибирская тепловая компания"</t>
  </si>
  <si>
    <t>4223104900</t>
  </si>
  <si>
    <t>1164205071898</t>
  </si>
  <si>
    <t>03880846</t>
  </si>
  <si>
    <t>652715 Кемеровская обл., г. Киселевск, ул. Краснобродская,6</t>
  </si>
  <si>
    <t>3846422264</t>
  </si>
  <si>
    <t>558554@mail.ru</t>
  </si>
  <si>
    <t>Катина Ольга Владимировна</t>
  </si>
  <si>
    <t>https://stk-kis.ru/</t>
  </si>
  <si>
    <t>4250009980</t>
  </si>
  <si>
    <t>1154250016315</t>
  </si>
  <si>
    <t>27617243</t>
  </si>
  <si>
    <t>652420, Кемеровская область, г. Березовский, ул. Строителей,д.1, пом.58</t>
  </si>
  <si>
    <t>8-384-2-3-30-93;   8-384-45-3-30-93; 3-38-3</t>
  </si>
  <si>
    <t>sekretar@uk142.ru</t>
  </si>
  <si>
    <t>Чайковский Вячеслав Львович</t>
  </si>
  <si>
    <t>Управляющий</t>
  </si>
  <si>
    <t>ООО "СЭР"</t>
  </si>
  <si>
    <t>Общество с ограниченной ответственностью "СибЭнергоРесурс"</t>
  </si>
  <si>
    <t>4213011759</t>
  </si>
  <si>
    <t>1174205012189</t>
  </si>
  <si>
    <t>15602101</t>
  </si>
  <si>
    <t>652150,  Кемеровская область-Кузбасс, Мариинский р-н, г. Мариинск,ул. Ленина, д.32, оф.305</t>
  </si>
  <si>
    <t>+79230307364</t>
  </si>
  <si>
    <t>ser_kemerovo@mail.ru</t>
  </si>
  <si>
    <t>Новиков Вадим Валерьевич</t>
  </si>
  <si>
    <t>ООО "ТГК"</t>
  </si>
  <si>
    <t>Общество с ограниченной ответственностью "Тяжинская генерирующая компания"</t>
  </si>
  <si>
    <t>4217192224</t>
  </si>
  <si>
    <t>1184205024882</t>
  </si>
  <si>
    <t>35011448</t>
  </si>
  <si>
    <t>Россия, Кемервская область, г. Новокузнецк, пр-т. Пионерский,22, оф.33</t>
  </si>
  <si>
    <t>8-3843-74-46-96</t>
  </si>
  <si>
    <t>tgknk42@mail.ru</t>
  </si>
  <si>
    <t>Воротилищев Сергей Евгеньевич</t>
  </si>
  <si>
    <t>ООО "Теплоресурс"</t>
  </si>
  <si>
    <t>Общество с ограниченной ответственностью "Теплоресурс"</t>
  </si>
  <si>
    <t>4202042410</t>
  </si>
  <si>
    <t>1114202003453</t>
  </si>
  <si>
    <t>92776381</t>
  </si>
  <si>
    <t>Российская Федерация, 652774, Кемеровская область, Гурьевский район, с. Малая Салаирка, ул. Школьная, д. 15а</t>
  </si>
  <si>
    <t>(38463) 31-372, 31-291, 31-247</t>
  </si>
  <si>
    <t>Важенин Михаил Петрович</t>
  </si>
  <si>
    <t>ООО "ТеплоРесурс"</t>
  </si>
  <si>
    <t>Общество с ограниченной ответственностью "ТеплоРесурс"</t>
  </si>
  <si>
    <t>4246019288</t>
  </si>
  <si>
    <t>1144246000470</t>
  </si>
  <si>
    <t>26624591</t>
  </si>
  <si>
    <t>Российская Федерация, Кемеровская область, 652491, г. Анжеро-Судженск, пгт Рудничный, ул.Советская, д. 2а</t>
  </si>
  <si>
    <t>8(38453) 647-26</t>
  </si>
  <si>
    <t>teplosnab06@mail.ru</t>
  </si>
  <si>
    <t>ООО "Теплосети"</t>
  </si>
  <si>
    <t>Общество с ограниченной ответственностью "Теплосети"</t>
  </si>
  <si>
    <t>4246024979</t>
  </si>
  <si>
    <t>1234200009988</t>
  </si>
  <si>
    <t>77537472</t>
  </si>
  <si>
    <t>652156, Кемеровская область - Кузбасс, г. Мариинск, ул. Трудовая, 2</t>
  </si>
  <si>
    <t>8(38443) 574-38</t>
  </si>
  <si>
    <t>teploservismar@yandex.ru</t>
  </si>
  <si>
    <t>Подгол Валерий Анатольевич</t>
  </si>
  <si>
    <t>Общество с ограниченной ответственностью ООО "Тепловые сети"</t>
  </si>
  <si>
    <t>4246023140</t>
  </si>
  <si>
    <t>1214200012730</t>
  </si>
  <si>
    <t>50594045</t>
  </si>
  <si>
    <t>652055, Кемеровская область - КУзбасс, городской округ Юргинский, г. Юрга, ул. Заводская, 2 "А"</t>
  </si>
  <si>
    <t>8(384-51) 7-77-90</t>
  </si>
  <si>
    <t>Проскоков Алексей Николаевич</t>
  </si>
  <si>
    <t>ts@upravkom.ru</t>
  </si>
  <si>
    <t>ООО "Теплоснаб"</t>
  </si>
  <si>
    <t>Общество с ограниченной ответственностью "Теплоснаб"</t>
  </si>
  <si>
    <t>4205325631</t>
  </si>
  <si>
    <t>1164205058379</t>
  </si>
  <si>
    <t>01710956</t>
  </si>
  <si>
    <t>650036, г. Кемерово, ул. Терешковой, д. 39, корпус 3, офис 409</t>
  </si>
  <si>
    <t>8-905-900-40-42,</t>
  </si>
  <si>
    <t>klimachev.82@mail.ru</t>
  </si>
  <si>
    <t>Климачев Николай Алексеевич</t>
  </si>
  <si>
    <t>4253030437</t>
  </si>
  <si>
    <t>1154253004509</t>
  </si>
  <si>
    <t>27628132</t>
  </si>
  <si>
    <t>Российская Федерация, 654044, Кемеровская область, г. Новокузнецк, ул. Косыгина, 3 Б</t>
  </si>
  <si>
    <t>(3843) 55-80-62</t>
  </si>
  <si>
    <t>130919531@mail.ru</t>
  </si>
  <si>
    <t>Шилова Лариса Александровна</t>
  </si>
  <si>
    <t>ООО "ТеплоСнаб"</t>
  </si>
  <si>
    <t>Общество с ограниченной ответственностью "ТеплоСнаб"</t>
  </si>
  <si>
    <t>4213011290</t>
  </si>
  <si>
    <t>1164213050022</t>
  </si>
  <si>
    <t>10897267</t>
  </si>
  <si>
    <t>652150, Кемеровская обл., г. Мариинск, ул.50лет Октября. 86</t>
  </si>
  <si>
    <t>8-(384-43)-5-16-55,5-16-62 Факс</t>
  </si>
  <si>
    <t>svetmariinsk@yandex.ru</t>
  </si>
  <si>
    <t>Журавлев Сергей Иванович</t>
  </si>
  <si>
    <t>ООО "Теплоэнергетик"</t>
  </si>
  <si>
    <t>Общество с ограниченной ответственностью "Теплоэнергетик"</t>
  </si>
  <si>
    <t>4202030492</t>
  </si>
  <si>
    <t>1074202000597</t>
  </si>
  <si>
    <t>97774151</t>
  </si>
  <si>
    <t>Российская Федерация, 652645, Кемеровская область, г. Белово, ул. Мусоргского, 39</t>
  </si>
  <si>
    <t>(38452) 3-48-34, 3-44-30</t>
  </si>
  <si>
    <t>kkits@yandex.ru</t>
  </si>
  <si>
    <t>Чегошев Алексей Александрович</t>
  </si>
  <si>
    <t>ООО "ТК"</t>
  </si>
  <si>
    <t>Общество с ограниченной ответственностью "Тепловая компания"</t>
  </si>
  <si>
    <t>4205389843</t>
  </si>
  <si>
    <t>1204200008033</t>
  </si>
  <si>
    <t>44435041</t>
  </si>
  <si>
    <t>652840, Кемеровская обл.-Кузбасс, г. Мыски, ул. Рембазовская, д.2/6</t>
  </si>
  <si>
    <t>384-74-2-01-58. 384-74-2-29-09</t>
  </si>
  <si>
    <t>kuzbass-teplo@mail.ru</t>
  </si>
  <si>
    <t>Николаева Марина Григорьевна</t>
  </si>
  <si>
    <t>teplo-myski.ru</t>
  </si>
  <si>
    <t>ООО "ТК "Актив"</t>
  </si>
  <si>
    <t>Общество с ограниченной ответственностью "Тепловая компания "Актив"</t>
  </si>
  <si>
    <t>4223117521</t>
  </si>
  <si>
    <t>1174205007613</t>
  </si>
  <si>
    <t>12556984</t>
  </si>
  <si>
    <t>652707, Кемеровская обл., г. Киселевск, ул. Юргинская.1</t>
  </si>
  <si>
    <t>652700, Кемеровская обл., г. Киселевск, ул. Советская , 3б</t>
  </si>
  <si>
    <t>8-923-472-86-31, 8-384-64-3-40-70</t>
  </si>
  <si>
    <t>OOOAktiv@mail.ru</t>
  </si>
  <si>
    <t>Шигапов Зиннур Зиятдинович</t>
  </si>
  <si>
    <t>ООО "Топкинский цемент"</t>
  </si>
  <si>
    <t>Общество с ограниченной ответственностью "Топкинский цемент"</t>
  </si>
  <si>
    <t>4229004316</t>
  </si>
  <si>
    <t>1024201979592</t>
  </si>
  <si>
    <t>53086734</t>
  </si>
  <si>
    <t>Российская Федерация, 652300, Кемеровская обл, Топкинский р-н, Топки г,ул.Промзона, Промплощадка ООО Топкинский цемент</t>
  </si>
  <si>
    <t>838454-380-10, 380-26,380-35, 380-12</t>
  </si>
  <si>
    <t>topcem@sibcem.ru</t>
  </si>
  <si>
    <t>Оспельников Алексей Юрьевич</t>
  </si>
  <si>
    <t>www.sibcem.ru</t>
  </si>
  <si>
    <t>ООО "ТЭК"</t>
  </si>
  <si>
    <t>Общество с ограниченной ответственностью "Тисульская Энергетическая Компания"</t>
  </si>
  <si>
    <t>4213010025</t>
  </si>
  <si>
    <t>1124213000493</t>
  </si>
  <si>
    <t>10917366</t>
  </si>
  <si>
    <t>Российская Федерация, 652210, Кемеровская область, Тисульский район,  пгт Тисуль, ул. Энгельса, 22</t>
  </si>
  <si>
    <t>Российская Федерация, 652210, Кемеровская область, Тисульский район,  пгт Тисуль, пер. Весенний, 6</t>
  </si>
  <si>
    <t>OOO_TEK@bk.ru</t>
  </si>
  <si>
    <t>ООО "ТЭР"</t>
  </si>
  <si>
    <t>Общество с ограниченной ответственностью "Теплоэнергоремонт"</t>
  </si>
  <si>
    <t>4223117458</t>
  </si>
  <si>
    <t>1174205006909</t>
  </si>
  <si>
    <t>11170277</t>
  </si>
  <si>
    <t>653033, Кемеровская обл, г. Прокопьевск, ул. Институтская, д.2</t>
  </si>
  <si>
    <t>83846643771</t>
  </si>
  <si>
    <t>prk-ter@mail.ru</t>
  </si>
  <si>
    <t>Тимошенкова Наталья Александровна</t>
  </si>
  <si>
    <t>ООО "ТЭС"</t>
  </si>
  <si>
    <t>Общество с ограниченной ответственностью "ТеплоЭнергоСбыт"</t>
  </si>
  <si>
    <t>4229007860</t>
  </si>
  <si>
    <t>1074229000526</t>
  </si>
  <si>
    <t>80317142</t>
  </si>
  <si>
    <t>Российская Федерация, 652300, Кемеровская область, г. Топки, ул. Советская, 48</t>
  </si>
  <si>
    <t>(38454) 4-79-26</t>
  </si>
  <si>
    <t>zkh_topki@mail.ru</t>
  </si>
  <si>
    <t>Кошман Евгений Владимирович</t>
  </si>
  <si>
    <t>ООО УК "Егозово"</t>
  </si>
  <si>
    <t>ООО Управляющая компания "Егозово"</t>
  </si>
  <si>
    <t>4212037105</t>
  </si>
  <si>
    <t>1144212001031</t>
  </si>
  <si>
    <t>16362610</t>
  </si>
  <si>
    <t>652580, Кемеровская область, Ленинск Кузнецкий округ , поселок Клейзавода, ул. Заводская, д.17. кв.3</t>
  </si>
  <si>
    <t>8-384-56-2-83-27</t>
  </si>
  <si>
    <t>Аредакова Юлия Викторовна</t>
  </si>
  <si>
    <t>ООО "УК "ЖилКомплекс"</t>
  </si>
  <si>
    <t>Общество с ограниченной ответственностью «Управляющая Компания «ЖилКомплекс»</t>
  </si>
  <si>
    <t>4214039965</t>
  </si>
  <si>
    <t>1184205009427</t>
  </si>
  <si>
    <t>28500313</t>
  </si>
  <si>
    <t>652842, Кемеровская область, г. Мыски, ул. 50 лет Пионерии, 8</t>
  </si>
  <si>
    <t>652845, Кемеровская область, г. Мыски, ул. Восточная, д. 6-1, офис 1</t>
  </si>
  <si>
    <t>89095187643</t>
  </si>
  <si>
    <t>zhilkom.yk@yandex.ru</t>
  </si>
  <si>
    <t>Жданов Сергей Владимирович</t>
  </si>
  <si>
    <t>ООО "УКиТС"</t>
  </si>
  <si>
    <t>Общество с ограниченной ответственностью "Управление котельных и тепловых сетей"</t>
  </si>
  <si>
    <t>4204007393</t>
  </si>
  <si>
    <t>420401001</t>
  </si>
  <si>
    <t>1074204000529</t>
  </si>
  <si>
    <t>(38463) 5-42-50, 5-17-04, 5-40-68 (факс)</t>
  </si>
  <si>
    <t>ООО "УТС"</t>
  </si>
  <si>
    <t>Общество с ограниченной ответственностью "Управление тепловых систем"</t>
  </si>
  <si>
    <t>4205369653</t>
  </si>
  <si>
    <t>420536965</t>
  </si>
  <si>
    <t>1184205011550</t>
  </si>
  <si>
    <t>28765559</t>
  </si>
  <si>
    <t>650993, Кемеровская обл., г. Кемерово, ул. Н.Островского, д.32, офис 317</t>
  </si>
  <si>
    <t>83847524254, 8 (38475) 2 02 54</t>
  </si>
  <si>
    <t>mupktspr@yandex.ru, Uts42plan@mail.ru</t>
  </si>
  <si>
    <t>ООО ХК "СДС - Энерго"</t>
  </si>
  <si>
    <t>Общество с ограниченной ответственностью Холдинговая компания "СДС - Энерго"</t>
  </si>
  <si>
    <t>4250003450</t>
  </si>
  <si>
    <t>1064250010241</t>
  </si>
  <si>
    <t>95376720</t>
  </si>
  <si>
    <t>Российская Федерация, 650066, г. Кемерово, пр. Октябрьский, д. 53/2</t>
  </si>
  <si>
    <t>(3842) 57-42-02</t>
  </si>
  <si>
    <t>office@sdsenergo.ru</t>
  </si>
  <si>
    <t>Кузьмин Дмитрий Геннадьевич</t>
  </si>
  <si>
    <t>www.sdsenergo.ru</t>
  </si>
  <si>
    <t>ООО "Шанс"</t>
  </si>
  <si>
    <t>Общество с ограниченной ответственностью "Шанс"</t>
  </si>
  <si>
    <t>4212025734</t>
  </si>
  <si>
    <t>1084212000025</t>
  </si>
  <si>
    <t>82749319</t>
  </si>
  <si>
    <t>652572, Кемеровская область, Ленинск-Кузнецкий район, п.Чкаловский, ул.Садовая, 5"А"-2</t>
  </si>
  <si>
    <t>8-384-56-62-2-20</t>
  </si>
  <si>
    <t>shans@lnk.kuzbass.net</t>
  </si>
  <si>
    <t>Сосновский Владимир Евгеньевич</t>
  </si>
  <si>
    <t>ООО "Энергоснаб"</t>
  </si>
  <si>
    <t>Общество с ограниченной ответственностью "Энергоснаб"</t>
  </si>
  <si>
    <t>5402084384</t>
  </si>
  <si>
    <t>1245400027509</t>
  </si>
  <si>
    <t>95918427</t>
  </si>
  <si>
    <t>652240, Кемеровская облать - Кузбасс, пгт. Тяжинский,ул. Советская, д.20, пом. 8</t>
  </si>
  <si>
    <t>energosnab24@mail.ru</t>
  </si>
  <si>
    <t>Суббота Александр Геннадьевич</t>
  </si>
  <si>
    <t>ООО "ЭТС"</t>
  </si>
  <si>
    <t>Общество с ограниченной ответственностью "ЭнергоТеплоСервис"</t>
  </si>
  <si>
    <t>4205316725</t>
  </si>
  <si>
    <t>1154205015623</t>
  </si>
  <si>
    <t>27634649</t>
  </si>
  <si>
    <t>650040, Кемеровская область-Кузбасс, г. Кемерово,  ул.Юрия Двужильного, д.4 каб. 207</t>
  </si>
  <si>
    <t>650071, Кемеровская область-Кузбасс, г. Кемерово, б-р. Осенний, д.3</t>
  </si>
  <si>
    <t>8-906-938-45-05</t>
  </si>
  <si>
    <t>dir@ets-gk.ru</t>
  </si>
  <si>
    <t>Стоцкий Никита Юрьевич</t>
  </si>
  <si>
    <t>ООО "ЮКЭК"</t>
  </si>
  <si>
    <t>Общество с ограниченной ответственностью "Южно-Кузбасская энергетическая компания"</t>
  </si>
  <si>
    <t>4228010684</t>
  </si>
  <si>
    <t>422801001</t>
  </si>
  <si>
    <t>1074228000153</t>
  </si>
  <si>
    <t>80292941</t>
  </si>
  <si>
    <t>Российская Федерация, 652990, Кемеровская обл, Таштагольский р-н, Таштагол г, Мира ул, 30А</t>
  </si>
  <si>
    <t>(38473) 3-47-39</t>
  </si>
  <si>
    <t>ukek@ukek.su</t>
  </si>
  <si>
    <t>Нежелеев Алексей Ильич</t>
  </si>
  <si>
    <t>http://www.ukek.su/</t>
  </si>
  <si>
    <t>ООО "Юргинские котельные"</t>
  </si>
  <si>
    <t>Общество с ограниченной ответственностью "Юргинские котельные"</t>
  </si>
  <si>
    <t>4230032075</t>
  </si>
  <si>
    <t>1174205021275</t>
  </si>
  <si>
    <t>19322002</t>
  </si>
  <si>
    <t>652050, Кемеровская областьКузбасс, г. Юрга, ул. Заводская, 2 "А"</t>
  </si>
  <si>
    <t>83845177790</t>
  </si>
  <si>
    <t>yurkoteln@upravkom.ru</t>
  </si>
  <si>
    <t>Кукарских Сергей Анатольевич</t>
  </si>
  <si>
    <t>ООО "Ясная поляна"</t>
  </si>
  <si>
    <t>Общество с ограниченной ответственностью "Ясная поляна"</t>
  </si>
  <si>
    <t>4223118934</t>
  </si>
  <si>
    <t>1174205014279</t>
  </si>
  <si>
    <t>15888924</t>
  </si>
  <si>
    <t>653002, Кемеровская обл., г. Прокопьевск, ул. Грунтовая 17</t>
  </si>
  <si>
    <t>653209, Кемеровская обл., Прокопьевский р-н, п. Ясная поляна, ул. Школьная 9</t>
  </si>
  <si>
    <t xml:space="preserve"> 8(3846) 611-96-0, 8(3846) 61-21-80 факс</t>
  </si>
  <si>
    <t>tepleemir@gmail.ru</t>
  </si>
  <si>
    <t>Дубровская Светлана Валерьевна</t>
  </si>
  <si>
    <t>ПАО "ЮК ГРЭС"</t>
  </si>
  <si>
    <t>Публичное акционерное общество "Южно-Кузбасская ГРЭС"</t>
  </si>
  <si>
    <t>4222010511</t>
  </si>
  <si>
    <t>1064205110122</t>
  </si>
  <si>
    <t>95371667</t>
  </si>
  <si>
    <t>Российская Федерация, 652740, Кемеровская область, г. Калтан, ул. Комсомольская, 20</t>
  </si>
  <si>
    <t>(38471) 3-29-68, 3-27-39</t>
  </si>
  <si>
    <t>tatyana.patanina@mechel.com; ukgres.reception@mech</t>
  </si>
  <si>
    <t>Ткачев Алексей Васильевич</t>
  </si>
  <si>
    <t>www.ukgres.ru</t>
  </si>
  <si>
    <t>Сельскохозяйственная артель "Заря"</t>
  </si>
  <si>
    <t>Сельскохозяйственная артель (колхоз) "Заря"</t>
  </si>
  <si>
    <t>4236000168</t>
  </si>
  <si>
    <t>423601001</t>
  </si>
  <si>
    <t>1024201306645</t>
  </si>
  <si>
    <t>03642696</t>
  </si>
  <si>
    <t>1 41 53 | Сельскохозяйственные артели (колхозы)</t>
  </si>
  <si>
    <t>Российская Федерация, 652575, Кемеровская область, Ленинск-Кузнецкий район, с. Шабаново, Советская ул, 72</t>
  </si>
  <si>
    <t>Зубарев Владимир Владимирович</t>
  </si>
  <si>
    <t>Председатель Совета</t>
  </si>
  <si>
    <t>Тайгинский филиал ООО "Кузбасская Энергокомпания"</t>
  </si>
  <si>
    <t>Тайгинский филиал общества с ограниченной ответственностью "Кузбасская Энергокомпания"</t>
  </si>
  <si>
    <t>4205321468</t>
  </si>
  <si>
    <t>424643001</t>
  </si>
  <si>
    <t>1164205050503</t>
  </si>
  <si>
    <t>6381537</t>
  </si>
  <si>
    <t>652401, Кемеровская область, г. Тайга, ул. Лермонтова, д. 20</t>
  </si>
  <si>
    <t>652560, Кемеровская область, г. Полысаево, ул. Крупской, д. 11</t>
  </si>
  <si>
    <t>8-384-48-2-62-93</t>
  </si>
  <si>
    <t>en.cuzbasskaia@ya.ru</t>
  </si>
  <si>
    <t>Хохлов Василий Михайлович</t>
  </si>
  <si>
    <t>Директор филиала</t>
  </si>
  <si>
    <t>Филиал АО "УК "Кузбассразрезуголь" "Кедровский угольный разрез"</t>
  </si>
  <si>
    <t>Филиал АО "УК "Кузбассразрезуголь" "Кедровский угольны разрез"</t>
  </si>
  <si>
    <t>14788090</t>
  </si>
  <si>
    <t>650054, г. Кемерово, Пионерский бульвар, 4А</t>
  </si>
  <si>
    <t>8-384-2-44-03-00, факс 44-06-58</t>
  </si>
  <si>
    <t>office@kru.ru</t>
  </si>
  <si>
    <t>Парамонов Сергей Викторович</t>
  </si>
  <si>
    <t>Филиал АО УК "Кузбассразрезуголь" "Краснобродский угольный разрез"</t>
  </si>
  <si>
    <t>Филиал акционерного общества Угольная компания "Кузбассразрезуголь" "Краснобродский угольный разрез"</t>
  </si>
  <si>
    <t>420202003</t>
  </si>
  <si>
    <t>Российская Федерация, 652640, Кемеровская область, пгт. Краснобродский, ул. Комсомольская, 15</t>
  </si>
  <si>
    <t>Российская Федерация, 650054, г. Кемерово, Пионерский б-р, 4А</t>
  </si>
  <si>
    <t>(38452) 7-70-01, 7-85-77</t>
  </si>
  <si>
    <t>Федосеев Виктор Константинович</t>
  </si>
  <si>
    <t>Филиал ФГБУ "ЦЖКУ" МИНОБОРОНЫ РОССИИ (по ЦВО)</t>
  </si>
  <si>
    <t>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</si>
  <si>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</si>
  <si>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667043001</t>
  </si>
  <si>
    <t>1027700430889</t>
  </si>
  <si>
    <t>08371977</t>
  </si>
  <si>
    <t>7 51 03 | Федеральные государственные бюджетные учреждения</t>
  </si>
  <si>
    <t>г. Москва, ул. Спартаковская, 2Б</t>
  </si>
  <si>
    <t>922-292-75-35, 922-292-75-09</t>
  </si>
  <si>
    <t>info@cvo.zhky.ru</t>
  </si>
  <si>
    <t>Бурмистров Алексей Николаевич</t>
  </si>
  <si>
    <t>ВРИО начальника филиала ФГБУ "ЦЖКУ" МО по ЦВО</t>
  </si>
  <si>
    <t>TN</t>
  </si>
  <si>
    <t>OPF_VALUE</t>
  </si>
  <si>
    <t>1 10 51 | Полные товарищества</t>
  </si>
  <si>
    <t>Подразделение тест</t>
  </si>
  <si>
    <t>1 10 64 | Товарищества на вере (коммандитные товарищества)</t>
  </si>
  <si>
    <t>1 30 00 | Хозяйственные партнерства</t>
  </si>
  <si>
    <t>1 41 00 | Сельскохозяйственные производственные кооперативы</t>
  </si>
  <si>
    <t>1 41 54 | Рыболовецкие артели (колхозы)</t>
  </si>
  <si>
    <t>1 41 55 | Кооперативные хозяйства (коопхозы)</t>
  </si>
  <si>
    <t>1 42 00 | Производственные кооперативы (кроме сельскохозяйственных производственных кооперативов)</t>
  </si>
  <si>
    <t>1 53 00 | Крестьянские (фермерские) хозяйства</t>
  </si>
  <si>
    <t>1 90 00 | Прочие юридические лица, являющиеся коммерческими организациями</t>
  </si>
  <si>
    <t>2 01 01 | Гаражные и гаражно-строительные кооперативы</t>
  </si>
  <si>
    <t>2 01 02 | Жилищные или жилищно-строительные кооперативы</t>
  </si>
  <si>
    <t>2 01 03 | Жилищные накопительные кооперативы</t>
  </si>
  <si>
    <t>2 01 04 | Кредитные потребительские кооперативы</t>
  </si>
  <si>
    <t>2 01 05 | Кредитные потребительские кооперативы граждан</t>
  </si>
  <si>
    <t>2 01 06 | Кредитные кооперативы второго уровня</t>
  </si>
  <si>
    <t>2 01 07 | Потребительские общества</t>
  </si>
  <si>
    <t>2 01 08 | Общества взаимного страхования</t>
  </si>
  <si>
    <t>2 01 09 | Сельскохозяйственные потребительские перерабатывающие кооперативы</t>
  </si>
  <si>
    <t>2 01 10 | Сельскохозяйственные потребительские сбытовые (торговые) кооперативы</t>
  </si>
  <si>
    <t>2 01 11 | Сельскохозяйственные потребительские обслуживающие кооперативы</t>
  </si>
  <si>
    <t>2 01 12 | Сельскохозяйственные потребительские снабженческие кооперативы</t>
  </si>
  <si>
    <t>2 01 15 | Сельскохозяйственные потребительские животноводческие кооперативы</t>
  </si>
  <si>
    <t>2 01 16 | Сельскохозяйственные потребительские растениеводческие кооперативы</t>
  </si>
  <si>
    <t>2 01 21 | Фонды проката</t>
  </si>
  <si>
    <t>2 02 01 | Политические партии</t>
  </si>
  <si>
    <t>2 02 02 | Профсоюзные организации</t>
  </si>
  <si>
    <t>2 02 10 | Общественные движения</t>
  </si>
  <si>
    <t>2 02 11 | Органы общественной самодеятельности</t>
  </si>
  <si>
    <t>2 02 17 | Территориальные общественные самоуправления</t>
  </si>
  <si>
    <t>2 06 01 | Ассоциации (союзы) экономического взаимодействия субъектов Российской Федерации</t>
  </si>
  <si>
    <t>2 06 03 | Советы муниципальных образований субъектов Российской Федерации</t>
  </si>
  <si>
    <t>2 06 04 | Союзы (ассоциации) кредитных кооперативов</t>
  </si>
  <si>
    <t>2 06 05 | Союзы (ассоциации) кооперативов</t>
  </si>
  <si>
    <t>2 06 06 | Союзы (ассоциации) общественных объединений</t>
  </si>
  <si>
    <t>2 06 07 | Союзы (ассоциации) общин малочисленных народов</t>
  </si>
  <si>
    <t>2 06 08 | Союзы потребительских обществ</t>
  </si>
  <si>
    <t>2 06 09 | Адвокатские палаты</t>
  </si>
  <si>
    <t>2 06 10 | Нотариальные палаты</t>
  </si>
  <si>
    <t>2 06 11 | Торгово-промышленные палаты</t>
  </si>
  <si>
    <t>2 06 12 | Объединения работодателей</t>
  </si>
  <si>
    <t>2 06 13 | Объединения фермерских хозяйств</t>
  </si>
  <si>
    <t>2 06 14 | Некоммерческие партнерства</t>
  </si>
  <si>
    <t>2 06 15 | Адвокатские бюро</t>
  </si>
  <si>
    <t>2 06 16 | Коллегии адвокатов</t>
  </si>
  <si>
    <t>2 06 19 | Саморегулируемые организации</t>
  </si>
  <si>
    <t>2 06 20 | Объединения (ассоциации и союзы) благотворительных организаций</t>
  </si>
  <si>
    <t>2 07 02 | Садоводческие или огороднические некоммерческие товарищества</t>
  </si>
  <si>
    <t>2 07 16 | Товарищества собственников жилья</t>
  </si>
  <si>
    <t>2 11 00 | Казачьи общества, внесенные в государственный реестр казачьих обществ в Российской Федерации</t>
  </si>
  <si>
    <t>2 12 00 | Общины коренных малочисленных народов Российской Федерации</t>
  </si>
  <si>
    <t>3 00 01 | Представительства юридических лиц</t>
  </si>
  <si>
    <t>3 00 03 | Обособленные подразделения юридических лиц</t>
  </si>
  <si>
    <t>3 00 04 | Структурные подразделения обособленных подразделений юридических лиц</t>
  </si>
  <si>
    <t>3 00 05 | Паевые инвестиционные фонды</t>
  </si>
  <si>
    <t>3 00 06 | Простые товарищества</t>
  </si>
  <si>
    <t>3 00 08 | Районные суды, городские суды, межрайонные суды (районные суды)</t>
  </si>
  <si>
    <t>4 00 01 | Межправительственные международные организации</t>
  </si>
  <si>
    <t>4 00 02 | Неправительственные международные организации</t>
  </si>
  <si>
    <t>5 01 01 | Главы крестьянских (фермерских) хозяйств</t>
  </si>
  <si>
    <t>5 02 01 | Адвокаты, учредившие адвокатский кабинет</t>
  </si>
  <si>
    <t>5 02 02 | Нотариусы, занимающиеся частной практикой</t>
  </si>
  <si>
    <t>6 51 41 | Федеральные казенные предприятия</t>
  </si>
  <si>
    <t>6 51 42 | Казенные предприятия субъектов Российской Федерации</t>
  </si>
  <si>
    <t>6 52 41 | Федеральные государственные унитарные предприятия</t>
  </si>
  <si>
    <t>6 52 42 | Государственные унитарные предприятия субъектов Российской Федерации</t>
  </si>
  <si>
    <t>7 04 01 | Благотворительные фонды</t>
  </si>
  <si>
    <t>7 04 02 | Негосударственные пенсионные фонды</t>
  </si>
  <si>
    <t>7 04 03 | Общественные фонды</t>
  </si>
  <si>
    <t>7 04 04 | Экологические фонды</t>
  </si>
  <si>
    <t>7 14 00 | Автономные некоммерческие организации</t>
  </si>
  <si>
    <t>7 15 00 | Религиозные организации</t>
  </si>
  <si>
    <t>7 16 01 | Государственные корпорации</t>
  </si>
  <si>
    <t>7 16 02 | Государственные компании</t>
  </si>
  <si>
    <t>7 16 10 | Отделения иностранных некоммерческих неправительственных организаций</t>
  </si>
  <si>
    <t>7 51 01 | Федеральные государственные автономные учреждения</t>
  </si>
  <si>
    <t>7 51 05 | Государственные внебюджетные фонды Российской Федерации</t>
  </si>
  <si>
    <t>7 52 03 | Государственные бюджетные учреждения субъектов Российской Федерации</t>
  </si>
  <si>
    <t>7 53 00 | Государственные академии наук</t>
  </si>
  <si>
    <t>7 54 01 | Муниципальные автономные учреждения</t>
  </si>
  <si>
    <t>7 54 04 | Муниципальные казенные учреждения</t>
  </si>
  <si>
    <t>7 55 00 | Частные учреждения</t>
  </si>
  <si>
    <t>7 55 02 | Благотворительные учреждения</t>
  </si>
  <si>
    <t>7 55 05 | Общественные учреждения</t>
  </si>
  <si>
    <t>dopName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</si>
</sst>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8" formatCode=";;;"/>
    <numFmt numFmtId="169" formatCode="#,##0.000"/>
    <numFmt numFmtId="170" formatCode="dd\.mm\.yyyy"/>
  </numFmts>
  <fonts count="76">
    <font>
      <sz val="9"/>
      <color rgb="FF000000"/>
      <name val="Tahoma"/>
    </font>
    <font>
      <sz val="9"/>
      <name val="Tahoma"/>
    </font>
    <font>
      <sz val="11"/>
      <color theme="1"/>
      <name val="Calibri"/>
      <scheme val="minor"/>
    </font>
    <font>
      <sz val="9"/>
      <color theme="1"/>
      <name val="Tahoma"/>
    </font>
    <font>
      <sz val="9"/>
      <color rgb="FF22272F"/>
      <name val="Tahoma"/>
    </font>
    <font>
      <b/>
      <sz val="9"/>
      <name val="Tahoma"/>
    </font>
    <font>
      <b/>
      <sz val="9"/>
      <color theme="1"/>
      <name val="Tahoma"/>
    </font>
    <font>
      <b/>
      <sz val="9"/>
      <color rgb="FF22272F"/>
      <name val="Tahoma"/>
    </font>
    <font>
      <strike/>
      <sz val="9"/>
      <color rgb="FFFF0000"/>
      <name val="Tahoma"/>
    </font>
    <font>
      <sz val="8"/>
      <name val="Tahoma"/>
    </font>
    <font>
      <b/>
      <sz val="10"/>
      <name val="Tahoma"/>
    </font>
    <font>
      <b/>
      <sz val="8"/>
      <name val="Tahoma"/>
    </font>
    <font>
      <sz val="8"/>
      <color rgb="FFFF0000"/>
      <name val="Tahoma"/>
    </font>
    <font>
      <b/>
      <sz val="9"/>
      <color rgb="FF000000"/>
      <name val="Tahoma"/>
    </font>
    <font>
      <b/>
      <u/>
      <sz val="9"/>
      <color theme="1"/>
      <name val="Tahoma"/>
    </font>
    <font>
      <sz val="8"/>
      <color theme="1"/>
      <name val="Tahoma"/>
    </font>
    <font>
      <b/>
      <sz val="8"/>
      <color theme="1"/>
      <name val="Tahoma"/>
    </font>
    <font>
      <sz val="8"/>
      <color rgb="FFFFFFFF"/>
      <name val="Tahoma"/>
    </font>
    <font>
      <sz val="8"/>
      <color rgb="FFFF6600"/>
      <name val="Tahoma"/>
    </font>
    <font>
      <sz val="8"/>
      <color theme="0"/>
      <name val="Tahoma"/>
    </font>
    <font>
      <sz val="9"/>
      <color rgb="FFFFFFFF"/>
      <name val="Tahoma"/>
    </font>
    <font>
      <sz val="9"/>
      <color theme="0"/>
      <name val="Tahoma"/>
    </font>
    <font>
      <b/>
      <sz val="9"/>
      <color rgb="FF333399"/>
      <name val="Tahoma"/>
    </font>
    <font>
      <b/>
      <sz val="9"/>
      <color theme="1"/>
      <name val="Calibri"/>
      <scheme val="minor"/>
    </font>
    <font>
      <sz val="9"/>
      <color theme="0" tint="-0.14999847407452621"/>
      <name val="Tahoma"/>
    </font>
    <font>
      <sz val="9"/>
      <color rgb="FF000080"/>
      <name val="Tahoma"/>
    </font>
    <font>
      <b/>
      <sz val="9"/>
      <color theme="0"/>
      <name val="Tahoma"/>
    </font>
    <font>
      <sz val="10"/>
      <name val="Tahoma"/>
    </font>
    <font>
      <u/>
      <sz val="10"/>
      <color rgb="FF000080"/>
      <name val="Tahoma"/>
    </font>
    <font>
      <u/>
      <sz val="9"/>
      <name val="Tahoma"/>
    </font>
    <font>
      <sz val="16"/>
      <color rgb="FF0070C0"/>
      <name val="Tahoma"/>
    </font>
    <font>
      <sz val="16"/>
      <color theme="0"/>
      <name val="Tahoma"/>
    </font>
    <font>
      <sz val="16"/>
      <name val="Tahoma"/>
    </font>
    <font>
      <b/>
      <sz val="16"/>
      <name val="Tahoma"/>
    </font>
    <font>
      <b/>
      <sz val="16"/>
      <color rgb="FF0070C0"/>
      <name val="Tahoma"/>
    </font>
    <font>
      <sz val="20"/>
      <color rgb="FF0070C0"/>
      <name val="Tahoma"/>
    </font>
    <font>
      <u/>
      <sz val="9"/>
      <color rgb="FF000080"/>
      <name val="Tahoma"/>
    </font>
    <font>
      <sz val="12"/>
      <color rgb="FF0070C0"/>
      <name val="Tahoma"/>
    </font>
    <font>
      <sz val="9"/>
      <color theme="1"/>
      <name val="Calibri"/>
      <scheme val="minor"/>
    </font>
    <font>
      <b/>
      <strike/>
      <sz val="9"/>
      <color rgb="FFFF0000"/>
      <name val="Tahoma"/>
    </font>
    <font>
      <sz val="9"/>
      <color rgb="FFFF0000"/>
      <name val="Tahoma"/>
    </font>
    <font>
      <i/>
      <sz val="9"/>
      <color theme="1"/>
      <name val="Tahoma"/>
    </font>
    <font>
      <i/>
      <sz val="9"/>
      <name val="Tahoma"/>
    </font>
    <font>
      <sz val="9"/>
      <color theme="3"/>
      <name val="Tahoma"/>
    </font>
    <font>
      <b/>
      <sz val="9"/>
      <color theme="3"/>
      <name val="Tahoma"/>
    </font>
    <font>
      <sz val="14"/>
      <color rgb="FFBCBCBC"/>
      <name val="Calibri"/>
      <scheme val="minor"/>
    </font>
    <font>
      <sz val="10"/>
      <name val="Arial Cyr"/>
    </font>
    <font>
      <b/>
      <u/>
      <sz val="11"/>
      <color rgb="FF0000FF"/>
      <name val="Tahoma"/>
    </font>
    <font>
      <sz val="11"/>
      <color rgb="FF000000"/>
      <name val="Tahoma"/>
    </font>
    <font>
      <sz val="11"/>
      <color rgb="FFFFFFFF"/>
      <name val="Tahoma"/>
    </font>
    <font>
      <u/>
      <sz val="20"/>
      <color rgb="FF003366"/>
      <name val="Tahoma"/>
    </font>
    <font>
      <b/>
      <sz val="10"/>
      <color rgb="FF000000"/>
      <name val="Tahoma"/>
    </font>
    <font>
      <sz val="11"/>
      <color rgb="FF000000"/>
      <name val="Marlett"/>
    </font>
    <font>
      <sz val="10"/>
      <color rgb="FF000000"/>
      <name val="Tahoma"/>
    </font>
    <font>
      <sz val="10"/>
      <color rgb="FF000000"/>
      <name val="Arial Cyr"/>
    </font>
    <font>
      <u/>
      <sz val="20"/>
      <color rgb="FF000000"/>
      <name val="Tahoma"/>
    </font>
    <font>
      <sz val="9"/>
      <color rgb="FF000000"/>
      <name val="Arial Cyr"/>
    </font>
    <font>
      <u/>
      <sz val="9"/>
      <color rgb="FF000000"/>
      <name val="Tahoma"/>
    </font>
    <font>
      <sz val="11"/>
      <color rgb="FFBCBCBC"/>
      <name val="Tahoma"/>
    </font>
    <font>
      <sz val="11"/>
      <color rgb="FFBCBCBC"/>
      <name val="Wingdings 2"/>
    </font>
    <font>
      <sz val="8"/>
      <color rgb="FF000000"/>
      <name val="Tahoma"/>
    </font>
    <font>
      <strike/>
      <sz val="9"/>
      <color rgb="FF000000"/>
      <name val="Tahoma"/>
    </font>
    <font>
      <sz val="8"/>
      <color rgb="FF7030A0"/>
      <name val="Tahoma"/>
    </font>
    <font>
      <sz val="11"/>
      <color rgb="FF000000"/>
      <name val="Calibri"/>
    </font>
    <font>
      <b/>
      <sz val="10"/>
      <color rgb="FF333399"/>
      <name val="Tahoma"/>
    </font>
    <font>
      <sz val="11"/>
      <name val="Calibri"/>
      <scheme val="minor"/>
    </font>
    <font>
      <u/>
      <sz val="9"/>
      <color theme="10"/>
      <name val="Tahoma"/>
    </font>
    <font>
      <b/>
      <sz val="8"/>
      <color rgb="FF000000"/>
      <name val="Tahoma"/>
    </font>
    <font>
      <sz val="9"/>
      <color rgb="FF000000"/>
      <name val="Tahoma"/>
    </font>
    <font>
      <vertAlign val="superscript"/>
      <sz val="9"/>
      <color theme="1"/>
      <name val="Tahoma"/>
      <family val="2"/>
      <charset val="204"/>
    </font>
    <font>
      <vertAlign val="subscript"/>
      <sz val="9"/>
      <color rgb="FF22272F"/>
      <name val="Tahoma"/>
      <family val="2"/>
      <charset val="204"/>
    </font>
    <font>
      <sz val="9"/>
      <color rgb="FF22272F"/>
      <name val="Tahoma"/>
      <family val="2"/>
      <charset val="204"/>
    </font>
    <font>
      <b/>
      <vertAlign val="superscript"/>
      <sz val="9"/>
      <color theme="1"/>
      <name val="Tahoma"/>
      <family val="2"/>
      <charset val="204"/>
    </font>
    <font>
      <b/>
      <vertAlign val="subscript"/>
      <sz val="9"/>
      <color theme="1"/>
      <name val="Tahoma"/>
      <family val="2"/>
      <charset val="204"/>
    </font>
    <font>
      <i/>
      <vertAlign val="subscript"/>
      <sz val="9"/>
      <color theme="1"/>
      <name val="Tahoma"/>
      <family val="2"/>
      <charset val="204"/>
    </font>
    <font>
      <vertAlign val="subscript"/>
      <sz val="9"/>
      <color theme="1"/>
      <name val="Tahoma"/>
      <family val="2"/>
      <charset val="204"/>
    </font>
  </fonts>
  <fills count="38">
    <fill>
      <patternFill patternType="none"/>
    </fill>
    <fill>
      <patternFill patternType="gray125"/>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patternFill>
    </fill>
    <fill>
      <patternFill patternType="solid">
        <fgColor rgb="FFFFFFCC"/>
      </patternFill>
    </fill>
    <fill>
      <patternFill patternType="solid">
        <fgColor rgb="FFE3FAFD"/>
      </patternFill>
    </fill>
    <fill>
      <patternFill patternType="solid">
        <fgColor rgb="FFFFFFC0"/>
      </patternFill>
    </fill>
    <fill>
      <patternFill patternType="solid">
        <fgColor theme="0"/>
      </patternFill>
    </fill>
    <fill>
      <patternFill patternType="solid">
        <fgColor rgb="FFFFFFFF"/>
      </patternFill>
    </fill>
    <fill>
      <patternFill patternType="solid">
        <fgColor rgb="FF0066CC"/>
      </patternFill>
    </fill>
    <fill>
      <patternFill patternType="solid">
        <fgColor rgb="FFFFFF00"/>
      </patternFill>
    </fill>
    <fill>
      <patternFill patternType="solid">
        <fgColor rgb="FFD3DBDB"/>
      </patternFill>
    </fill>
    <fill>
      <patternFill patternType="solid">
        <fgColor rgb="FF808080"/>
      </patternFill>
    </fill>
    <fill>
      <patternFill patternType="lightDown">
        <fgColor rgb="FFBCBCBC"/>
      </patternFill>
    </fill>
    <fill>
      <patternFill patternType="solid">
        <fgColor rgb="FFD7EAD3"/>
      </patternFill>
    </fill>
    <fill>
      <patternFill patternType="solid">
        <fgColor rgb="FFCC0000"/>
      </patternFill>
    </fill>
    <fill>
      <patternFill patternType="solid">
        <fgColor theme="0" tint="-0.14999847407452621"/>
        <bgColor indexed="65"/>
      </patternFill>
    </fill>
    <fill>
      <patternFill patternType="solid">
        <fgColor theme="0" tint="-0.249977111117893"/>
        <bgColor indexed="65"/>
      </patternFill>
    </fill>
    <fill>
      <patternFill patternType="solid">
        <fgColor rgb="FFFF8080"/>
      </patternFill>
    </fill>
    <fill>
      <patternFill patternType="solid">
        <fgColor rgb="FF0070C0"/>
      </patternFill>
    </fill>
    <fill>
      <patternFill patternType="solid">
        <fgColor rgb="FFF79646"/>
      </patternFill>
    </fill>
    <fill>
      <patternFill patternType="solid">
        <fgColor rgb="FF00B0F0"/>
      </patternFill>
    </fill>
    <fill>
      <patternFill patternType="lightDown">
        <fgColor rgb="FFBCBCBC"/>
        <bgColor rgb="FFFF8080"/>
      </patternFill>
    </fill>
    <fill>
      <patternFill patternType="solid">
        <fgColor rgb="FF92D050"/>
      </patternFill>
    </fill>
    <fill>
      <patternFill patternType="solid">
        <fgColor rgb="FFF0F075"/>
      </patternFill>
    </fill>
    <fill>
      <patternFill patternType="solid">
        <fgColor rgb="FFB7E4FF"/>
      </patternFill>
    </fill>
    <fill>
      <patternFill patternType="solid">
        <fgColor rgb="FFDAEEF3"/>
      </patternFill>
    </fill>
    <fill>
      <patternFill patternType="solid">
        <fgColor rgb="FFBCBCBC"/>
      </patternFill>
    </fill>
    <fill>
      <patternFill patternType="solid">
        <fgColor theme="0" tint="-4.9989318521683403E-2"/>
        <bgColor indexed="65"/>
      </patternFill>
    </fill>
    <fill>
      <patternFill patternType="solid">
        <fgColor theme="2" tint="-9.9978637043366805E-2"/>
        <bgColor indexed="65"/>
      </patternFill>
    </fill>
    <fill>
      <patternFill patternType="solid">
        <fgColor rgb="FFFFCC66"/>
      </patternFill>
    </fill>
    <fill>
      <patternFill patternType="solid">
        <fgColor rgb="FFCCFFCC"/>
      </patternFill>
    </fill>
    <fill>
      <patternFill patternType="solid">
        <fgColor rgb="FFECF1DE"/>
      </patternFill>
    </fill>
  </fills>
  <borders count="72">
    <border>
      <left/>
      <right/>
      <top/>
      <bottom/>
      <diagonal/>
    </border>
    <border>
      <left style="thin">
        <color rgb="FFBCBCBC"/>
      </left>
      <right style="thin">
        <color rgb="FFBCBCBC"/>
      </right>
      <top style="thin">
        <color rgb="FFBCBCBC"/>
      </top>
      <bottom style="thin">
        <color rgb="FFBCBCBC"/>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249977111117893"/>
      </top>
      <bottom/>
      <diagonal/>
    </border>
    <border>
      <left style="thin">
        <color rgb="FFBCBCBC"/>
      </left>
      <right style="thin">
        <color rgb="FFBCBCBC"/>
      </right>
      <top style="thin">
        <color rgb="FFBCBCBC"/>
      </top>
      <bottom/>
      <diagonal/>
    </border>
    <border>
      <left/>
      <right style="thin">
        <color rgb="FFBCBCBC"/>
      </right>
      <top/>
      <bottom style="thin">
        <color rgb="FFBCBCBC"/>
      </bottom>
      <diagonal/>
    </border>
    <border>
      <left/>
      <right style="thin">
        <color rgb="FFBCBCBC"/>
      </right>
      <top style="thin">
        <color rgb="FFBCBCBC"/>
      </top>
      <bottom style="thin">
        <color rgb="FFBCBCBC"/>
      </bottom>
      <diagonal/>
    </border>
    <border>
      <left style="thin">
        <color rgb="FFBCBCBC"/>
      </left>
      <right style="thin">
        <color rgb="FFBCBCBC"/>
      </right>
      <top/>
      <bottom style="thin">
        <color rgb="FFBCBCBC"/>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rgb="FFBCBCBC"/>
      </left>
      <right/>
      <top style="thin">
        <color rgb="FFBCBCBC"/>
      </top>
      <bottom style="thin">
        <color rgb="FFBCBCBC"/>
      </bottom>
      <diagonal/>
    </border>
    <border>
      <left/>
      <right style="thin">
        <color rgb="FFBCBCBC"/>
      </right>
      <top style="thin">
        <color rgb="FFBCBCBC"/>
      </top>
      <bottom/>
      <diagonal/>
    </border>
    <border>
      <left style="thin">
        <color rgb="FFC0C0C0"/>
      </left>
      <right style="thin">
        <color rgb="FFC0C0C0"/>
      </right>
      <top style="thin">
        <color rgb="FFC0C0C0"/>
      </top>
      <bottom style="thin">
        <color rgb="FFC0C0C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rgb="FFBCBCBC"/>
      </top>
      <bottom style="thin">
        <color rgb="FFBCBCBC"/>
      </bottom>
      <diagonal/>
    </border>
    <border>
      <left/>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top style="thin">
        <color theme="0" tint="-0.34998626667073579"/>
      </top>
      <bottom style="thin">
        <color rgb="FFBCBCBC"/>
      </bottom>
      <diagonal/>
    </border>
    <border>
      <left/>
      <right/>
      <top style="thin">
        <color theme="0" tint="-0.34998626667073579"/>
      </top>
      <bottom style="thin">
        <color rgb="FFBCBCBC"/>
      </bottom>
      <diagonal/>
    </border>
    <border>
      <left/>
      <right style="thin">
        <color theme="0" tint="-0.249977111117893"/>
      </right>
      <top style="thin">
        <color theme="0" tint="-0.34998626667073579"/>
      </top>
      <bottom style="thin">
        <color rgb="FFBCBCBC"/>
      </bottom>
      <diagonal/>
    </border>
    <border>
      <left/>
      <right/>
      <top style="thin">
        <color rgb="FFBCBCBC"/>
      </top>
      <bottom/>
      <diagonal/>
    </border>
    <border>
      <left/>
      <right style="thin">
        <color theme="0" tint="-0.34998626667073579"/>
      </right>
      <top style="thin">
        <color theme="0" tint="-0.34998626667073579"/>
      </top>
      <bottom style="thin">
        <color rgb="FFBCBCBC"/>
      </bottom>
      <diagonal/>
    </border>
    <border>
      <left/>
      <right/>
      <top/>
      <bottom style="thin">
        <color theme="0" tint="-0.249977111117893"/>
      </bottom>
      <diagonal/>
    </border>
    <border>
      <left style="thin">
        <color rgb="FFBCBCBC"/>
      </left>
      <right/>
      <top/>
      <bottom style="thin">
        <color rgb="FFBCBCBC"/>
      </bottom>
      <diagonal/>
    </border>
    <border>
      <left/>
      <right/>
      <top/>
      <bottom style="thin">
        <color rgb="FFBCBCBC"/>
      </bottom>
      <diagonal/>
    </border>
    <border>
      <left style="thin">
        <color rgb="FFBCBCBC"/>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249977111117893"/>
      </top>
      <bottom style="thin">
        <color rgb="FFBCBCBC"/>
      </bottom>
      <diagonal/>
    </border>
    <border>
      <left/>
      <right style="thin">
        <color theme="0" tint="-0.249977111117893"/>
      </right>
      <top style="thin">
        <color theme="0" tint="-0.249977111117893"/>
      </top>
      <bottom style="thin">
        <color rgb="FFBCBCBC"/>
      </bottom>
      <diagonal/>
    </border>
    <border>
      <left style="thin">
        <color theme="0" tint="-0.249977111117893"/>
      </left>
      <right/>
      <top style="thin">
        <color theme="0" tint="-0.249977111117893"/>
      </top>
      <bottom style="thin">
        <color rgb="FFBCBCBC"/>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34998626667073579"/>
      </left>
      <right/>
      <top style="thin">
        <color theme="0" tint="-0.249977111117893"/>
      </top>
      <bottom style="thin">
        <color theme="0" tint="-0.34998626667073579"/>
      </bottom>
      <diagonal/>
    </border>
    <border>
      <left style="thin">
        <color theme="0" tint="-0.249977111117893"/>
      </left>
      <right/>
      <top/>
      <bottom style="thin">
        <color theme="0" tint="-0.249977111117893"/>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BCBCBC"/>
      </left>
      <right style="thin">
        <color rgb="FFBCBCBC"/>
      </right>
      <top style="thin">
        <color rgb="FFD9D9D9"/>
      </top>
      <bottom style="thin">
        <color rgb="FFD9D9D9"/>
      </bottom>
      <diagonal/>
    </border>
    <border>
      <left style="thin">
        <color rgb="FFBCBCBC"/>
      </left>
      <right/>
      <top style="thin">
        <color rgb="FFBCBCBC"/>
      </top>
      <bottom/>
      <diagonal/>
    </border>
    <border>
      <left/>
      <right/>
      <top style="thin">
        <color rgb="FFBFBFBF"/>
      </top>
      <bottom style="thin">
        <color rgb="FFBFBFBF"/>
      </bottom>
      <diagonal/>
    </border>
    <border>
      <left style="thin">
        <color rgb="FFBCBCBC"/>
      </left>
      <right style="thin">
        <color rgb="FFBCBCBC"/>
      </right>
      <top style="thin">
        <color rgb="FFBFBFBF"/>
      </top>
      <bottom style="thin">
        <color rgb="FFBCBCBC"/>
      </bottom>
      <diagonal/>
    </border>
    <border>
      <left style="thin">
        <color rgb="FFBCBCBC"/>
      </left>
      <right/>
      <top style="thin">
        <color rgb="FFBFBFBF"/>
      </top>
      <bottom style="thin">
        <color rgb="FFBCBCBC"/>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right/>
      <top style="thin">
        <color theme="0" tint="-0.249977111117893"/>
      </top>
      <bottom/>
      <diagonal/>
    </border>
    <border>
      <left style="thin">
        <color rgb="FFBFBFBF"/>
      </left>
      <right/>
      <top style="thin">
        <color rgb="FFBFBFBF"/>
      </top>
      <bottom style="thin">
        <color rgb="FFBFBFBF"/>
      </bottom>
      <diagonal/>
    </border>
    <border>
      <left style="thin">
        <color rgb="FFD9D9D9"/>
      </left>
      <right style="thin">
        <color rgb="FFD9D9D9"/>
      </right>
      <top style="thin">
        <color rgb="FFD9D9D9"/>
      </top>
      <bottom/>
      <diagonal/>
    </border>
    <border>
      <left style="thin">
        <color theme="0" tint="-0.249977111117893"/>
      </left>
      <right style="thin">
        <color theme="0" tint="-0.249977111117893"/>
      </right>
      <top/>
      <bottom/>
      <diagonal/>
    </border>
    <border>
      <left/>
      <right style="thin">
        <color rgb="FFBCBCBC"/>
      </right>
      <top/>
      <bottom style="thin">
        <color theme="0" tint="-0.249977111117893"/>
      </bottom>
      <diagonal/>
    </border>
    <border>
      <left style="thin">
        <color theme="0" tint="-0.249977111117893"/>
      </left>
      <right/>
      <top style="thin">
        <color rgb="FFBCBCBC"/>
      </top>
      <bottom style="thin">
        <color rgb="FFBCBCBC"/>
      </bottom>
      <diagonal/>
    </border>
    <border>
      <left style="thin">
        <color theme="0" tint="-0.249977111117893"/>
      </left>
      <right/>
      <top/>
      <bottom/>
      <diagonal/>
    </border>
    <border>
      <left style="thin">
        <color rgb="FFC0C0C0"/>
      </left>
      <right/>
      <top style="thin">
        <color rgb="FFC0C0C0"/>
      </top>
      <bottom/>
      <diagonal/>
    </border>
    <border>
      <left/>
      <right style="thin">
        <color theme="0" tint="-0.249977111117893"/>
      </right>
      <top/>
      <bottom style="thin">
        <color rgb="FFBCBCBC"/>
      </bottom>
      <diagonal/>
    </border>
    <border>
      <left style="thin">
        <color theme="0" tint="-0.249977111117893"/>
      </left>
      <right/>
      <top/>
      <bottom style="thin">
        <color rgb="FFBCBCBC"/>
      </bottom>
      <diagonal/>
    </border>
    <border>
      <left/>
      <right style="thin">
        <color rgb="FFBFBFBF"/>
      </right>
      <top style="thin">
        <color rgb="FFBFBFBF"/>
      </top>
      <bottom style="thin">
        <color rgb="FFBFBFBF"/>
      </bottom>
      <diagonal/>
    </border>
    <border>
      <left/>
      <right style="thin">
        <color rgb="FFBCBCBC"/>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style="thin">
        <color theme="0" tint="-0.249977111117893"/>
      </right>
      <top/>
      <bottom/>
      <diagonal/>
    </border>
    <border>
      <left style="thin">
        <color theme="0" tint="-0.34998626667073579"/>
      </left>
      <right/>
      <top style="thin">
        <color rgb="FFBCBCBC"/>
      </top>
      <bottom/>
      <diagonal/>
    </border>
    <border>
      <left/>
      <right style="thin">
        <color theme="0" tint="-0.34998626667073579"/>
      </right>
      <top style="thin">
        <color rgb="FFBCBCBC"/>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theme="0" tint="-0.249977111117893"/>
      </left>
      <right/>
      <top style="thin">
        <color rgb="FFBCBCBC"/>
      </top>
      <bottom style="thin">
        <color theme="0" tint="-0.249977111117893"/>
      </bottom>
      <diagonal/>
    </border>
    <border>
      <left/>
      <right style="thin">
        <color theme="0" tint="-0.249977111117893"/>
      </right>
      <top style="thin">
        <color rgb="FFBCBCBC"/>
      </top>
      <bottom style="thin">
        <color theme="0" tint="-0.249977111117893"/>
      </bottom>
      <diagonal/>
    </border>
  </borders>
  <cellStyleXfs count="95">
    <xf numFmtId="49" fontId="0" fillId="0" borderId="0" applyFill="0" applyBorder="0">
      <alignment vertical="top"/>
    </xf>
    <xf numFmtId="0" fontId="1" fillId="10" borderId="1">
      <alignment horizontal="right" vertical="center" wrapText="1" indent="1"/>
    </xf>
    <xf numFmtId="0" fontId="3" fillId="10" borderId="1">
      <alignment horizontal="right" vertical="center" wrapText="1" indent="1"/>
    </xf>
    <xf numFmtId="0" fontId="1" fillId="10" borderId="2">
      <alignment horizontal="left" vertical="center" wrapText="1" indent="1"/>
    </xf>
    <xf numFmtId="0" fontId="1" fillId="11" borderId="2">
      <alignment horizontal="left" vertical="center" wrapText="1" indent="1"/>
    </xf>
    <xf numFmtId="170" fontId="3" fillId="11" borderId="2">
      <alignment horizontal="left" vertical="center" wrapText="1" indent="1"/>
    </xf>
    <xf numFmtId="0" fontId="1" fillId="10" borderId="1">
      <alignment horizontal="left" vertical="center" wrapText="1" indent="1"/>
    </xf>
    <xf numFmtId="49" fontId="1" fillId="11" borderId="3">
      <alignment horizontal="left" vertical="center" wrapText="1" indent="1"/>
    </xf>
    <xf numFmtId="49" fontId="1" fillId="11" borderId="1">
      <alignment horizontal="left" vertical="center" wrapText="1"/>
    </xf>
    <xf numFmtId="4" fontId="1" fillId="11" borderId="2">
      <alignment horizontal="right" vertical="center"/>
    </xf>
    <xf numFmtId="0" fontId="1" fillId="11" borderId="1">
      <alignment horizontal="left" vertical="center" wrapText="1"/>
    </xf>
    <xf numFmtId="4" fontId="1" fillId="11" borderId="4">
      <alignment horizontal="right" vertical="center"/>
    </xf>
    <xf numFmtId="4" fontId="1" fillId="11" borderId="1">
      <alignment horizontal="right" vertical="center"/>
    </xf>
    <xf numFmtId="4" fontId="1" fillId="11" borderId="5">
      <alignment horizontal="right" vertical="center"/>
    </xf>
    <xf numFmtId="4" fontId="1" fillId="11" borderId="6">
      <alignment horizontal="right" vertical="center"/>
    </xf>
    <xf numFmtId="4" fontId="1" fillId="11" borderId="7">
      <alignment horizontal="right" vertical="center"/>
    </xf>
    <xf numFmtId="4" fontId="1" fillId="11" borderId="8">
      <alignment horizontal="right" vertical="center"/>
    </xf>
    <xf numFmtId="2" fontId="3" fillId="11" borderId="2">
      <alignment horizontal="right" vertical="center"/>
    </xf>
    <xf numFmtId="2" fontId="3" fillId="12" borderId="2">
      <alignment horizontal="right" vertical="center"/>
    </xf>
    <xf numFmtId="0" fontId="3" fillId="11" borderId="9">
      <alignment horizontal="left" vertical="center" wrapText="1"/>
    </xf>
    <xf numFmtId="2" fontId="3" fillId="11" borderId="9">
      <alignment horizontal="right" vertical="center"/>
    </xf>
    <xf numFmtId="2" fontId="3" fillId="11" borderId="10">
      <alignment horizontal="right" vertical="center"/>
    </xf>
    <xf numFmtId="2" fontId="68" fillId="11" borderId="2">
      <alignment horizontal="right" vertical="center"/>
    </xf>
    <xf numFmtId="0" fontId="3" fillId="11" borderId="2">
      <alignment horizontal="left" vertical="center" wrapText="1"/>
    </xf>
    <xf numFmtId="4" fontId="1" fillId="11" borderId="1">
      <alignment horizontal="right" vertical="center" wrapText="1"/>
    </xf>
    <xf numFmtId="49" fontId="1" fillId="10" borderId="2">
      <alignment horizontal="left" vertical="center" wrapText="1" indent="2"/>
    </xf>
    <xf numFmtId="4" fontId="1" fillId="11" borderId="2">
      <alignment horizontal="right" vertical="center" wrapText="1"/>
    </xf>
    <xf numFmtId="0" fontId="3" fillId="11" borderId="10">
      <alignment horizontal="left" vertical="center" wrapText="1"/>
    </xf>
    <xf numFmtId="4" fontId="1" fillId="11" borderId="5">
      <alignment horizontal="right" vertical="center" wrapText="1"/>
    </xf>
    <xf numFmtId="4" fontId="1" fillId="11" borderId="7">
      <alignment vertical="center"/>
    </xf>
    <xf numFmtId="4" fontId="1" fillId="11" borderId="1">
      <alignment vertical="center"/>
    </xf>
    <xf numFmtId="49" fontId="4" fillId="11" borderId="7">
      <alignment horizontal="left" vertical="center" wrapText="1" indent="1"/>
    </xf>
    <xf numFmtId="49" fontId="4" fillId="11" borderId="1">
      <alignment horizontal="left" vertical="center" wrapText="1" indent="1"/>
    </xf>
    <xf numFmtId="9" fontId="1" fillId="11" borderId="7">
      <alignment vertical="center"/>
    </xf>
    <xf numFmtId="0" fontId="3" fillId="0" borderId="2" applyFill="0">
      <alignment horizontal="left" vertical="center" wrapText="1"/>
    </xf>
    <xf numFmtId="10" fontId="1" fillId="11" borderId="7">
      <alignment vertical="center"/>
    </xf>
    <xf numFmtId="10" fontId="1" fillId="11" borderId="1">
      <alignment vertical="center"/>
    </xf>
    <xf numFmtId="9" fontId="1" fillId="11" borderId="1">
      <alignment vertical="center"/>
    </xf>
    <xf numFmtId="9" fontId="1" fillId="0" borderId="1" applyFill="0">
      <alignment vertical="center"/>
    </xf>
    <xf numFmtId="4" fontId="5" fillId="11" borderId="7">
      <alignment vertical="center"/>
    </xf>
    <xf numFmtId="4" fontId="5" fillId="11" borderId="10">
      <alignment horizontal="right" vertical="center"/>
    </xf>
    <xf numFmtId="4" fontId="3" fillId="11" borderId="1">
      <alignment horizontal="right" vertical="center"/>
    </xf>
    <xf numFmtId="169" fontId="1" fillId="11" borderId="2">
      <alignment horizontal="right" vertical="center"/>
    </xf>
    <xf numFmtId="0" fontId="1" fillId="10" borderId="2">
      <alignment horizontal="left" vertical="center" wrapText="1"/>
    </xf>
    <xf numFmtId="4" fontId="1" fillId="11" borderId="9">
      <alignment horizontal="right" vertical="center"/>
    </xf>
    <xf numFmtId="4" fontId="5" fillId="11" borderId="1">
      <alignment horizontal="right" vertical="center"/>
    </xf>
    <xf numFmtId="0" fontId="3" fillId="11" borderId="1">
      <alignment horizontal="left" vertical="center" wrapText="1"/>
    </xf>
    <xf numFmtId="0" fontId="3" fillId="11" borderId="11">
      <alignment horizontal="left" vertical="center" wrapText="1"/>
    </xf>
    <xf numFmtId="0" fontId="3" fillId="11" borderId="12">
      <alignment horizontal="left" vertical="center" wrapText="1"/>
    </xf>
    <xf numFmtId="0" fontId="1" fillId="11" borderId="2">
      <alignment horizontal="left" vertical="center" wrapText="1"/>
    </xf>
    <xf numFmtId="0" fontId="1" fillId="10" borderId="1">
      <alignment horizontal="center" vertical="center"/>
    </xf>
    <xf numFmtId="4" fontId="3" fillId="11" borderId="1">
      <alignment horizontal="right" vertical="center" wrapText="1"/>
    </xf>
    <xf numFmtId="4" fontId="3" fillId="11" borderId="1">
      <alignment horizontal="right"/>
    </xf>
    <xf numFmtId="49" fontId="1" fillId="10" borderId="1">
      <alignment horizontal="left" vertical="center" wrapText="1" indent="1"/>
    </xf>
    <xf numFmtId="4" fontId="6" fillId="11" borderId="1">
      <alignment horizontal="right" vertical="center"/>
    </xf>
    <xf numFmtId="169" fontId="3" fillId="11" borderId="1">
      <alignment horizontal="right" vertical="center"/>
    </xf>
    <xf numFmtId="49" fontId="4" fillId="10" borderId="5">
      <alignment horizontal="left" vertical="center" wrapText="1" indent="1"/>
    </xf>
    <xf numFmtId="4" fontId="3" fillId="11" borderId="5">
      <alignment horizontal="right" vertical="center"/>
    </xf>
    <xf numFmtId="4" fontId="3" fillId="11" borderId="8">
      <alignment horizontal="right" vertical="center"/>
    </xf>
    <xf numFmtId="2" fontId="4" fillId="11" borderId="1">
      <alignment vertical="center" wrapText="1"/>
    </xf>
    <xf numFmtId="2" fontId="3" fillId="12" borderId="13">
      <alignment horizontal="right" vertical="center"/>
    </xf>
    <xf numFmtId="4" fontId="4" fillId="11" borderId="1">
      <alignment vertical="center" wrapText="1"/>
    </xf>
    <xf numFmtId="9" fontId="4" fillId="11" borderId="1">
      <alignment vertical="center" wrapText="1"/>
    </xf>
    <xf numFmtId="4" fontId="7" fillId="11" borderId="1">
      <alignment vertical="center" wrapText="1"/>
    </xf>
    <xf numFmtId="9" fontId="1" fillId="11" borderId="1">
      <alignment horizontal="right" vertical="center" wrapText="1"/>
    </xf>
    <xf numFmtId="2" fontId="5" fillId="9" borderId="1">
      <alignment horizontal="center" vertical="center" wrapText="1"/>
    </xf>
    <xf numFmtId="2" fontId="1" fillId="11" borderId="1">
      <alignment horizontal="right" vertical="center" wrapText="1"/>
    </xf>
    <xf numFmtId="2" fontId="1" fillId="11" borderId="1">
      <alignment horizontal="center" vertical="center" wrapText="1"/>
    </xf>
    <xf numFmtId="2" fontId="1" fillId="9" borderId="1">
      <alignment horizontal="center" vertical="center" wrapText="1"/>
    </xf>
    <xf numFmtId="49" fontId="3" fillId="0" borderId="1" applyFill="0">
      <alignment horizontal="left" vertical="center" wrapText="1" indent="1"/>
    </xf>
    <xf numFmtId="49" fontId="3" fillId="0" borderId="1" applyFill="0">
      <alignment horizontal="left" vertical="center" wrapText="1" indent="2"/>
    </xf>
    <xf numFmtId="4" fontId="4" fillId="11" borderId="5">
      <alignment vertical="center" wrapText="1"/>
    </xf>
    <xf numFmtId="4" fontId="4" fillId="0" borderId="13" applyFill="0">
      <alignment vertical="center" wrapText="1"/>
    </xf>
    <xf numFmtId="4" fontId="4" fillId="0" borderId="7" applyFill="0">
      <alignment vertical="center" wrapText="1"/>
    </xf>
    <xf numFmtId="49" fontId="4" fillId="10" borderId="1">
      <alignment vertical="center" wrapText="1"/>
    </xf>
    <xf numFmtId="4" fontId="4" fillId="11" borderId="13">
      <alignment vertical="center" wrapText="1"/>
    </xf>
    <xf numFmtId="4" fontId="4" fillId="11" borderId="7">
      <alignment vertical="center" wrapText="1"/>
    </xf>
    <xf numFmtId="4" fontId="4" fillId="11" borderId="8">
      <alignment vertical="center" wrapText="1"/>
    </xf>
    <xf numFmtId="4" fontId="3" fillId="11" borderId="13">
      <alignment horizontal="right" vertical="center"/>
    </xf>
    <xf numFmtId="4" fontId="3" fillId="11" borderId="7">
      <alignment horizontal="right" vertical="center"/>
    </xf>
    <xf numFmtId="4" fontId="3" fillId="11" borderId="14">
      <alignment horizontal="right" vertical="center"/>
    </xf>
    <xf numFmtId="49" fontId="1" fillId="10" borderId="15">
      <alignment horizontal="left" vertical="center" wrapText="1" indent="2"/>
    </xf>
    <xf numFmtId="0" fontId="1" fillId="11" borderId="1">
      <alignment horizontal="left" vertical="center"/>
    </xf>
    <xf numFmtId="10" fontId="1" fillId="11" borderId="1">
      <alignment horizontal="right" vertical="center"/>
    </xf>
    <xf numFmtId="0" fontId="1" fillId="11" borderId="5">
      <alignment horizontal="left" vertical="center"/>
    </xf>
    <xf numFmtId="0" fontId="1" fillId="10" borderId="7">
      <alignment horizontal="left" vertical="center" wrapText="1" indent="2"/>
    </xf>
    <xf numFmtId="4" fontId="1" fillId="11" borderId="14">
      <alignment horizontal="right" vertical="center"/>
    </xf>
    <xf numFmtId="49" fontId="1" fillId="10" borderId="1">
      <alignment horizontal="left" vertical="center" wrapText="1" indent="3"/>
    </xf>
    <xf numFmtId="4" fontId="6" fillId="11" borderId="2">
      <alignment horizontal="right" vertical="center"/>
    </xf>
    <xf numFmtId="169" fontId="3" fillId="11" borderId="2">
      <alignment horizontal="right" vertical="center"/>
    </xf>
    <xf numFmtId="169" fontId="3" fillId="11" borderId="9">
      <alignment horizontal="right" vertical="center"/>
    </xf>
    <xf numFmtId="4" fontId="3" fillId="11" borderId="16">
      <alignment horizontal="right" vertical="center"/>
    </xf>
    <xf numFmtId="2" fontId="3" fillId="11" borderId="16">
      <alignment horizontal="right" vertical="center"/>
    </xf>
    <xf numFmtId="4" fontId="8" fillId="0" borderId="16" applyFill="0">
      <alignment horizontal="right" vertical="center"/>
    </xf>
    <xf numFmtId="2" fontId="1" fillId="11" borderId="2">
      <alignment horizontal="right" vertical="center"/>
    </xf>
  </cellStyleXfs>
  <cellXfs count="1554">
    <xf numFmtId="49" fontId="1" fillId="0" borderId="0" xfId="0" applyNumberFormat="1" applyFont="1">
      <alignment vertical="top"/>
    </xf>
    <xf numFmtId="49" fontId="0" fillId="0" borderId="0" xfId="0" applyNumberFormat="1" applyFont="1">
      <alignment vertical="top"/>
    </xf>
    <xf numFmtId="0" fontId="1" fillId="10" borderId="2" xfId="3" applyFont="1" applyFill="1" applyBorder="1">
      <alignment horizontal="left" vertical="center" wrapText="1" indent="1"/>
    </xf>
    <xf numFmtId="0" fontId="1" fillId="11" borderId="2" xfId="4" applyFont="1" applyFill="1" applyBorder="1">
      <alignment horizontal="left" vertical="center" wrapText="1" indent="1"/>
    </xf>
    <xf numFmtId="170" fontId="3" fillId="11" borderId="2" xfId="5" applyNumberFormat="1" applyFont="1" applyFill="1" applyBorder="1">
      <alignment horizontal="left" vertical="center" wrapText="1" indent="1"/>
    </xf>
    <xf numFmtId="0" fontId="1" fillId="10" borderId="1" xfId="6" applyFont="1" applyFill="1" applyBorder="1">
      <alignment horizontal="left" vertical="center" wrapText="1" indent="1"/>
    </xf>
    <xf numFmtId="49" fontId="1" fillId="11" borderId="3" xfId="7" applyNumberFormat="1" applyFont="1" applyFill="1" applyBorder="1">
      <alignment horizontal="left" vertical="center" wrapText="1" indent="1"/>
    </xf>
    <xf numFmtId="49" fontId="1" fillId="11" borderId="1" xfId="8" applyNumberFormat="1" applyFont="1" applyFill="1" applyBorder="1">
      <alignment horizontal="left" vertical="center" wrapText="1"/>
    </xf>
    <xf numFmtId="4" fontId="1" fillId="11" borderId="2" xfId="9" applyNumberFormat="1" applyFont="1" applyFill="1" applyBorder="1">
      <alignment horizontal="right" vertical="center"/>
    </xf>
    <xf numFmtId="0" fontId="1" fillId="11" borderId="1" xfId="10" applyFont="1" applyFill="1" applyBorder="1">
      <alignment horizontal="left" vertical="center" wrapText="1"/>
    </xf>
    <xf numFmtId="4" fontId="1" fillId="11" borderId="4" xfId="11" applyNumberFormat="1" applyFont="1" applyFill="1" applyBorder="1">
      <alignment horizontal="right" vertical="center"/>
    </xf>
    <xf numFmtId="4" fontId="1" fillId="11" borderId="1" xfId="12" applyNumberFormat="1" applyFont="1" applyFill="1" applyBorder="1">
      <alignment horizontal="right" vertical="center"/>
    </xf>
    <xf numFmtId="4" fontId="1" fillId="11" borderId="5" xfId="13" applyNumberFormat="1" applyFont="1" applyFill="1" applyBorder="1">
      <alignment horizontal="right" vertical="center"/>
    </xf>
    <xf numFmtId="4" fontId="1" fillId="11" borderId="6" xfId="14" applyNumberFormat="1" applyFont="1" applyFill="1" applyBorder="1">
      <alignment horizontal="right" vertical="center"/>
    </xf>
    <xf numFmtId="4" fontId="1" fillId="11" borderId="7" xfId="15" applyNumberFormat="1" applyFont="1" applyFill="1" applyBorder="1">
      <alignment horizontal="right" vertical="center"/>
    </xf>
    <xf numFmtId="4" fontId="1" fillId="11" borderId="8" xfId="16" applyNumberFormat="1" applyFont="1" applyFill="1" applyBorder="1">
      <alignment horizontal="right" vertical="center"/>
    </xf>
    <xf numFmtId="2" fontId="3" fillId="11" borderId="2" xfId="17" applyNumberFormat="1" applyFont="1" applyFill="1" applyBorder="1">
      <alignment horizontal="right" vertical="center"/>
    </xf>
    <xf numFmtId="2" fontId="3" fillId="12" borderId="2" xfId="18" applyNumberFormat="1" applyFont="1" applyFill="1" applyBorder="1">
      <alignment horizontal="right" vertical="center"/>
    </xf>
    <xf numFmtId="0" fontId="3" fillId="11" borderId="9" xfId="19" applyFont="1" applyFill="1" applyBorder="1">
      <alignment horizontal="left" vertical="center" wrapText="1"/>
    </xf>
    <xf numFmtId="2" fontId="3" fillId="11" borderId="9" xfId="20" applyNumberFormat="1" applyFont="1" applyFill="1" applyBorder="1">
      <alignment horizontal="right" vertical="center"/>
    </xf>
    <xf numFmtId="2" fontId="3" fillId="11" borderId="10" xfId="21" applyNumberFormat="1" applyFont="1" applyFill="1" applyBorder="1">
      <alignment horizontal="right" vertical="center"/>
    </xf>
    <xf numFmtId="2" fontId="0" fillId="11" borderId="2" xfId="22" applyNumberFormat="1" applyFont="1" applyFill="1" applyBorder="1">
      <alignment horizontal="right" vertical="center"/>
    </xf>
    <xf numFmtId="0" fontId="3" fillId="11" borderId="2" xfId="23" applyFont="1" applyFill="1" applyBorder="1">
      <alignment horizontal="left" vertical="center" wrapText="1"/>
    </xf>
    <xf numFmtId="4" fontId="1" fillId="11" borderId="1" xfId="24" applyNumberFormat="1" applyFont="1" applyFill="1" applyBorder="1">
      <alignment horizontal="right" vertical="center" wrapText="1"/>
    </xf>
    <xf numFmtId="49" fontId="1" fillId="10" borderId="2" xfId="25" applyNumberFormat="1" applyFont="1" applyFill="1" applyBorder="1">
      <alignment horizontal="left" vertical="center" wrapText="1" indent="2"/>
    </xf>
    <xf numFmtId="4" fontId="1" fillId="11" borderId="2" xfId="26" applyNumberFormat="1" applyFont="1" applyFill="1" applyBorder="1">
      <alignment horizontal="right" vertical="center" wrapText="1"/>
    </xf>
    <xf numFmtId="0" fontId="3" fillId="11" borderId="10" xfId="27" applyFont="1" applyFill="1" applyBorder="1">
      <alignment horizontal="left" vertical="center" wrapText="1"/>
    </xf>
    <xf numFmtId="4" fontId="1" fillId="11" borderId="5" xfId="28" applyNumberFormat="1" applyFont="1" applyFill="1" applyBorder="1">
      <alignment horizontal="right" vertical="center" wrapText="1"/>
    </xf>
    <xf numFmtId="4" fontId="1" fillId="11" borderId="7" xfId="29" applyNumberFormat="1" applyFont="1" applyFill="1" applyBorder="1">
      <alignment vertical="center"/>
    </xf>
    <xf numFmtId="4" fontId="1" fillId="11" borderId="1" xfId="30" applyNumberFormat="1" applyFont="1" applyFill="1" applyBorder="1">
      <alignment vertical="center"/>
    </xf>
    <xf numFmtId="49" fontId="4" fillId="11" borderId="7" xfId="31" applyNumberFormat="1" applyFont="1" applyFill="1" applyBorder="1">
      <alignment horizontal="left" vertical="center" wrapText="1" indent="1"/>
    </xf>
    <xf numFmtId="49" fontId="4" fillId="11" borderId="1" xfId="32" applyNumberFormat="1" applyFont="1" applyFill="1" applyBorder="1">
      <alignment horizontal="left" vertical="center" wrapText="1" indent="1"/>
    </xf>
    <xf numFmtId="9" fontId="1" fillId="11" borderId="7" xfId="33" applyNumberFormat="1" applyFont="1" applyFill="1" applyBorder="1">
      <alignment vertical="center"/>
    </xf>
    <xf numFmtId="0" fontId="3" fillId="0" borderId="2" xfId="34" applyFont="1" applyBorder="1">
      <alignment horizontal="left" vertical="center" wrapText="1"/>
    </xf>
    <xf numFmtId="10" fontId="1" fillId="11" borderId="7" xfId="35" applyNumberFormat="1" applyFont="1" applyFill="1" applyBorder="1">
      <alignment vertical="center"/>
    </xf>
    <xf numFmtId="10" fontId="1" fillId="11" borderId="1" xfId="36" applyNumberFormat="1" applyFont="1" applyFill="1" applyBorder="1">
      <alignment vertical="center"/>
    </xf>
    <xf numFmtId="9" fontId="1" fillId="11" borderId="1" xfId="37" applyNumberFormat="1" applyFont="1" applyFill="1" applyBorder="1">
      <alignment vertical="center"/>
    </xf>
    <xf numFmtId="9" fontId="1" fillId="0" borderId="1" xfId="38" applyNumberFormat="1" applyFont="1" applyBorder="1">
      <alignment vertical="center"/>
    </xf>
    <xf numFmtId="4" fontId="5" fillId="11" borderId="7" xfId="39" applyNumberFormat="1" applyFont="1" applyFill="1" applyBorder="1">
      <alignment vertical="center"/>
    </xf>
    <xf numFmtId="4" fontId="5" fillId="11" borderId="10" xfId="40" applyNumberFormat="1" applyFont="1" applyFill="1" applyBorder="1">
      <alignment horizontal="right" vertical="center"/>
    </xf>
    <xf numFmtId="4" fontId="3" fillId="11" borderId="1" xfId="41" applyNumberFormat="1" applyFont="1" applyFill="1" applyBorder="1">
      <alignment horizontal="right" vertical="center"/>
    </xf>
    <xf numFmtId="169" fontId="1" fillId="11" borderId="2" xfId="42" applyNumberFormat="1" applyFont="1" applyFill="1" applyBorder="1">
      <alignment horizontal="right" vertical="center"/>
    </xf>
    <xf numFmtId="0" fontId="1" fillId="10" borderId="2" xfId="43" applyFont="1" applyFill="1" applyBorder="1">
      <alignment horizontal="left" vertical="center" wrapText="1"/>
    </xf>
    <xf numFmtId="4" fontId="1" fillId="11" borderId="9" xfId="44" applyNumberFormat="1" applyFont="1" applyFill="1" applyBorder="1">
      <alignment horizontal="right" vertical="center"/>
    </xf>
    <xf numFmtId="4" fontId="5" fillId="11" borderId="1" xfId="45" applyNumberFormat="1" applyFont="1" applyFill="1" applyBorder="1">
      <alignment horizontal="right" vertical="center"/>
    </xf>
    <xf numFmtId="0" fontId="3" fillId="11" borderId="1" xfId="46" applyFont="1" applyFill="1" applyBorder="1">
      <alignment horizontal="left" vertical="center" wrapText="1"/>
    </xf>
    <xf numFmtId="0" fontId="3" fillId="11" borderId="11" xfId="47" applyFont="1" applyFill="1" applyBorder="1">
      <alignment horizontal="left" vertical="center" wrapText="1"/>
    </xf>
    <xf numFmtId="0" fontId="3" fillId="11" borderId="12" xfId="48" applyFont="1" applyFill="1" applyBorder="1">
      <alignment horizontal="left" vertical="center" wrapText="1"/>
    </xf>
    <xf numFmtId="0" fontId="1" fillId="11" borderId="2" xfId="49" applyFont="1" applyFill="1" applyBorder="1">
      <alignment horizontal="left" vertical="center" wrapText="1"/>
    </xf>
    <xf numFmtId="0" fontId="1" fillId="10" borderId="1" xfId="50" applyFont="1" applyFill="1" applyBorder="1">
      <alignment horizontal="center" vertical="center"/>
    </xf>
    <xf numFmtId="4" fontId="3" fillId="11" borderId="1" xfId="51" applyNumberFormat="1" applyFont="1" applyFill="1" applyBorder="1">
      <alignment horizontal="right" vertical="center" wrapText="1"/>
    </xf>
    <xf numFmtId="4" fontId="3" fillId="11" borderId="1" xfId="52" applyNumberFormat="1" applyFont="1" applyFill="1" applyBorder="1">
      <alignment horizontal="right"/>
    </xf>
    <xf numFmtId="49" fontId="1" fillId="10" borderId="1" xfId="53" applyNumberFormat="1" applyFont="1" applyFill="1" applyBorder="1">
      <alignment horizontal="left" vertical="center" wrapText="1" indent="1"/>
    </xf>
    <xf numFmtId="4" fontId="6" fillId="11" borderId="1" xfId="54" applyNumberFormat="1" applyFont="1" applyFill="1" applyBorder="1">
      <alignment horizontal="right" vertical="center"/>
    </xf>
    <xf numFmtId="169" fontId="3" fillId="11" borderId="1" xfId="55" applyNumberFormat="1" applyFont="1" applyFill="1" applyBorder="1">
      <alignment horizontal="right" vertical="center"/>
    </xf>
    <xf numFmtId="49" fontId="4" fillId="10" borderId="5" xfId="56" applyNumberFormat="1" applyFont="1" applyFill="1" applyBorder="1">
      <alignment horizontal="left" vertical="center" wrapText="1" indent="1"/>
    </xf>
    <xf numFmtId="4" fontId="3" fillId="11" borderId="5" xfId="57" applyNumberFormat="1" applyFont="1" applyFill="1" applyBorder="1">
      <alignment horizontal="right" vertical="center"/>
    </xf>
    <xf numFmtId="4" fontId="3" fillId="11" borderId="8" xfId="58" applyNumberFormat="1" applyFont="1" applyFill="1" applyBorder="1">
      <alignment horizontal="right" vertical="center"/>
    </xf>
    <xf numFmtId="2" fontId="4" fillId="11" borderId="1" xfId="59" applyNumberFormat="1" applyFont="1" applyFill="1" applyBorder="1">
      <alignment vertical="center" wrapText="1"/>
    </xf>
    <xf numFmtId="2" fontId="3" fillId="12" borderId="13" xfId="60" applyNumberFormat="1" applyFont="1" applyFill="1" applyBorder="1">
      <alignment horizontal="right" vertical="center"/>
    </xf>
    <xf numFmtId="4" fontId="4" fillId="11" borderId="1" xfId="61" applyNumberFormat="1" applyFont="1" applyFill="1" applyBorder="1">
      <alignment vertical="center" wrapText="1"/>
    </xf>
    <xf numFmtId="9" fontId="4" fillId="11" borderId="1" xfId="62" applyNumberFormat="1" applyFont="1" applyFill="1" applyBorder="1">
      <alignment vertical="center" wrapText="1"/>
    </xf>
    <xf numFmtId="4" fontId="7" fillId="11" borderId="1" xfId="63" applyNumberFormat="1" applyFont="1" applyFill="1" applyBorder="1">
      <alignment vertical="center" wrapText="1"/>
    </xf>
    <xf numFmtId="9" fontId="1" fillId="11" borderId="1" xfId="64" applyNumberFormat="1" applyFont="1" applyFill="1" applyBorder="1">
      <alignment horizontal="right" vertical="center" wrapText="1"/>
    </xf>
    <xf numFmtId="2" fontId="1" fillId="11" borderId="1" xfId="66" applyNumberFormat="1" applyFont="1" applyFill="1" applyBorder="1">
      <alignment horizontal="right" vertical="center" wrapText="1"/>
    </xf>
    <xf numFmtId="2" fontId="1" fillId="11" borderId="1" xfId="67" applyNumberFormat="1" applyFont="1" applyFill="1" applyBorder="1">
      <alignment horizontal="center" vertical="center" wrapText="1"/>
    </xf>
    <xf numFmtId="2" fontId="1" fillId="9" borderId="1" xfId="68" applyNumberFormat="1" applyFont="1" applyFill="1" applyBorder="1">
      <alignment horizontal="center" vertical="center" wrapText="1"/>
    </xf>
    <xf numFmtId="49" fontId="3" fillId="0" borderId="1" xfId="69" applyNumberFormat="1" applyFont="1" applyBorder="1">
      <alignment horizontal="left" vertical="center" wrapText="1" indent="1"/>
    </xf>
    <xf numFmtId="49" fontId="3" fillId="0" borderId="1" xfId="70" applyNumberFormat="1" applyFont="1" applyBorder="1">
      <alignment horizontal="left" vertical="center" wrapText="1" indent="2"/>
    </xf>
    <xf numFmtId="4" fontId="4" fillId="11" borderId="5" xfId="71" applyNumberFormat="1" applyFont="1" applyFill="1" applyBorder="1">
      <alignment vertical="center" wrapText="1"/>
    </xf>
    <xf numFmtId="4" fontId="4" fillId="0" borderId="13" xfId="72" applyNumberFormat="1" applyFont="1" applyBorder="1">
      <alignment vertical="center" wrapText="1"/>
    </xf>
    <xf numFmtId="4" fontId="4" fillId="0" borderId="7" xfId="73" applyNumberFormat="1" applyFont="1" applyBorder="1">
      <alignment vertical="center" wrapText="1"/>
    </xf>
    <xf numFmtId="49" fontId="4" fillId="10" borderId="1" xfId="74" applyNumberFormat="1" applyFont="1" applyFill="1" applyBorder="1">
      <alignment vertical="center" wrapText="1"/>
    </xf>
    <xf numFmtId="4" fontId="4" fillId="11" borderId="13" xfId="75" applyNumberFormat="1" applyFont="1" applyFill="1" applyBorder="1">
      <alignment vertical="center" wrapText="1"/>
    </xf>
    <xf numFmtId="4" fontId="4" fillId="11" borderId="7" xfId="76" applyNumberFormat="1" applyFont="1" applyFill="1" applyBorder="1">
      <alignment vertical="center" wrapText="1"/>
    </xf>
    <xf numFmtId="4" fontId="4" fillId="11" borderId="8" xfId="77" applyNumberFormat="1" applyFont="1" applyFill="1" applyBorder="1">
      <alignment vertical="center" wrapText="1"/>
    </xf>
    <xf numFmtId="4" fontId="3" fillId="11" borderId="13" xfId="78" applyNumberFormat="1" applyFont="1" applyFill="1" applyBorder="1">
      <alignment horizontal="right" vertical="center"/>
    </xf>
    <xf numFmtId="4" fontId="3" fillId="11" borderId="7" xfId="79" applyNumberFormat="1" applyFont="1" applyFill="1" applyBorder="1">
      <alignment horizontal="right" vertical="center"/>
    </xf>
    <xf numFmtId="4" fontId="3" fillId="11" borderId="14" xfId="80" applyNumberFormat="1" applyFont="1" applyFill="1" applyBorder="1">
      <alignment horizontal="right" vertical="center"/>
    </xf>
    <xf numFmtId="49" fontId="1" fillId="10" borderId="15" xfId="81" applyNumberFormat="1" applyFont="1" applyFill="1" applyBorder="1">
      <alignment horizontal="left" vertical="center" wrapText="1" indent="2"/>
    </xf>
    <xf numFmtId="0" fontId="1" fillId="11" borderId="1" xfId="82" applyFont="1" applyFill="1" applyBorder="1">
      <alignment horizontal="left" vertical="center"/>
    </xf>
    <xf numFmtId="10" fontId="1" fillId="11" borderId="1" xfId="83" applyNumberFormat="1" applyFont="1" applyFill="1" applyBorder="1">
      <alignment horizontal="right" vertical="center"/>
    </xf>
    <xf numFmtId="0" fontId="1" fillId="11" borderId="5" xfId="84" applyFont="1" applyFill="1" applyBorder="1">
      <alignment horizontal="left" vertical="center"/>
    </xf>
    <xf numFmtId="0" fontId="1" fillId="10" borderId="7" xfId="85" applyFont="1" applyFill="1" applyBorder="1">
      <alignment horizontal="left" vertical="center" wrapText="1" indent="2"/>
    </xf>
    <xf numFmtId="4" fontId="1" fillId="11" borderId="14" xfId="86" applyNumberFormat="1" applyFont="1" applyFill="1" applyBorder="1">
      <alignment horizontal="right" vertical="center"/>
    </xf>
    <xf numFmtId="49" fontId="1" fillId="10" borderId="1" xfId="87" applyNumberFormat="1" applyFont="1" applyFill="1" applyBorder="1">
      <alignment horizontal="left" vertical="center" wrapText="1" indent="3"/>
    </xf>
    <xf numFmtId="4" fontId="6" fillId="11" borderId="2" xfId="88" applyNumberFormat="1" applyFont="1" applyFill="1" applyBorder="1">
      <alignment horizontal="right" vertical="center"/>
    </xf>
    <xf numFmtId="169" fontId="3" fillId="11" borderId="2" xfId="89" applyNumberFormat="1" applyFont="1" applyFill="1" applyBorder="1">
      <alignment horizontal="right" vertical="center"/>
    </xf>
    <xf numFmtId="169" fontId="3" fillId="11" borderId="9" xfId="90" applyNumberFormat="1" applyFont="1" applyFill="1" applyBorder="1">
      <alignment horizontal="right" vertical="center"/>
    </xf>
    <xf numFmtId="4" fontId="3" fillId="11" borderId="16" xfId="91" applyNumberFormat="1" applyFont="1" applyFill="1" applyBorder="1">
      <alignment horizontal="right" vertical="center"/>
    </xf>
    <xf numFmtId="2" fontId="3" fillId="11" borderId="16" xfId="92" applyNumberFormat="1" applyFont="1" applyFill="1" applyBorder="1">
      <alignment horizontal="right" vertical="center"/>
    </xf>
    <xf numFmtId="4" fontId="8" fillId="0" borderId="16" xfId="93" applyNumberFormat="1" applyFont="1" applyBorder="1">
      <alignment horizontal="right" vertical="center"/>
    </xf>
    <xf numFmtId="2" fontId="1" fillId="11" borderId="2" xfId="94" applyNumberFormat="1" applyFont="1" applyFill="1" applyBorder="1">
      <alignment horizontal="right" vertical="center"/>
    </xf>
    <xf numFmtId="0" fontId="1" fillId="0" borderId="1" xfId="0" applyNumberFormat="1" applyFont="1" applyBorder="1" applyAlignment="1">
      <alignment horizontal="center" vertical="center"/>
    </xf>
    <xf numFmtId="0" fontId="9" fillId="0" borderId="0" xfId="0" applyNumberFormat="1" applyFont="1" applyAlignment="1">
      <alignment vertical="center"/>
    </xf>
    <xf numFmtId="0" fontId="1" fillId="13" borderId="2"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1" fillId="13" borderId="0" xfId="0" applyNumberFormat="1" applyFont="1" applyFill="1" applyAlignment="1">
      <alignment vertical="center" wrapText="1"/>
    </xf>
    <xf numFmtId="0" fontId="1" fillId="0" borderId="0" xfId="0" applyNumberFormat="1" applyFont="1" applyAlignment="1">
      <alignment horizontal="center" vertical="center"/>
    </xf>
    <xf numFmtId="49" fontId="4" fillId="13" borderId="1" xfId="0" applyNumberFormat="1" applyFont="1" applyFill="1" applyBorder="1" applyAlignment="1">
      <alignment horizontal="center" vertical="center" wrapText="1"/>
    </xf>
    <xf numFmtId="49" fontId="7" fillId="13" borderId="1" xfId="0" applyNumberFormat="1" applyFont="1" applyFill="1" applyBorder="1" applyAlignment="1">
      <alignment horizontal="center" vertical="center" wrapText="1"/>
    </xf>
    <xf numFmtId="49" fontId="7" fillId="13" borderId="1" xfId="0" applyNumberFormat="1" applyFont="1" applyFill="1" applyBorder="1" applyAlignment="1">
      <alignment horizontal="left" vertical="center" wrapText="1"/>
    </xf>
    <xf numFmtId="49" fontId="1" fillId="0" borderId="1" xfId="0" applyNumberFormat="1" applyFont="1" applyBorder="1" applyAlignment="1">
      <alignment horizontal="left" vertical="center" wrapText="1" indent="1"/>
    </xf>
    <xf numFmtId="49" fontId="4" fillId="13" borderId="1" xfId="0" applyNumberFormat="1" applyFont="1" applyFill="1" applyBorder="1" applyAlignment="1">
      <alignment horizontal="left" vertical="center" wrapText="1" indent="1"/>
    </xf>
    <xf numFmtId="49" fontId="4" fillId="13" borderId="1" xfId="0" applyNumberFormat="1" applyFont="1" applyFill="1" applyBorder="1" applyAlignment="1">
      <alignment horizontal="left" vertical="center" wrapText="1" indent="2"/>
    </xf>
    <xf numFmtId="49" fontId="4" fillId="0" borderId="1" xfId="0" applyNumberFormat="1" applyFont="1" applyBorder="1" applyAlignment="1">
      <alignment horizontal="left" vertical="center" wrapText="1"/>
    </xf>
    <xf numFmtId="49" fontId="4" fillId="13" borderId="1" xfId="0" applyNumberFormat="1" applyFont="1" applyFill="1" applyBorder="1" applyAlignment="1">
      <alignment horizontal="left" vertical="center" wrapText="1"/>
    </xf>
    <xf numFmtId="0" fontId="3" fillId="0" borderId="1"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0" xfId="0" applyNumberFormat="1" applyFont="1" applyAlignment="1">
      <alignment horizontal="center" vertical="center" wrapText="1"/>
    </xf>
    <xf numFmtId="0" fontId="1" fillId="0" borderId="2"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0" fontId="3" fillId="0" borderId="0" xfId="0" applyNumberFormat="1" applyFont="1" applyAlignment="1">
      <alignment horizontal="center" vertical="center"/>
    </xf>
    <xf numFmtId="49" fontId="5" fillId="0" borderId="0" xfId="0" applyNumberFormat="1" applyFont="1" applyAlignment="1">
      <alignment horizontal="center" vertical="center" wrapText="1" shrinkToFit="1"/>
    </xf>
    <xf numFmtId="0" fontId="3" fillId="0" borderId="0" xfId="0" applyNumberFormat="1" applyFont="1" applyAlignment="1">
      <alignment horizontal="center" vertical="center" wrapText="1"/>
    </xf>
    <xf numFmtId="0" fontId="1" fillId="0" borderId="0" xfId="0" applyNumberFormat="1" applyFont="1" applyAlignment="1">
      <alignment horizontal="center" vertical="center"/>
    </xf>
    <xf numFmtId="0" fontId="9" fillId="0" borderId="0" xfId="0" applyNumberFormat="1" applyFont="1" applyAlignment="1">
      <alignment horizontal="left" vertical="center" wrapText="1"/>
    </xf>
    <xf numFmtId="0" fontId="1" fillId="0" borderId="13" xfId="0" applyNumberFormat="1" applyFont="1" applyBorder="1" applyAlignment="1">
      <alignment horizontal="right" vertical="center" wrapText="1" indent="1"/>
    </xf>
    <xf numFmtId="0" fontId="1" fillId="0" borderId="17" xfId="0" applyNumberFormat="1" applyFont="1" applyBorder="1" applyAlignment="1">
      <alignment horizontal="right" vertical="center" wrapText="1" indent="1"/>
    </xf>
    <xf numFmtId="0" fontId="9" fillId="0" borderId="0" xfId="0" applyNumberFormat="1" applyFont="1" applyAlignment="1">
      <alignment horizontal="center" vertical="center"/>
    </xf>
    <xf numFmtId="0" fontId="1" fillId="0" borderId="2" xfId="0" applyNumberFormat="1" applyFont="1" applyBorder="1" applyAlignment="1">
      <alignment horizontal="right" vertical="center" wrapText="1" indent="1"/>
    </xf>
    <xf numFmtId="0" fontId="1" fillId="0" borderId="2" xfId="0" applyNumberFormat="1" applyFont="1" applyBorder="1" applyAlignment="1">
      <alignment horizontal="right" vertical="center" wrapText="1" indent="1"/>
    </xf>
    <xf numFmtId="0" fontId="10" fillId="0" borderId="18" xfId="0" applyNumberFormat="1" applyFont="1" applyBorder="1" applyAlignment="1">
      <alignment horizontal="center" vertical="center"/>
    </xf>
    <xf numFmtId="0" fontId="1" fillId="0" borderId="0" xfId="0" applyNumberFormat="1" applyFont="1" applyAlignment="1"/>
    <xf numFmtId="0" fontId="1" fillId="13" borderId="0" xfId="0" applyNumberFormat="1" applyFont="1" applyFill="1" applyAlignment="1"/>
    <xf numFmtId="49" fontId="1" fillId="11" borderId="19" xfId="0" applyNumberFormat="1" applyFont="1" applyFill="1" applyBorder="1" applyAlignment="1" applyProtection="1">
      <alignment horizontal="left" vertical="center" wrapText="1"/>
      <protection locked="0"/>
    </xf>
    <xf numFmtId="0" fontId="9" fillId="0" borderId="0" xfId="0" applyNumberFormat="1" applyFont="1" applyAlignment="1">
      <alignment vertical="center" wrapText="1"/>
    </xf>
    <xf numFmtId="0" fontId="11" fillId="0" borderId="0" xfId="0" applyNumberFormat="1" applyFont="1" applyAlignment="1">
      <alignment vertical="center"/>
    </xf>
    <xf numFmtId="0" fontId="11" fillId="0" borderId="0" xfId="0" applyNumberFormat="1" applyFont="1" applyAlignment="1">
      <alignment horizontal="center" vertical="center"/>
    </xf>
    <xf numFmtId="0" fontId="12" fillId="0" borderId="0" xfId="0" applyNumberFormat="1" applyFont="1" applyAlignment="1">
      <alignment vertical="center"/>
    </xf>
    <xf numFmtId="49" fontId="1" fillId="0" borderId="0" xfId="0" applyNumberFormat="1" applyFont="1" applyAlignment="1">
      <alignment vertical="center" wrapText="1"/>
    </xf>
    <xf numFmtId="49" fontId="5" fillId="0" borderId="0" xfId="0" applyNumberFormat="1" applyFont="1" applyAlignment="1">
      <alignment vertical="center" wrapText="1"/>
    </xf>
    <xf numFmtId="49" fontId="1" fillId="0" borderId="0" xfId="0" applyNumberFormat="1" applyFont="1" applyAlignment="1">
      <alignment horizontal="left" vertical="center" wrapText="1"/>
    </xf>
    <xf numFmtId="0" fontId="1" fillId="13" borderId="20" xfId="0" applyNumberFormat="1" applyFont="1" applyFill="1" applyBorder="1" applyAlignment="1">
      <alignment horizontal="center" vertical="center" wrapText="1"/>
    </xf>
    <xf numFmtId="0" fontId="1" fillId="13" borderId="21" xfId="0" applyNumberFormat="1" applyFont="1" applyFill="1" applyBorder="1" applyAlignment="1">
      <alignment horizontal="center" vertical="center" wrapText="1"/>
    </xf>
    <xf numFmtId="0" fontId="1" fillId="13" borderId="22" xfId="0" applyNumberFormat="1" applyFont="1" applyFill="1" applyBorder="1" applyAlignment="1">
      <alignment horizontal="center" vertical="center" wrapText="1"/>
    </xf>
    <xf numFmtId="49" fontId="1" fillId="0" borderId="0" xfId="0" applyNumberFormat="1" applyFont="1" applyAlignment="1">
      <alignment horizontal="left" vertical="center" wrapText="1"/>
    </xf>
    <xf numFmtId="0" fontId="3" fillId="0" borderId="0" xfId="0" applyNumberFormat="1" applyFont="1" applyAlignment="1"/>
    <xf numFmtId="0" fontId="1" fillId="0" borderId="0" xfId="0" applyNumberFormat="1" applyFont="1" applyAlignment="1">
      <alignment horizontal="center"/>
    </xf>
    <xf numFmtId="0" fontId="1" fillId="0" borderId="0" xfId="0" applyNumberFormat="1" applyFont="1" applyAlignment="1">
      <alignment horizontal="center" wrapText="1"/>
    </xf>
    <xf numFmtId="0" fontId="0" fillId="0" borderId="0" xfId="0" applyNumberFormat="1" applyFont="1" applyAlignment="1">
      <alignment horizontal="center" vertical="center"/>
    </xf>
    <xf numFmtId="0" fontId="3" fillId="0" borderId="0" xfId="0" applyNumberFormat="1" applyFont="1" applyAlignment="1">
      <alignment horizontal="center"/>
    </xf>
    <xf numFmtId="0" fontId="1" fillId="0" borderId="2" xfId="0" applyNumberFormat="1" applyFont="1" applyBorder="1" applyAlignment="1">
      <alignment horizontal="center" vertical="center"/>
    </xf>
    <xf numFmtId="0" fontId="3" fillId="12" borderId="2" xfId="0" applyNumberFormat="1" applyFont="1" applyFill="1" applyBorder="1" applyAlignment="1">
      <alignment horizontal="left" vertical="center" wrapText="1"/>
    </xf>
    <xf numFmtId="0" fontId="3" fillId="0" borderId="2" xfId="0" applyNumberFormat="1" applyFont="1" applyBorder="1" applyAlignment="1">
      <alignment vertical="center" wrapText="1"/>
    </xf>
    <xf numFmtId="0" fontId="3" fillId="0" borderId="2" xfId="0" applyNumberFormat="1" applyFont="1" applyBorder="1" applyAlignment="1">
      <alignment horizontal="center" vertical="center"/>
    </xf>
    <xf numFmtId="0" fontId="1" fillId="0" borderId="2" xfId="0" applyNumberFormat="1" applyFont="1" applyBorder="1" applyAlignment="1">
      <alignment vertical="center" wrapText="1"/>
    </xf>
    <xf numFmtId="0" fontId="3" fillId="0" borderId="0" xfId="0" applyNumberFormat="1" applyFont="1" applyAlignment="1">
      <alignment wrapText="1"/>
    </xf>
    <xf numFmtId="4" fontId="1" fillId="11" borderId="2" xfId="0" applyNumberFormat="1" applyFont="1" applyFill="1" applyBorder="1" applyAlignment="1" applyProtection="1">
      <alignment horizontal="right" vertical="center"/>
      <protection locked="0"/>
    </xf>
    <xf numFmtId="0" fontId="3" fillId="0" borderId="0" xfId="0" applyNumberFormat="1" applyFont="1" applyAlignment="1">
      <alignment vertical="center"/>
    </xf>
    <xf numFmtId="0" fontId="1" fillId="0" borderId="0" xfId="0" applyNumberFormat="1" applyFont="1" applyAlignment="1">
      <alignment vertical="center"/>
    </xf>
    <xf numFmtId="0" fontId="3" fillId="0" borderId="0" xfId="0" applyNumberFormat="1" applyFont="1" applyAlignment="1">
      <alignment vertical="center" wrapText="1"/>
    </xf>
    <xf numFmtId="49" fontId="1" fillId="13" borderId="2" xfId="0" applyNumberFormat="1" applyFont="1" applyFill="1" applyBorder="1" applyAlignment="1">
      <alignment horizontal="center" vertical="center" wrapText="1"/>
    </xf>
    <xf numFmtId="0" fontId="5" fillId="0" borderId="0" xfId="0" applyNumberFormat="1" applyFont="1" applyAlignment="1"/>
    <xf numFmtId="0" fontId="1" fillId="0" borderId="0" xfId="0" applyNumberFormat="1" applyFont="1" applyAlignment="1">
      <alignment vertical="center" wrapText="1"/>
    </xf>
    <xf numFmtId="4" fontId="1" fillId="0" borderId="0" xfId="0" applyNumberFormat="1" applyFont="1" applyAlignment="1">
      <alignment horizontal="center" vertical="center"/>
    </xf>
    <xf numFmtId="0" fontId="3" fillId="0" borderId="0" xfId="0" applyNumberFormat="1" applyFont="1" applyAlignment="1"/>
    <xf numFmtId="0" fontId="3" fillId="0" borderId="0" xfId="0" applyNumberFormat="1" applyFont="1" applyAlignment="1">
      <alignment horizontal="center"/>
    </xf>
    <xf numFmtId="168" fontId="13" fillId="0" borderId="0" xfId="0" applyNumberFormat="1" applyFont="1" applyAlignment="1">
      <alignment horizontal="left" vertical="center" wrapText="1"/>
    </xf>
    <xf numFmtId="0" fontId="9" fillId="0" borderId="0" xfId="0" applyNumberFormat="1" applyFont="1" applyAlignment="1"/>
    <xf numFmtId="0" fontId="11" fillId="0" borderId="0" xfId="0" applyNumberFormat="1" applyFont="1" applyAlignment="1"/>
    <xf numFmtId="0" fontId="11" fillId="0" borderId="0" xfId="0" applyNumberFormat="1" applyFont="1" applyAlignment="1">
      <alignment horizontal="left"/>
    </xf>
    <xf numFmtId="0" fontId="9" fillId="0" borderId="0" xfId="0" applyNumberFormat="1" applyFont="1" applyAlignment="1">
      <alignment horizontal="left"/>
    </xf>
    <xf numFmtId="0" fontId="14" fillId="0" borderId="0" xfId="0" applyNumberFormat="1" applyFont="1" applyAlignment="1">
      <alignment horizontal="left" vertical="top" wrapText="1"/>
    </xf>
    <xf numFmtId="0" fontId="15" fillId="0" borderId="0" xfId="0" applyNumberFormat="1" applyFont="1" applyAlignment="1">
      <alignment horizontal="center" vertical="center"/>
    </xf>
    <xf numFmtId="0" fontId="15" fillId="0" borderId="0" xfId="0" applyNumberFormat="1" applyFont="1" applyAlignment="1">
      <alignment vertical="center" wrapText="1"/>
    </xf>
    <xf numFmtId="0" fontId="15" fillId="0" borderId="0" xfId="0" applyNumberFormat="1" applyFont="1" applyAlignment="1">
      <alignment vertical="center"/>
    </xf>
    <xf numFmtId="49" fontId="16" fillId="0" borderId="0" xfId="0" applyNumberFormat="1" applyFont="1" applyAlignment="1">
      <alignment horizontal="left" vertical="center" wrapText="1" indent="4"/>
    </xf>
    <xf numFmtId="0" fontId="15" fillId="0" borderId="0" xfId="0" applyNumberFormat="1" applyFont="1" applyAlignment="1">
      <alignment horizontal="center" vertical="center" wrapText="1"/>
    </xf>
    <xf numFmtId="0" fontId="16" fillId="0" borderId="0" xfId="0" applyNumberFormat="1" applyFont="1" applyAlignment="1">
      <alignment horizontal="center" vertical="center" wrapText="1"/>
    </xf>
    <xf numFmtId="0" fontId="16" fillId="0" borderId="0" xfId="0" applyNumberFormat="1" applyFont="1" applyAlignment="1">
      <alignment vertical="center" wrapText="1"/>
    </xf>
    <xf numFmtId="0" fontId="16" fillId="0" borderId="0" xfId="0" applyNumberFormat="1" applyFont="1" applyAlignment="1">
      <alignment vertical="center"/>
    </xf>
    <xf numFmtId="49" fontId="9" fillId="0" borderId="0" xfId="0" applyNumberFormat="1" applyFont="1" applyAlignment="1">
      <alignment vertical="center" wrapText="1"/>
    </xf>
    <xf numFmtId="49" fontId="9" fillId="0" borderId="0" xfId="0" applyNumberFormat="1" applyFont="1" applyAlignment="1">
      <alignment vertical="center"/>
    </xf>
    <xf numFmtId="49" fontId="17" fillId="14" borderId="0" xfId="0" applyNumberFormat="1" applyFont="1" applyFill="1" applyAlignment="1">
      <alignment horizontal="center" vertical="center"/>
    </xf>
    <xf numFmtId="0" fontId="15" fillId="0" borderId="0" xfId="0" applyNumberFormat="1" applyFont="1" applyAlignment="1"/>
    <xf numFmtId="0" fontId="9" fillId="15" borderId="0" xfId="0" applyNumberFormat="1" applyFont="1" applyFill="1" applyAlignment="1">
      <alignment horizontal="right" vertical="center"/>
    </xf>
    <xf numFmtId="0" fontId="9" fillId="15" borderId="0" xfId="0" applyNumberFormat="1" applyFont="1" applyFill="1" applyAlignment="1">
      <alignment horizontal="center" vertical="center"/>
    </xf>
    <xf numFmtId="0" fontId="15" fillId="15" borderId="0" xfId="0" applyNumberFormat="1" applyFont="1" applyFill="1" applyAlignment="1">
      <alignment horizontal="right" vertical="center"/>
    </xf>
    <xf numFmtId="49" fontId="9" fillId="15" borderId="0" xfId="0" applyNumberFormat="1" applyFont="1" applyFill="1" applyAlignment="1">
      <alignment vertical="center" wrapText="1"/>
    </xf>
    <xf numFmtId="49" fontId="15" fillId="0" borderId="0" xfId="0" applyNumberFormat="1" applyFont="1" applyAlignment="1">
      <alignment vertical="center" wrapText="1"/>
    </xf>
    <xf numFmtId="49" fontId="18" fillId="0" borderId="0" xfId="0" applyNumberFormat="1" applyFont="1" applyAlignment="1">
      <alignment vertical="center"/>
    </xf>
    <xf numFmtId="49" fontId="18" fillId="15" borderId="0" xfId="0" applyNumberFormat="1" applyFont="1" applyFill="1" applyAlignment="1">
      <alignment vertical="center" wrapText="1"/>
    </xf>
    <xf numFmtId="49" fontId="18" fillId="0" borderId="0" xfId="0" applyNumberFormat="1" applyFont="1" applyAlignment="1">
      <alignment vertical="center" wrapText="1"/>
    </xf>
    <xf numFmtId="49" fontId="9" fillId="0" borderId="0" xfId="0" applyNumberFormat="1" applyFont="1" applyAlignment="1">
      <alignment horizontal="center" vertical="center"/>
    </xf>
    <xf numFmtId="49" fontId="9" fillId="16" borderId="0" xfId="0" applyNumberFormat="1" applyFont="1" applyFill="1" applyAlignment="1">
      <alignment vertical="center"/>
    </xf>
    <xf numFmtId="49" fontId="9" fillId="0" borderId="0" xfId="0" applyNumberFormat="1" applyFont="1">
      <alignment vertical="top"/>
    </xf>
    <xf numFmtId="0" fontId="19" fillId="0" borderId="0" xfId="0" applyNumberFormat="1" applyFont="1" applyAlignment="1">
      <alignment vertical="center"/>
    </xf>
    <xf numFmtId="0" fontId="9" fillId="15" borderId="0" xfId="0" applyNumberFormat="1" applyFont="1" applyFill="1" applyAlignment="1">
      <alignment horizontal="left" vertical="center"/>
    </xf>
    <xf numFmtId="49" fontId="20" fillId="14" borderId="0" xfId="0" applyNumberFormat="1" applyFont="1" applyFill="1" applyAlignment="1">
      <alignment horizontal="center" vertical="center"/>
    </xf>
    <xf numFmtId="49" fontId="21" fillId="17" borderId="17" xfId="0" applyNumberFormat="1" applyFont="1" applyFill="1" applyBorder="1" applyAlignment="1">
      <alignment horizontal="left" vertical="center" wrapText="1"/>
    </xf>
    <xf numFmtId="49" fontId="22" fillId="18" borderId="23" xfId="0" applyNumberFormat="1" applyFont="1" applyFill="1" applyBorder="1" applyAlignment="1">
      <alignment horizontal="left" vertical="center" wrapText="1" indent="1"/>
    </xf>
    <xf numFmtId="49" fontId="22" fillId="18" borderId="24" xfId="0" applyNumberFormat="1" applyFont="1" applyFill="1" applyBorder="1" applyAlignment="1">
      <alignment horizontal="left" vertical="center" wrapText="1" indent="1"/>
    </xf>
    <xf numFmtId="49" fontId="22" fillId="18" borderId="25" xfId="0" applyNumberFormat="1" applyFont="1" applyFill="1" applyBorder="1" applyAlignment="1">
      <alignment horizontal="left" vertical="center" wrapText="1" indent="1"/>
    </xf>
    <xf numFmtId="49" fontId="22" fillId="18" borderId="24" xfId="0" applyNumberFormat="1" applyFont="1" applyFill="1" applyBorder="1" applyAlignment="1">
      <alignment vertical="center" wrapText="1"/>
    </xf>
    <xf numFmtId="49" fontId="1" fillId="19" borderId="16" xfId="0" applyNumberFormat="1" applyFont="1" applyFill="1" applyBorder="1" applyAlignment="1">
      <alignment horizontal="left" vertical="center" wrapText="1" indent="1"/>
    </xf>
    <xf numFmtId="0" fontId="21" fillId="17" borderId="17" xfId="0" applyNumberFormat="1" applyFont="1" applyFill="1" applyBorder="1" applyAlignment="1">
      <alignment horizontal="left" vertical="center"/>
    </xf>
    <xf numFmtId="0" fontId="15" fillId="0" borderId="1" xfId="0" applyNumberFormat="1" applyFont="1" applyBorder="1" applyAlignment="1">
      <alignment horizontal="center" vertical="center" wrapText="1"/>
    </xf>
    <xf numFmtId="0" fontId="1" fillId="15" borderId="0" xfId="0" applyNumberFormat="1" applyFont="1" applyFill="1" applyAlignment="1">
      <alignment horizontal="left" vertical="center"/>
    </xf>
    <xf numFmtId="0" fontId="21" fillId="17" borderId="26" xfId="0" applyNumberFormat="1" applyFont="1" applyFill="1" applyBorder="1" applyAlignment="1">
      <alignment horizontal="left" vertical="center"/>
    </xf>
    <xf numFmtId="0" fontId="1" fillId="12" borderId="1" xfId="0" applyNumberFormat="1" applyFont="1" applyFill="1" applyBorder="1" applyAlignment="1">
      <alignment horizontal="center" vertical="center" wrapText="1"/>
    </xf>
    <xf numFmtId="49" fontId="22" fillId="18" borderId="27" xfId="0" applyNumberFormat="1" applyFont="1" applyFill="1" applyBorder="1" applyAlignment="1">
      <alignment horizontal="left" vertical="center" wrapText="1" indent="1"/>
    </xf>
    <xf numFmtId="4" fontId="1" fillId="19" borderId="2" xfId="0" applyNumberFormat="1" applyFont="1" applyFill="1" applyBorder="1" applyAlignment="1">
      <alignment horizontal="right" vertical="center"/>
    </xf>
    <xf numFmtId="0" fontId="23" fillId="0" borderId="18" xfId="0" applyNumberFormat="1" applyFont="1" applyBorder="1" applyAlignment="1">
      <alignment vertical="center"/>
    </xf>
    <xf numFmtId="0" fontId="23" fillId="0" borderId="18" xfId="0" applyNumberFormat="1" applyFont="1" applyBorder="1" applyAlignment="1"/>
    <xf numFmtId="0" fontId="6" fillId="0" borderId="18" xfId="0" applyNumberFormat="1" applyFont="1" applyBorder="1" applyAlignment="1">
      <alignment vertical="center" wrapText="1"/>
    </xf>
    <xf numFmtId="49" fontId="6" fillId="0" borderId="28" xfId="0" applyNumberFormat="1" applyFont="1" applyBorder="1" applyAlignment="1">
      <alignment horizontal="left" vertical="center" wrapText="1" indent="4"/>
    </xf>
    <xf numFmtId="49" fontId="6" fillId="0" borderId="0" xfId="0" applyNumberFormat="1" applyFont="1" applyAlignment="1">
      <alignment horizontal="left" vertical="center" wrapText="1" indent="4"/>
    </xf>
    <xf numFmtId="49" fontId="6" fillId="0" borderId="18" xfId="0" applyNumberFormat="1" applyFont="1" applyBorder="1" applyAlignment="1">
      <alignment vertical="center" wrapText="1"/>
    </xf>
    <xf numFmtId="0" fontId="1" fillId="0" borderId="2" xfId="0" applyNumberFormat="1" applyFont="1" applyBorder="1" applyAlignment="1">
      <alignment horizontal="left" vertical="center" wrapText="1" indent="1"/>
    </xf>
    <xf numFmtId="0" fontId="2" fillId="0" borderId="18" xfId="0" applyNumberFormat="1" applyFont="1" applyBorder="1" applyAlignment="1"/>
    <xf numFmtId="49" fontId="6" fillId="0" borderId="18" xfId="0" applyNumberFormat="1" applyFont="1" applyBorder="1" applyAlignment="1">
      <alignment horizontal="center" vertical="center" wrapText="1"/>
    </xf>
    <xf numFmtId="49" fontId="21" fillId="17" borderId="7" xfId="0" applyNumberFormat="1" applyFont="1" applyFill="1" applyBorder="1" applyAlignment="1">
      <alignment horizontal="left" vertical="center" wrapText="1"/>
    </xf>
    <xf numFmtId="0" fontId="5" fillId="0" borderId="1" xfId="0" applyNumberFormat="1" applyFont="1" applyBorder="1" applyAlignment="1">
      <alignment horizontal="center" vertical="center"/>
    </xf>
    <xf numFmtId="0" fontId="5" fillId="0" borderId="1" xfId="0" applyNumberFormat="1" applyFont="1" applyBorder="1" applyAlignment="1">
      <alignment vertical="center" wrapText="1"/>
    </xf>
    <xf numFmtId="4" fontId="5" fillId="19" borderId="1" xfId="0" applyNumberFormat="1" applyFont="1" applyFill="1" applyBorder="1" applyAlignment="1">
      <alignment horizontal="right" vertical="center"/>
    </xf>
    <xf numFmtId="4" fontId="1" fillId="11" borderId="1" xfId="0" applyNumberFormat="1" applyFont="1" applyFill="1" applyBorder="1" applyAlignment="1" applyProtection="1">
      <alignment horizontal="right" vertical="center"/>
      <protection locked="0"/>
    </xf>
    <xf numFmtId="4" fontId="5" fillId="0" borderId="1" xfId="0" applyNumberFormat="1" applyFont="1" applyBorder="1" applyAlignment="1">
      <alignment horizontal="right" vertical="center"/>
    </xf>
    <xf numFmtId="0" fontId="2" fillId="0" borderId="18" xfId="0" applyNumberFormat="1" applyFont="1" applyBorder="1" applyAlignment="1">
      <alignment vertical="center" wrapText="1"/>
    </xf>
    <xf numFmtId="49" fontId="5" fillId="0" borderId="1" xfId="0" applyNumberFormat="1" applyFont="1" applyBorder="1" applyAlignment="1">
      <alignment horizontal="center" vertical="center"/>
    </xf>
    <xf numFmtId="0" fontId="5"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xf>
    <xf numFmtId="0" fontId="1" fillId="0" borderId="1" xfId="0" applyNumberFormat="1" applyFont="1" applyBorder="1" applyAlignment="1">
      <alignment horizontal="left" vertical="center" wrapText="1" indent="1"/>
    </xf>
    <xf numFmtId="0" fontId="21" fillId="17" borderId="13" xfId="0" applyNumberFormat="1" applyFont="1" applyFill="1" applyBorder="1" applyAlignment="1">
      <alignment horizontal="left" vertical="center"/>
    </xf>
    <xf numFmtId="0" fontId="2" fillId="0" borderId="18" xfId="0" applyNumberFormat="1" applyFont="1" applyBorder="1" applyAlignment="1">
      <alignment vertical="center"/>
    </xf>
    <xf numFmtId="0" fontId="21" fillId="17" borderId="7" xfId="0" applyNumberFormat="1" applyFont="1" applyFill="1" applyBorder="1" applyAlignment="1">
      <alignment horizontal="left" vertical="center"/>
    </xf>
    <xf numFmtId="0" fontId="1" fillId="0" borderId="1" xfId="0" applyNumberFormat="1" applyFont="1" applyBorder="1" applyAlignment="1"/>
    <xf numFmtId="0" fontId="1" fillId="0" borderId="1" xfId="0" applyNumberFormat="1" applyFont="1" applyBorder="1" applyAlignment="1">
      <alignment horizontal="left" vertical="center" wrapText="1" indent="2"/>
    </xf>
    <xf numFmtId="4" fontId="5" fillId="11" borderId="1" xfId="0" applyNumberFormat="1" applyFont="1" applyFill="1" applyBorder="1" applyAlignment="1" applyProtection="1">
      <alignment horizontal="right" vertical="center"/>
      <protection locked="0"/>
    </xf>
    <xf numFmtId="0" fontId="3" fillId="0" borderId="18" xfId="0" applyNumberFormat="1" applyFont="1" applyBorder="1" applyAlignment="1">
      <alignment vertical="center"/>
    </xf>
    <xf numFmtId="0" fontId="3" fillId="0" borderId="1" xfId="0" applyNumberFormat="1" applyFont="1" applyBorder="1" applyAlignment="1"/>
    <xf numFmtId="4" fontId="6" fillId="19" borderId="1" xfId="0" applyNumberFormat="1" applyFont="1" applyFill="1" applyBorder="1" applyAlignment="1">
      <alignment horizontal="right" vertical="center" wrapText="1"/>
    </xf>
    <xf numFmtId="4" fontId="1" fillId="11" borderId="1" xfId="0" applyNumberFormat="1" applyFont="1" applyFill="1" applyBorder="1" applyAlignment="1" applyProtection="1">
      <alignment horizontal="right" vertical="center" wrapText="1"/>
      <protection locked="0"/>
    </xf>
    <xf numFmtId="4" fontId="3" fillId="11" borderId="1" xfId="0" applyNumberFormat="1" applyFont="1" applyFill="1" applyBorder="1" applyAlignment="1" applyProtection="1">
      <alignment horizontal="right" vertical="center" wrapText="1"/>
      <protection locked="0"/>
    </xf>
    <xf numFmtId="4" fontId="3" fillId="11" borderId="1" xfId="0" applyNumberFormat="1" applyFont="1" applyFill="1" applyBorder="1" applyAlignment="1" applyProtection="1">
      <alignment horizontal="right"/>
      <protection locked="0"/>
    </xf>
    <xf numFmtId="49" fontId="22" fillId="18" borderId="13" xfId="0" applyNumberFormat="1" applyFont="1" applyFill="1" applyBorder="1" applyAlignment="1">
      <alignment horizontal="left" vertical="center" wrapText="1" indent="1"/>
    </xf>
    <xf numFmtId="49" fontId="22" fillId="18" borderId="17" xfId="0" applyNumberFormat="1" applyFont="1" applyFill="1" applyBorder="1" applyAlignment="1">
      <alignment horizontal="left" vertical="center" wrapText="1" indent="1"/>
    </xf>
    <xf numFmtId="49" fontId="22" fillId="18" borderId="7" xfId="0" applyNumberFormat="1" applyFont="1" applyFill="1" applyBorder="1" applyAlignment="1">
      <alignment horizontal="left" vertical="center" wrapText="1" indent="1"/>
    </xf>
    <xf numFmtId="0" fontId="5" fillId="0" borderId="1" xfId="0" applyNumberFormat="1" applyFont="1" applyBorder="1" applyAlignment="1">
      <alignment horizontal="center" vertical="center" wrapText="1"/>
    </xf>
    <xf numFmtId="0" fontId="3" fillId="0" borderId="18" xfId="0" applyNumberFormat="1" applyFont="1" applyBorder="1" applyAlignment="1">
      <alignment vertical="center" wrapText="1"/>
    </xf>
    <xf numFmtId="4" fontId="3" fillId="11" borderId="1" xfId="0" applyNumberFormat="1" applyFont="1" applyFill="1" applyBorder="1" applyAlignment="1" applyProtection="1">
      <alignment horizontal="right" vertical="center"/>
      <protection locked="0"/>
    </xf>
    <xf numFmtId="0" fontId="3" fillId="0" borderId="1" xfId="0" applyNumberFormat="1" applyFont="1" applyBorder="1" applyAlignment="1">
      <alignment horizontal="center" vertical="center"/>
    </xf>
    <xf numFmtId="0" fontId="6" fillId="0" borderId="1" xfId="0" applyNumberFormat="1" applyFont="1" applyBorder="1" applyAlignment="1">
      <alignment vertical="center" wrapText="1"/>
    </xf>
    <xf numFmtId="49"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wrapText="1" indent="1"/>
    </xf>
    <xf numFmtId="49" fontId="6" fillId="0" borderId="1" xfId="0" applyNumberFormat="1" applyFont="1" applyBorder="1" applyAlignment="1">
      <alignment horizontal="center" vertical="center"/>
    </xf>
    <xf numFmtId="0" fontId="21" fillId="17" borderId="29" xfId="0" applyNumberFormat="1" applyFont="1" applyFill="1" applyBorder="1" applyAlignment="1">
      <alignment horizontal="left" vertical="center"/>
    </xf>
    <xf numFmtId="0" fontId="21" fillId="17" borderId="30" xfId="0" applyNumberFormat="1" applyFont="1" applyFill="1" applyBorder="1" applyAlignment="1">
      <alignment horizontal="left" vertical="center"/>
    </xf>
    <xf numFmtId="49" fontId="1"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49" fontId="16" fillId="0" borderId="18" xfId="0" applyNumberFormat="1" applyFont="1" applyBorder="1" applyAlignment="1">
      <alignment vertical="center"/>
    </xf>
    <xf numFmtId="0" fontId="21" fillId="17" borderId="31" xfId="0" applyNumberFormat="1" applyFont="1" applyFill="1" applyBorder="1" applyAlignment="1">
      <alignment horizontal="left" vertical="center"/>
    </xf>
    <xf numFmtId="0" fontId="21" fillId="17" borderId="0" xfId="0" applyNumberFormat="1" applyFont="1" applyFill="1" applyAlignment="1">
      <alignment horizontal="left" vertical="center"/>
    </xf>
    <xf numFmtId="0" fontId="3" fillId="0" borderId="0" xfId="0" applyNumberFormat="1" applyFont="1" applyAlignment="1">
      <alignment horizontal="left" vertical="center" wrapText="1"/>
    </xf>
    <xf numFmtId="0" fontId="3" fillId="0" borderId="32" xfId="0" applyNumberFormat="1" applyFont="1" applyBorder="1" applyAlignment="1">
      <alignment horizontal="center" vertical="center" wrapText="1"/>
    </xf>
    <xf numFmtId="4" fontId="1" fillId="19" borderId="1" xfId="0" applyNumberFormat="1" applyFont="1" applyFill="1" applyBorder="1" applyAlignment="1">
      <alignment horizontal="right" vertical="center"/>
    </xf>
    <xf numFmtId="49" fontId="9" fillId="20" borderId="0" xfId="0" applyNumberFormat="1" applyFont="1" applyFill="1" applyAlignment="1" applyProtection="1">
      <alignment vertical="center" wrapText="1"/>
      <protection locked="0"/>
    </xf>
    <xf numFmtId="49" fontId="22" fillId="18" borderId="24" xfId="0" applyNumberFormat="1" applyFont="1" applyFill="1" applyBorder="1" applyAlignment="1">
      <alignment horizontal="left" vertical="center" indent="1"/>
    </xf>
    <xf numFmtId="0" fontId="1" fillId="15" borderId="0" xfId="0" applyNumberFormat="1" applyFont="1" applyFill="1" applyAlignment="1">
      <alignment horizontal="left" vertical="center" wrapText="1"/>
    </xf>
    <xf numFmtId="49" fontId="22" fillId="18" borderId="33" xfId="0" applyNumberFormat="1" applyFont="1" applyFill="1" applyBorder="1" applyAlignment="1">
      <alignment horizontal="left" vertical="center" wrapText="1" indent="1"/>
    </xf>
    <xf numFmtId="49" fontId="22" fillId="18" borderId="34" xfId="0" applyNumberFormat="1" applyFont="1" applyFill="1" applyBorder="1" applyAlignment="1">
      <alignment horizontal="left" vertical="center" wrapText="1" indent="1"/>
    </xf>
    <xf numFmtId="49" fontId="22" fillId="18" borderId="33" xfId="0" applyNumberFormat="1" applyFont="1" applyFill="1" applyBorder="1" applyAlignment="1">
      <alignment horizontal="left" vertical="center" wrapText="1"/>
    </xf>
    <xf numFmtId="49" fontId="22" fillId="18" borderId="35" xfId="0" applyNumberFormat="1" applyFont="1" applyFill="1" applyBorder="1" applyAlignment="1">
      <alignment horizontal="left" vertical="center" wrapText="1"/>
    </xf>
    <xf numFmtId="0" fontId="1" fillId="21" borderId="0" xfId="0" applyNumberFormat="1" applyFont="1" applyFill="1" applyAlignment="1">
      <alignment horizontal="left" vertical="center" wrapText="1"/>
    </xf>
    <xf numFmtId="0" fontId="3" fillId="21" borderId="0" xfId="0" applyNumberFormat="1" applyFont="1" applyFill="1" applyAlignment="1">
      <alignment horizontal="center" vertical="center" wrapText="1"/>
    </xf>
    <xf numFmtId="4" fontId="1" fillId="21" borderId="0" xfId="0" applyNumberFormat="1" applyFont="1" applyFill="1" applyAlignment="1">
      <alignment horizontal="right" vertical="center"/>
    </xf>
    <xf numFmtId="49" fontId="24" fillId="21" borderId="13" xfId="0" applyNumberFormat="1" applyFont="1" applyFill="1" applyBorder="1" applyAlignment="1">
      <alignment horizontal="center" vertical="center" wrapText="1"/>
    </xf>
    <xf numFmtId="49" fontId="25" fillId="21" borderId="36" xfId="0" applyNumberFormat="1" applyFont="1" applyFill="1" applyBorder="1" applyAlignment="1">
      <alignment horizontal="left" vertical="center" indent="1"/>
    </xf>
    <xf numFmtId="49" fontId="1" fillId="21" borderId="37" xfId="0" applyNumberFormat="1" applyFont="1" applyFill="1" applyBorder="1" applyAlignment="1">
      <alignment horizontal="left" vertical="center" indent="1"/>
    </xf>
    <xf numFmtId="49" fontId="25" fillId="21" borderId="37" xfId="0" applyNumberFormat="1" applyFont="1" applyFill="1" applyBorder="1" applyAlignment="1">
      <alignment horizontal="left" vertical="center" indent="1"/>
    </xf>
    <xf numFmtId="0" fontId="3" fillId="18" borderId="7" xfId="0" applyNumberFormat="1" applyFont="1" applyFill="1" applyBorder="1" applyAlignment="1">
      <alignment vertical="center" wrapText="1"/>
    </xf>
    <xf numFmtId="169" fontId="25" fillId="21" borderId="37" xfId="0" applyNumberFormat="1" applyFont="1" applyFill="1" applyBorder="1" applyAlignment="1">
      <alignment horizontal="left" vertical="center" indent="1"/>
    </xf>
    <xf numFmtId="49" fontId="6" fillId="0" borderId="18" xfId="0" applyNumberFormat="1" applyFont="1" applyBorder="1" applyAlignment="1">
      <alignment horizontal="left" vertical="center" wrapText="1" indent="1"/>
    </xf>
    <xf numFmtId="0" fontId="5" fillId="19" borderId="36" xfId="0" applyNumberFormat="1" applyFont="1" applyFill="1" applyBorder="1" applyAlignment="1">
      <alignment horizontal="left" vertical="center" indent="1"/>
    </xf>
    <xf numFmtId="0" fontId="5" fillId="19" borderId="37" xfId="0" applyNumberFormat="1" applyFont="1" applyFill="1" applyBorder="1" applyAlignment="1">
      <alignment vertical="center" wrapText="1"/>
    </xf>
    <xf numFmtId="0" fontId="5" fillId="19" borderId="12" xfId="0" applyNumberFormat="1" applyFont="1" applyFill="1" applyBorder="1" applyAlignment="1">
      <alignment vertical="center" wrapText="1"/>
    </xf>
    <xf numFmtId="49" fontId="5" fillId="19" borderId="37" xfId="0" applyNumberFormat="1" applyFont="1" applyFill="1" applyBorder="1" applyAlignment="1">
      <alignment vertical="center" wrapText="1"/>
    </xf>
    <xf numFmtId="49" fontId="5" fillId="19" borderId="12" xfId="0" applyNumberFormat="1" applyFont="1" applyFill="1" applyBorder="1" applyAlignment="1">
      <alignment vertical="center" wrapText="1"/>
    </xf>
    <xf numFmtId="0" fontId="1" fillId="21" borderId="36" xfId="0" applyNumberFormat="1" applyFont="1" applyFill="1" applyBorder="1" applyAlignment="1">
      <alignment horizontal="left" vertical="center" wrapText="1"/>
    </xf>
    <xf numFmtId="0" fontId="1" fillId="21" borderId="37" xfId="0" applyNumberFormat="1" applyFont="1" applyFill="1" applyBorder="1" applyAlignment="1">
      <alignment horizontal="center" vertical="center"/>
    </xf>
    <xf numFmtId="0" fontId="1" fillId="21" borderId="37" xfId="0" applyNumberFormat="1" applyFont="1" applyFill="1" applyBorder="1" applyAlignment="1">
      <alignment horizontal="left" vertical="center" indent="1"/>
    </xf>
    <xf numFmtId="0" fontId="1" fillId="21" borderId="12" xfId="0" applyNumberFormat="1" applyFont="1" applyFill="1" applyBorder="1" applyAlignment="1">
      <alignment horizontal="left" vertical="center" indent="1"/>
    </xf>
    <xf numFmtId="0" fontId="6" fillId="0" borderId="0" xfId="0" applyNumberFormat="1" applyFont="1" applyAlignment="1">
      <alignment vertical="center"/>
    </xf>
    <xf numFmtId="0" fontId="5" fillId="0" borderId="2" xfId="0" applyNumberFormat="1" applyFont="1" applyBorder="1" applyAlignment="1">
      <alignment horizontal="left" vertical="center" wrapText="1"/>
    </xf>
    <xf numFmtId="0" fontId="5" fillId="0" borderId="2" xfId="0" applyNumberFormat="1" applyFont="1" applyBorder="1" applyAlignment="1">
      <alignment horizontal="center" vertical="center" wrapText="1"/>
    </xf>
    <xf numFmtId="4" fontId="5" fillId="19" borderId="2" xfId="0" applyNumberFormat="1" applyFont="1" applyFill="1" applyBorder="1" applyAlignment="1">
      <alignment vertical="center"/>
    </xf>
    <xf numFmtId="0" fontId="1" fillId="0" borderId="2" xfId="0" applyNumberFormat="1" applyFont="1" applyBorder="1" applyAlignment="1">
      <alignment horizontal="left" vertical="center" wrapText="1"/>
    </xf>
    <xf numFmtId="4" fontId="1" fillId="19" borderId="1" xfId="0" applyNumberFormat="1" applyFont="1" applyFill="1" applyBorder="1" applyAlignment="1">
      <alignment horizontal="right" vertical="center" wrapText="1"/>
    </xf>
    <xf numFmtId="0" fontId="1" fillId="0" borderId="37" xfId="0" applyNumberFormat="1" applyFont="1" applyBorder="1" applyAlignment="1">
      <alignment horizontal="center" vertical="center"/>
    </xf>
    <xf numFmtId="0" fontId="1" fillId="0" borderId="0" xfId="0" applyNumberFormat="1" applyFont="1" applyAlignment="1">
      <alignment horizontal="left" vertical="center" wrapText="1"/>
    </xf>
    <xf numFmtId="0" fontId="1" fillId="0" borderId="0" xfId="0" applyNumberFormat="1" applyFont="1" applyAlignment="1">
      <alignment horizontal="center" vertical="center" wrapText="1"/>
    </xf>
    <xf numFmtId="4" fontId="6" fillId="19" borderId="1" xfId="0" applyNumberFormat="1" applyFont="1" applyFill="1" applyBorder="1" applyAlignment="1">
      <alignment horizontal="right" vertical="center"/>
    </xf>
    <xf numFmtId="4" fontId="3" fillId="19" borderId="1" xfId="0" applyNumberFormat="1" applyFont="1" applyFill="1" applyBorder="1" applyAlignment="1">
      <alignment horizontal="right" vertical="center"/>
    </xf>
    <xf numFmtId="4" fontId="3"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24" fillId="21" borderId="37" xfId="0" applyNumberFormat="1" applyFont="1" applyFill="1" applyBorder="1" applyAlignment="1">
      <alignment horizontal="left" vertical="center" indent="1"/>
    </xf>
    <xf numFmtId="4" fontId="26" fillId="17" borderId="17" xfId="0" applyNumberFormat="1" applyFont="1" applyFill="1" applyBorder="1" applyAlignment="1">
      <alignment horizontal="right" vertical="center"/>
    </xf>
    <xf numFmtId="169" fontId="3" fillId="19" borderId="1" xfId="0" applyNumberFormat="1" applyFont="1" applyFill="1" applyBorder="1" applyAlignment="1">
      <alignment horizontal="right" vertical="center"/>
    </xf>
    <xf numFmtId="0" fontId="3" fillId="18" borderId="17" xfId="0" applyNumberFormat="1" applyFont="1" applyFill="1" applyBorder="1" applyAlignment="1">
      <alignment vertical="center" wrapText="1"/>
    </xf>
    <xf numFmtId="0" fontId="3" fillId="18" borderId="17" xfId="0" applyNumberFormat="1" applyFont="1" applyFill="1" applyBorder="1" applyAlignment="1">
      <alignment vertical="center"/>
    </xf>
    <xf numFmtId="0" fontId="3" fillId="18" borderId="7" xfId="0" applyNumberFormat="1" applyFont="1" applyFill="1" applyBorder="1" applyAlignment="1">
      <alignment vertical="center"/>
    </xf>
    <xf numFmtId="0" fontId="3" fillId="18" borderId="24" xfId="0" applyNumberFormat="1" applyFont="1" applyFill="1" applyBorder="1" applyAlignment="1">
      <alignment vertical="center" wrapText="1"/>
    </xf>
    <xf numFmtId="169" fontId="1" fillId="19" borderId="2" xfId="0" applyNumberFormat="1" applyFont="1" applyFill="1" applyBorder="1" applyAlignment="1">
      <alignment horizontal="right" vertical="center"/>
    </xf>
    <xf numFmtId="0" fontId="5" fillId="0" borderId="18" xfId="0" quotePrefix="1" applyNumberFormat="1" applyFont="1" applyBorder="1" applyAlignment="1">
      <alignment horizontal="left" vertical="center" indent="1"/>
    </xf>
    <xf numFmtId="0" fontId="6" fillId="0" borderId="18" xfId="0" quotePrefix="1" applyNumberFormat="1" applyFont="1" applyBorder="1" applyAlignment="1">
      <alignment horizontal="left" vertical="center" indent="1"/>
    </xf>
    <xf numFmtId="49" fontId="6" fillId="0" borderId="18" xfId="0" quotePrefix="1" applyNumberFormat="1" applyFont="1" applyBorder="1" applyAlignment="1">
      <alignment horizontal="left" vertical="center" indent="1"/>
    </xf>
    <xf numFmtId="0" fontId="27" fillId="0" borderId="0" xfId="0" applyNumberFormat="1" applyFont="1" applyAlignment="1"/>
    <xf numFmtId="0" fontId="10" fillId="0" borderId="18" xfId="0" applyNumberFormat="1" applyFont="1" applyBorder="1" applyAlignment="1">
      <alignment horizontal="left" vertical="center" indent="1"/>
    </xf>
    <xf numFmtId="0" fontId="27" fillId="0" borderId="18" xfId="0" applyNumberFormat="1" applyFont="1" applyBorder="1" applyAlignment="1"/>
    <xf numFmtId="0" fontId="28" fillId="2" borderId="1" xfId="0" applyNumberFormat="1" applyFont="1" applyFill="1" applyBorder="1" applyAlignment="1">
      <alignment horizontal="center" vertical="center"/>
    </xf>
    <xf numFmtId="0" fontId="27" fillId="2" borderId="1" xfId="0" applyNumberFormat="1" applyFont="1" applyFill="1" applyBorder="1" applyAlignment="1">
      <alignment vertical="center"/>
    </xf>
    <xf numFmtId="0" fontId="27" fillId="2" borderId="1" xfId="0" applyNumberFormat="1" applyFont="1" applyFill="1" applyBorder="1" applyAlignment="1">
      <alignment vertical="center" wrapText="1"/>
    </xf>
    <xf numFmtId="0" fontId="27" fillId="0" borderId="0" xfId="0" applyNumberFormat="1" applyFont="1" applyAlignment="1">
      <alignment horizontal="left" vertical="center" indent="1"/>
    </xf>
    <xf numFmtId="169" fontId="1" fillId="19" borderId="2" xfId="0" applyNumberFormat="1" applyFont="1" applyFill="1" applyBorder="1" applyAlignment="1">
      <alignment vertical="center"/>
    </xf>
    <xf numFmtId="0" fontId="1" fillId="0" borderId="0" xfId="0" applyNumberFormat="1" applyFont="1" applyAlignment="1">
      <alignment horizontal="left" vertical="center"/>
    </xf>
    <xf numFmtId="49" fontId="6" fillId="0" borderId="18" xfId="0" applyNumberFormat="1" applyFont="1" applyBorder="1" applyAlignment="1">
      <alignment horizontal="left" vertical="center" wrapText="1" indent="4"/>
    </xf>
    <xf numFmtId="49" fontId="6" fillId="0" borderId="0" xfId="0" quotePrefix="1" applyNumberFormat="1" applyFont="1" applyAlignment="1">
      <alignment horizontal="left" vertical="center" wrapText="1" indent="4"/>
    </xf>
    <xf numFmtId="49" fontId="1" fillId="13" borderId="1" xfId="0" applyNumberFormat="1" applyFont="1" applyFill="1" applyBorder="1" applyAlignment="1">
      <alignment horizontal="center" vertical="center" wrapText="1"/>
    </xf>
    <xf numFmtId="0" fontId="1" fillId="0" borderId="1" xfId="0" applyNumberFormat="1" applyFont="1" applyBorder="1" applyAlignment="1">
      <alignment vertical="center" wrapText="1"/>
    </xf>
    <xf numFmtId="49" fontId="3" fillId="0" borderId="1" xfId="0" applyNumberFormat="1" applyFont="1" applyBorder="1" applyAlignment="1">
      <alignment horizontal="left" vertical="center" wrapText="1"/>
    </xf>
    <xf numFmtId="0" fontId="1" fillId="10" borderId="1" xfId="0" applyNumberFormat="1" applyFont="1" applyFill="1" applyBorder="1" applyAlignment="1" applyProtection="1">
      <alignment horizontal="left" vertical="center" wrapText="1" indent="1"/>
      <protection locked="0"/>
    </xf>
    <xf numFmtId="0" fontId="27" fillId="2" borderId="1" xfId="0" quotePrefix="1" applyNumberFormat="1" applyFont="1" applyFill="1" applyBorder="1" applyAlignment="1">
      <alignment vertical="center" wrapText="1"/>
    </xf>
    <xf numFmtId="0" fontId="3" fillId="0" borderId="38" xfId="0" applyNumberFormat="1" applyFont="1" applyBorder="1" applyAlignment="1">
      <alignment horizontal="center" vertical="center" wrapText="1"/>
    </xf>
    <xf numFmtId="0" fontId="3" fillId="0" borderId="36" xfId="0" applyNumberFormat="1" applyFont="1" applyBorder="1" applyAlignment="1">
      <alignment horizontal="center" vertical="center" wrapText="1"/>
    </xf>
    <xf numFmtId="0" fontId="1" fillId="0" borderId="0" xfId="0" applyNumberFormat="1" applyFont="1" applyAlignment="1">
      <alignment horizontal="left" vertical="center"/>
    </xf>
    <xf numFmtId="49" fontId="22" fillId="18" borderId="34" xfId="0" applyNumberFormat="1" applyFont="1" applyFill="1" applyBorder="1" applyAlignment="1">
      <alignment horizontal="left" vertical="center" wrapText="1"/>
    </xf>
    <xf numFmtId="0" fontId="1" fillId="0" borderId="2" xfId="0" applyNumberFormat="1" applyFont="1" applyBorder="1" applyAlignment="1">
      <alignment horizontal="left" vertical="center" wrapText="1" indent="2"/>
    </xf>
    <xf numFmtId="49" fontId="6" fillId="22" borderId="37" xfId="0" applyNumberFormat="1" applyFont="1" applyFill="1" applyBorder="1" applyAlignment="1">
      <alignment horizontal="left" vertical="center" wrapText="1"/>
    </xf>
    <xf numFmtId="49" fontId="6" fillId="22" borderId="12" xfId="0" applyNumberFormat="1" applyFont="1" applyFill="1" applyBorder="1" applyAlignment="1">
      <alignment horizontal="left" vertical="center" wrapText="1"/>
    </xf>
    <xf numFmtId="0" fontId="1" fillId="13" borderId="39" xfId="0" applyNumberFormat="1" applyFont="1" applyFill="1" applyBorder="1" applyAlignment="1">
      <alignment horizontal="center" vertical="center" wrapText="1"/>
    </xf>
    <xf numFmtId="4" fontId="5" fillId="19" borderId="1" xfId="0" applyNumberFormat="1" applyFont="1" applyFill="1" applyBorder="1" applyAlignment="1">
      <alignment horizontal="right" vertical="center" wrapText="1"/>
    </xf>
    <xf numFmtId="0" fontId="9" fillId="23" borderId="0" xfId="0" applyNumberFormat="1" applyFont="1" applyFill="1" applyAlignment="1">
      <alignment vertical="center"/>
    </xf>
    <xf numFmtId="49" fontId="1" fillId="11" borderId="2" xfId="0" applyNumberFormat="1" applyFont="1" applyFill="1" applyBorder="1" applyAlignment="1" applyProtection="1">
      <alignment horizontal="left" vertical="center" wrapText="1" indent="1"/>
      <protection locked="0"/>
    </xf>
    <xf numFmtId="49" fontId="1" fillId="10" borderId="2" xfId="0" applyNumberFormat="1" applyFont="1" applyFill="1" applyBorder="1" applyAlignment="1" applyProtection="1">
      <alignment horizontal="left" vertical="center" wrapText="1" indent="1"/>
      <protection locked="0"/>
    </xf>
    <xf numFmtId="0" fontId="30" fillId="0" borderId="0" xfId="0" applyNumberFormat="1" applyFont="1" applyAlignment="1">
      <alignment vertical="center" wrapText="1"/>
    </xf>
    <xf numFmtId="0" fontId="31" fillId="0" borderId="0" xfId="0" applyNumberFormat="1" applyFont="1" applyAlignment="1">
      <alignment vertical="center"/>
    </xf>
    <xf numFmtId="0" fontId="32" fillId="0" borderId="0" xfId="0" applyNumberFormat="1" applyFont="1" applyAlignment="1">
      <alignment vertical="center"/>
    </xf>
    <xf numFmtId="0" fontId="32" fillId="0" borderId="0" xfId="0" applyNumberFormat="1" applyFont="1" applyAlignment="1">
      <alignment vertical="center" wrapText="1"/>
    </xf>
    <xf numFmtId="0" fontId="31" fillId="0" borderId="0" xfId="0" applyNumberFormat="1" applyFont="1" applyAlignment="1">
      <alignment vertical="center" wrapText="1"/>
    </xf>
    <xf numFmtId="0" fontId="33" fillId="0" borderId="0" xfId="0" applyNumberFormat="1" applyFont="1" applyAlignment="1">
      <alignment vertical="center"/>
    </xf>
    <xf numFmtId="0" fontId="30" fillId="0" borderId="0" xfId="0" applyNumberFormat="1" applyFont="1" applyAlignment="1">
      <alignment vertical="center"/>
    </xf>
    <xf numFmtId="0" fontId="34" fillId="0" borderId="0" xfId="0" applyNumberFormat="1" applyFont="1" applyAlignment="1">
      <alignment vertical="center"/>
    </xf>
    <xf numFmtId="0" fontId="34" fillId="0" borderId="0" xfId="0" applyNumberFormat="1" applyFont="1" applyAlignment="1">
      <alignment horizontal="center" vertical="center"/>
    </xf>
    <xf numFmtId="0" fontId="30" fillId="0" borderId="0" xfId="0" applyNumberFormat="1" applyFont="1" applyAlignment="1">
      <alignment horizontal="left" vertical="center" wrapText="1"/>
    </xf>
    <xf numFmtId="0" fontId="35" fillId="0" borderId="0" xfId="0" applyNumberFormat="1" applyFont="1" applyAlignment="1">
      <alignment vertical="center" wrapText="1"/>
    </xf>
    <xf numFmtId="0" fontId="35" fillId="0" borderId="0" xfId="0" applyNumberFormat="1" applyFont="1" applyAlignment="1">
      <alignment vertical="center"/>
    </xf>
    <xf numFmtId="0" fontId="1" fillId="19" borderId="1" xfId="0" applyNumberFormat="1" applyFont="1" applyFill="1" applyBorder="1" applyAlignment="1" applyProtection="1">
      <alignment horizontal="left" vertical="center" wrapText="1" indent="1"/>
      <protection locked="0"/>
    </xf>
    <xf numFmtId="0" fontId="1" fillId="10" borderId="2" xfId="0" applyNumberFormat="1" applyFont="1" applyFill="1" applyBorder="1" applyAlignment="1" applyProtection="1">
      <alignment horizontal="left" vertical="center" wrapText="1" indent="1"/>
      <protection locked="0"/>
    </xf>
    <xf numFmtId="0" fontId="1" fillId="10" borderId="2" xfId="0" applyNumberFormat="1" applyFont="1" applyFill="1" applyBorder="1" applyAlignment="1" applyProtection="1">
      <alignment horizontal="left" vertical="center" wrapText="1" indent="1"/>
      <protection locked="0"/>
    </xf>
    <xf numFmtId="0" fontId="1" fillId="11" borderId="2" xfId="0" applyNumberFormat="1" applyFont="1" applyFill="1" applyBorder="1" applyAlignment="1" applyProtection="1">
      <alignment horizontal="left" vertical="center" wrapText="1" indent="1"/>
      <protection locked="0"/>
    </xf>
    <xf numFmtId="49" fontId="3" fillId="10" borderId="2" xfId="0" applyNumberFormat="1" applyFont="1" applyFill="1" applyBorder="1" applyAlignment="1" applyProtection="1">
      <alignment horizontal="left" vertical="center" wrapText="1" indent="1"/>
      <protection locked="0"/>
    </xf>
    <xf numFmtId="49" fontId="3" fillId="19" borderId="2" xfId="0" applyNumberFormat="1" applyFont="1" applyFill="1" applyBorder="1" applyAlignment="1">
      <alignment horizontal="left" vertical="center" wrapText="1" indent="1"/>
    </xf>
    <xf numFmtId="0" fontId="21" fillId="0" borderId="0" xfId="0" applyNumberFormat="1" applyFont="1" applyAlignment="1">
      <alignment vertical="center"/>
    </xf>
    <xf numFmtId="49" fontId="1" fillId="0" borderId="12" xfId="0" applyNumberFormat="1" applyFont="1" applyBorder="1" applyAlignment="1">
      <alignment horizontal="right" vertical="center" wrapText="1" indent="1"/>
    </xf>
    <xf numFmtId="0" fontId="5" fillId="0" borderId="12" xfId="0" applyNumberFormat="1" applyFont="1" applyBorder="1" applyAlignment="1">
      <alignment horizontal="right" vertical="center" wrapText="1" indent="1"/>
    </xf>
    <xf numFmtId="0" fontId="6" fillId="0" borderId="2" xfId="0" applyNumberFormat="1" applyFont="1" applyBorder="1" applyAlignment="1">
      <alignment horizontal="left" vertical="center" wrapText="1" indent="1"/>
    </xf>
    <xf numFmtId="49" fontId="1" fillId="0" borderId="2" xfId="0" applyNumberFormat="1" applyFont="1" applyBorder="1" applyAlignment="1">
      <alignment horizontal="right" vertical="center" wrapText="1" indent="1"/>
    </xf>
    <xf numFmtId="49" fontId="22" fillId="18" borderId="35" xfId="0" applyNumberFormat="1" applyFont="1" applyFill="1" applyBorder="1" applyAlignment="1">
      <alignment horizontal="right" vertical="center" wrapText="1" indent="1"/>
    </xf>
    <xf numFmtId="0" fontId="3" fillId="19" borderId="2" xfId="0" applyNumberFormat="1" applyFont="1" applyFill="1" applyBorder="1" applyAlignment="1">
      <alignment horizontal="left" vertical="center" wrapText="1" indent="1"/>
    </xf>
    <xf numFmtId="0" fontId="1" fillId="19" borderId="2" xfId="0" applyNumberFormat="1" applyFont="1" applyFill="1" applyBorder="1" applyAlignment="1">
      <alignment horizontal="left" vertical="center" indent="1"/>
    </xf>
    <xf numFmtId="0" fontId="5" fillId="0" borderId="2" xfId="0" applyNumberFormat="1" applyFont="1" applyBorder="1" applyAlignment="1">
      <alignment horizontal="right" vertical="center" wrapText="1" indent="1"/>
    </xf>
    <xf numFmtId="0" fontId="6" fillId="19" borderId="2" xfId="0" applyNumberFormat="1" applyFont="1" applyFill="1" applyBorder="1" applyAlignment="1">
      <alignment horizontal="left" vertical="center" wrapText="1" indent="1"/>
    </xf>
    <xf numFmtId="49" fontId="3" fillId="11" borderId="2" xfId="0" applyNumberFormat="1" applyFont="1" applyFill="1" applyBorder="1" applyAlignment="1" applyProtection="1">
      <alignment horizontal="left" vertical="center" wrapText="1" indent="1"/>
      <protection locked="0"/>
    </xf>
    <xf numFmtId="49" fontId="36" fillId="11" borderId="2" xfId="0" applyNumberFormat="1" applyFont="1" applyFill="1" applyBorder="1" applyAlignment="1" applyProtection="1">
      <alignment horizontal="left" vertical="center" wrapText="1" indent="1"/>
      <protection locked="0"/>
    </xf>
    <xf numFmtId="49" fontId="1" fillId="11" borderId="2" xfId="0" applyNumberFormat="1" applyFont="1" applyFill="1" applyBorder="1" applyAlignment="1" applyProtection="1">
      <alignment horizontal="left" vertical="center" wrapText="1" indent="1"/>
      <protection locked="0"/>
    </xf>
    <xf numFmtId="49" fontId="1" fillId="10" borderId="2" xfId="0" applyNumberFormat="1" applyFont="1" applyFill="1" applyBorder="1" applyAlignment="1" applyProtection="1">
      <alignment horizontal="left" vertical="center" wrapText="1" indent="1"/>
      <protection locked="0"/>
    </xf>
    <xf numFmtId="0" fontId="37" fillId="0" borderId="0" xfId="0" applyNumberFormat="1" applyFont="1" applyAlignment="1">
      <alignment vertical="center"/>
    </xf>
    <xf numFmtId="0" fontId="1" fillId="19" borderId="1" xfId="0" applyNumberFormat="1" applyFont="1" applyFill="1" applyBorder="1" applyAlignment="1">
      <alignment horizontal="left" vertical="center" wrapText="1" indent="1"/>
    </xf>
    <xf numFmtId="49" fontId="6" fillId="22" borderId="36" xfId="0" applyNumberFormat="1" applyFont="1" applyFill="1" applyBorder="1" applyAlignment="1">
      <alignment horizontal="left" vertical="center"/>
    </xf>
    <xf numFmtId="4" fontId="3" fillId="0" borderId="16" xfId="0" applyNumberFormat="1" applyFont="1" applyBorder="1" applyAlignment="1">
      <alignment horizontal="right" vertical="center"/>
    </xf>
    <xf numFmtId="0" fontId="21" fillId="17" borderId="26" xfId="0" applyNumberFormat="1" applyFont="1" applyFill="1" applyBorder="1" applyAlignment="1">
      <alignment horizontal="left" vertical="center" indent="1"/>
    </xf>
    <xf numFmtId="0" fontId="1" fillId="19" borderId="1" xfId="0" applyNumberFormat="1" applyFont="1" applyFill="1" applyBorder="1" applyAlignment="1">
      <alignment horizontal="left" vertical="center" wrapText="1"/>
    </xf>
    <xf numFmtId="49" fontId="36" fillId="11" borderId="2" xfId="0" applyNumberFormat="1" applyFont="1" applyFill="1" applyBorder="1" applyAlignment="1">
      <alignment horizontal="left" vertical="center" wrapText="1" indent="1"/>
    </xf>
    <xf numFmtId="49" fontId="1" fillId="11" borderId="2" xfId="0" applyNumberFormat="1" applyFont="1" applyFill="1" applyBorder="1" applyAlignment="1">
      <alignment horizontal="left" vertical="center" wrapText="1" indent="1"/>
    </xf>
    <xf numFmtId="49" fontId="1" fillId="10" borderId="2" xfId="0" applyNumberFormat="1" applyFont="1" applyFill="1" applyBorder="1" applyAlignment="1">
      <alignment horizontal="left" vertical="center" wrapText="1" indent="1"/>
    </xf>
    <xf numFmtId="0" fontId="1" fillId="19" borderId="1" xfId="0" applyNumberFormat="1" applyFont="1" applyFill="1" applyBorder="1" applyAlignment="1">
      <alignment horizontal="left" vertical="center" wrapText="1" indent="1"/>
    </xf>
    <xf numFmtId="49" fontId="1" fillId="0" borderId="2" xfId="0" applyNumberFormat="1" applyFont="1" applyBorder="1" applyAlignment="1">
      <alignment horizontal="left" vertical="center" wrapText="1" indent="1"/>
    </xf>
    <xf numFmtId="14" fontId="3" fillId="0" borderId="2" xfId="0" applyNumberFormat="1" applyFont="1" applyBorder="1" applyAlignment="1">
      <alignment horizontal="left" vertical="center" wrapText="1" indent="1"/>
    </xf>
    <xf numFmtId="49" fontId="36" fillId="0" borderId="2" xfId="0" applyNumberFormat="1" applyFont="1" applyBorder="1" applyAlignment="1">
      <alignment horizontal="left" vertical="center" wrapText="1" indent="1"/>
    </xf>
    <xf numFmtId="49" fontId="3" fillId="0" borderId="2" xfId="0" applyNumberFormat="1" applyFont="1" applyBorder="1" applyAlignment="1">
      <alignment horizontal="left" vertical="center" wrapText="1" indent="1"/>
    </xf>
    <xf numFmtId="49" fontId="22" fillId="0" borderId="35" xfId="0" applyNumberFormat="1" applyFont="1" applyBorder="1" applyAlignment="1">
      <alignment horizontal="left" vertical="center" wrapText="1"/>
    </xf>
    <xf numFmtId="49" fontId="22" fillId="0" borderId="33" xfId="0" applyNumberFormat="1" applyFont="1" applyBorder="1" applyAlignment="1">
      <alignment horizontal="left" vertical="center" wrapText="1"/>
    </xf>
    <xf numFmtId="49" fontId="22" fillId="0" borderId="34" xfId="0" applyNumberFormat="1" applyFont="1" applyBorder="1" applyAlignment="1">
      <alignment horizontal="left" vertical="center" wrapText="1"/>
    </xf>
    <xf numFmtId="49" fontId="1" fillId="19" borderId="1" xfId="0" applyNumberFormat="1" applyFont="1" applyFill="1" applyBorder="1" applyAlignment="1">
      <alignment horizontal="left" vertical="center" wrapText="1" indent="1"/>
    </xf>
    <xf numFmtId="49" fontId="1" fillId="0" borderId="2" xfId="0" applyNumberFormat="1" applyFont="1" applyBorder="1" applyAlignment="1">
      <alignment horizontal="center" vertical="center"/>
    </xf>
    <xf numFmtId="4" fontId="1" fillId="11" borderId="2" xfId="0" applyNumberFormat="1" applyFont="1" applyFill="1" applyBorder="1" applyAlignment="1" applyProtection="1">
      <alignment horizontal="right" vertical="center" wrapText="1"/>
      <protection locked="0"/>
    </xf>
    <xf numFmtId="49" fontId="1"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xf>
    <xf numFmtId="49" fontId="0" fillId="0" borderId="2" xfId="0" applyNumberFormat="1" applyFont="1" applyBorder="1" applyAlignment="1">
      <alignment horizontal="left" vertical="center" wrapText="1" indent="1"/>
    </xf>
    <xf numFmtId="49" fontId="0" fillId="0" borderId="2" xfId="0" applyNumberFormat="1" applyFont="1" applyBorder="1" applyAlignment="1">
      <alignment horizontal="left" vertical="center" wrapText="1" indent="2"/>
    </xf>
    <xf numFmtId="0" fontId="1" fillId="0" borderId="1" xfId="0" applyNumberFormat="1" applyFont="1" applyBorder="1" applyAlignment="1">
      <alignment horizontal="left" vertical="center" wrapText="1" indent="2"/>
    </xf>
    <xf numFmtId="0" fontId="1" fillId="10" borderId="1" xfId="0" applyNumberFormat="1" applyFont="1" applyFill="1" applyBorder="1" applyAlignment="1" applyProtection="1">
      <alignment horizontal="left" vertical="center" wrapText="1" indent="1"/>
      <protection locked="0"/>
    </xf>
    <xf numFmtId="49" fontId="1" fillId="0" borderId="9" xfId="0" applyNumberFormat="1" applyFont="1" applyBorder="1" applyAlignment="1">
      <alignment horizontal="center" vertical="center" wrapText="1"/>
    </xf>
    <xf numFmtId="0" fontId="3" fillId="0" borderId="0" xfId="0" applyNumberFormat="1" applyFont="1" applyAlignment="1">
      <alignment vertical="center"/>
    </xf>
    <xf numFmtId="49" fontId="6" fillId="0" borderId="18" xfId="0" quotePrefix="1" applyNumberFormat="1" applyFont="1" applyBorder="1" applyAlignment="1">
      <alignment horizontal="left" vertical="center"/>
    </xf>
    <xf numFmtId="49" fontId="22" fillId="18" borderId="13" xfId="0" applyNumberFormat="1" applyFont="1" applyFill="1" applyBorder="1" applyAlignment="1">
      <alignment horizontal="left" vertical="center" wrapText="1"/>
    </xf>
    <xf numFmtId="49" fontId="1" fillId="0" borderId="36" xfId="0" applyNumberFormat="1" applyFont="1" applyBorder="1" applyAlignment="1">
      <alignment horizontal="left" vertical="center" wrapText="1" indent="1"/>
    </xf>
    <xf numFmtId="49" fontId="5" fillId="0" borderId="2" xfId="0" applyNumberFormat="1" applyFont="1" applyBorder="1" applyAlignment="1">
      <alignment horizontal="center" vertical="center"/>
    </xf>
    <xf numFmtId="0" fontId="38" fillId="0" borderId="13" xfId="0" applyNumberFormat="1" applyFont="1" applyBorder="1" applyAlignment="1"/>
    <xf numFmtId="0" fontId="38" fillId="0" borderId="17" xfId="0" applyNumberFormat="1" applyFont="1" applyBorder="1" applyAlignment="1"/>
    <xf numFmtId="0" fontId="38" fillId="0" borderId="7" xfId="0" applyNumberFormat="1" applyFont="1" applyBorder="1" applyAlignment="1"/>
    <xf numFmtId="0" fontId="38" fillId="0" borderId="29" xfId="0" applyNumberFormat="1" applyFont="1" applyBorder="1" applyAlignment="1"/>
    <xf numFmtId="0" fontId="3" fillId="0" borderId="17"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17" xfId="0" applyNumberFormat="1" applyFont="1" applyBorder="1" applyAlignment="1">
      <alignment horizontal="center" vertical="center" wrapText="1"/>
    </xf>
    <xf numFmtId="0" fontId="3" fillId="12" borderId="17" xfId="0" applyNumberFormat="1" applyFont="1" applyFill="1" applyBorder="1" applyAlignment="1">
      <alignment horizontal="center" vertical="center" wrapText="1"/>
    </xf>
    <xf numFmtId="49" fontId="1" fillId="0" borderId="9"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3" fillId="0" borderId="7" xfId="0" applyNumberFormat="1" applyFont="1" applyBorder="1" applyAlignment="1">
      <alignment horizontal="center" vertical="center" wrapText="1"/>
    </xf>
    <xf numFmtId="4" fontId="3" fillId="19" borderId="7" xfId="0" applyNumberFormat="1" applyFont="1" applyFill="1" applyBorder="1" applyAlignment="1">
      <alignment horizontal="right" vertical="center"/>
    </xf>
    <xf numFmtId="0" fontId="1" fillId="0" borderId="17" xfId="0" applyNumberFormat="1" applyFont="1" applyBorder="1" applyAlignment="1">
      <alignment horizontal="center" vertical="center"/>
    </xf>
    <xf numFmtId="0" fontId="3" fillId="0" borderId="6" xfId="0" applyNumberFormat="1" applyFont="1" applyBorder="1" applyAlignment="1">
      <alignment horizontal="center" vertical="center" wrapText="1"/>
    </xf>
    <xf numFmtId="49" fontId="1" fillId="0" borderId="30" xfId="0" applyNumberFormat="1" applyFont="1" applyBorder="1" applyAlignment="1">
      <alignment horizontal="center" vertical="center" wrapText="1"/>
    </xf>
    <xf numFmtId="0" fontId="3" fillId="0" borderId="30" xfId="0" applyNumberFormat="1" applyFont="1" applyBorder="1" applyAlignment="1">
      <alignment horizontal="center" vertical="center" wrapText="1"/>
    </xf>
    <xf numFmtId="0" fontId="1" fillId="13" borderId="0" xfId="0" applyNumberFormat="1" applyFont="1" applyFill="1" applyAlignment="1">
      <alignment horizontal="center" vertical="center" wrapText="1"/>
    </xf>
    <xf numFmtId="0" fontId="3" fillId="0" borderId="26" xfId="0" applyNumberFormat="1" applyFont="1" applyBorder="1" applyAlignment="1">
      <alignment horizontal="center" vertical="center" wrapText="1"/>
    </xf>
    <xf numFmtId="49" fontId="1" fillId="0" borderId="2" xfId="0" applyNumberFormat="1" applyFont="1" applyBorder="1" applyAlignment="1">
      <alignment horizontal="left" vertical="center" wrapText="1" indent="2"/>
    </xf>
    <xf numFmtId="0" fontId="8" fillId="0" borderId="0" xfId="0" applyNumberFormat="1" applyFont="1" applyAlignment="1">
      <alignment vertical="center"/>
    </xf>
    <xf numFmtId="49" fontId="39" fillId="0" borderId="18" xfId="0" applyNumberFormat="1" applyFont="1" applyBorder="1" applyAlignment="1">
      <alignment vertical="center" wrapText="1"/>
    </xf>
    <xf numFmtId="0" fontId="8" fillId="0" borderId="0" xfId="0" applyNumberFormat="1" applyFont="1" applyAlignment="1">
      <alignment vertical="center" wrapText="1"/>
    </xf>
    <xf numFmtId="0" fontId="8" fillId="0" borderId="30" xfId="0" applyNumberFormat="1" applyFont="1" applyBorder="1" applyAlignment="1">
      <alignment horizontal="left" vertical="center"/>
    </xf>
    <xf numFmtId="0" fontId="8" fillId="0" borderId="24" xfId="0" applyNumberFormat="1" applyFont="1" applyBorder="1" applyAlignment="1">
      <alignment vertical="center" wrapText="1"/>
    </xf>
    <xf numFmtId="49" fontId="1" fillId="0" borderId="0" xfId="0" applyNumberFormat="1" applyFont="1" applyAlignment="1"/>
    <xf numFmtId="49" fontId="1" fillId="0" borderId="0" xfId="0" applyNumberFormat="1" applyFont="1" applyAlignment="1"/>
    <xf numFmtId="49" fontId="1" fillId="0" borderId="0" xfId="0" applyNumberFormat="1"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3" fillId="0" borderId="0" xfId="0" applyNumberFormat="1" applyFont="1" applyAlignment="1"/>
    <xf numFmtId="4" fontId="3" fillId="19" borderId="14" xfId="0" applyNumberFormat="1" applyFont="1" applyFill="1" applyBorder="1" applyAlignment="1">
      <alignment horizontal="right" vertical="center"/>
    </xf>
    <xf numFmtId="4" fontId="3" fillId="19" borderId="5" xfId="0" applyNumberFormat="1" applyFont="1" applyFill="1" applyBorder="1" applyAlignment="1">
      <alignment horizontal="right" vertical="center"/>
    </xf>
    <xf numFmtId="0" fontId="15" fillId="12" borderId="0" xfId="0" applyNumberFormat="1" applyFont="1" applyFill="1" applyAlignment="1">
      <alignment vertical="center"/>
    </xf>
    <xf numFmtId="49" fontId="1" fillId="13" borderId="2" xfId="0" applyNumberFormat="1" applyFont="1" applyFill="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wrapText="1" indent="2"/>
    </xf>
    <xf numFmtId="49" fontId="5" fillId="0" borderId="2" xfId="0" applyNumberFormat="1" applyFont="1" applyBorder="1" applyAlignment="1">
      <alignment horizontal="center" vertical="center" wrapText="1"/>
    </xf>
    <xf numFmtId="49" fontId="1" fillId="0" borderId="15" xfId="0" applyNumberFormat="1" applyFont="1" applyBorder="1" applyAlignment="1">
      <alignment horizontal="center" vertical="center"/>
    </xf>
    <xf numFmtId="49" fontId="1" fillId="0" borderId="38" xfId="0" applyNumberFormat="1" applyFont="1" applyBorder="1" applyAlignment="1">
      <alignment horizontal="left" vertical="center" indent="1"/>
    </xf>
    <xf numFmtId="49" fontId="1" fillId="0" borderId="40" xfId="0" applyNumberFormat="1" applyFont="1" applyBorder="1" applyAlignment="1">
      <alignment horizontal="center" vertical="center" wrapText="1"/>
    </xf>
    <xf numFmtId="49" fontId="1" fillId="0" borderId="36" xfId="0" applyNumberFormat="1" applyFont="1" applyBorder="1" applyAlignment="1">
      <alignment horizontal="center" vertical="center" wrapText="1"/>
    </xf>
    <xf numFmtId="49" fontId="22" fillId="18" borderId="30" xfId="0" applyNumberFormat="1" applyFont="1" applyFill="1" applyBorder="1" applyAlignment="1">
      <alignment horizontal="left" vertical="center" wrapText="1" indent="1"/>
    </xf>
    <xf numFmtId="49" fontId="21" fillId="17" borderId="30" xfId="0" applyNumberFormat="1" applyFont="1" applyFill="1" applyBorder="1" applyAlignment="1">
      <alignment horizontal="left" vertical="center" wrapText="1"/>
    </xf>
    <xf numFmtId="49" fontId="1" fillId="0" borderId="13" xfId="0" applyNumberFormat="1" applyFont="1" applyBorder="1" applyAlignment="1">
      <alignment horizontal="center" vertical="center"/>
    </xf>
    <xf numFmtId="0" fontId="1" fillId="0" borderId="41" xfId="0" applyNumberFormat="1" applyFont="1" applyBorder="1" applyAlignment="1">
      <alignment horizontal="center" vertical="center"/>
    </xf>
    <xf numFmtId="49" fontId="1" fillId="0" borderId="13" xfId="0" applyNumberFormat="1" applyFont="1" applyBorder="1" applyAlignment="1">
      <alignment horizontal="center" vertical="center" wrapText="1"/>
    </xf>
    <xf numFmtId="49" fontId="1" fillId="0" borderId="1" xfId="0" applyNumberFormat="1" applyFont="1" applyBorder="1" applyAlignment="1">
      <alignment horizontal="left" vertical="center" wrapText="1" indent="3"/>
    </xf>
    <xf numFmtId="49" fontId="1" fillId="0" borderId="42" xfId="0" applyNumberFormat="1" applyFont="1" applyBorder="1" applyAlignment="1">
      <alignment horizontal="left" vertical="center" wrapText="1" indent="2"/>
    </xf>
    <xf numFmtId="4" fontId="1" fillId="11" borderId="4" xfId="0" applyNumberFormat="1" applyFont="1" applyFill="1" applyBorder="1" applyAlignment="1" applyProtection="1">
      <alignment horizontal="right" vertical="center"/>
      <protection locked="0"/>
    </xf>
    <xf numFmtId="4" fontId="1" fillId="11" borderId="6" xfId="0" applyNumberFormat="1" applyFont="1" applyFill="1" applyBorder="1" applyAlignment="1" applyProtection="1">
      <alignment horizontal="right" vertical="center"/>
      <protection locked="0"/>
    </xf>
    <xf numFmtId="4" fontId="1" fillId="11" borderId="7" xfId="0" applyNumberFormat="1" applyFont="1" applyFill="1" applyBorder="1" applyAlignment="1" applyProtection="1">
      <alignment horizontal="right" vertical="center"/>
      <protection locked="0"/>
    </xf>
    <xf numFmtId="4" fontId="5" fillId="0" borderId="7" xfId="0" applyNumberFormat="1" applyFont="1" applyBorder="1" applyAlignment="1">
      <alignment horizontal="right" vertical="center"/>
    </xf>
    <xf numFmtId="49" fontId="22" fillId="18" borderId="26" xfId="0" applyNumberFormat="1" applyFont="1" applyFill="1" applyBorder="1" applyAlignment="1">
      <alignment horizontal="left" vertical="center" wrapText="1" indent="1"/>
    </xf>
    <xf numFmtId="49" fontId="22" fillId="18" borderId="29" xfId="0" applyNumberFormat="1" applyFont="1" applyFill="1" applyBorder="1" applyAlignment="1">
      <alignment horizontal="left" vertical="center" wrapText="1" indent="1"/>
    </xf>
    <xf numFmtId="0" fontId="1" fillId="0" borderId="1" xfId="0" applyNumberFormat="1" applyFont="1" applyBorder="1" applyAlignment="1">
      <alignment horizontal="left" vertical="center" wrapText="1" indent="3"/>
    </xf>
    <xf numFmtId="4" fontId="1" fillId="19" borderId="7" xfId="0" applyNumberFormat="1" applyFont="1" applyFill="1" applyBorder="1" applyAlignment="1">
      <alignment horizontal="right" vertical="center"/>
    </xf>
    <xf numFmtId="0" fontId="15" fillId="15" borderId="0" xfId="0" applyNumberFormat="1" applyFont="1" applyFill="1" applyAlignment="1"/>
    <xf numFmtId="49" fontId="5" fillId="0" borderId="36" xfId="0" applyNumberFormat="1" applyFont="1" applyBorder="1" applyAlignment="1">
      <alignment horizontal="left" vertical="center"/>
    </xf>
    <xf numFmtId="49" fontId="5" fillId="0" borderId="36" xfId="0" applyNumberFormat="1" applyFont="1" applyBorder="1" applyAlignment="1">
      <alignment vertical="center"/>
    </xf>
    <xf numFmtId="0" fontId="1" fillId="19" borderId="1" xfId="0" applyNumberFormat="1" applyFont="1" applyFill="1" applyBorder="1" applyAlignment="1">
      <alignment horizontal="left" vertical="center" wrapText="1" indent="2"/>
    </xf>
    <xf numFmtId="0" fontId="1" fillId="0" borderId="1" xfId="0" applyNumberFormat="1" applyFont="1" applyBorder="1" applyAlignment="1">
      <alignment horizontal="left" vertical="center" wrapText="1" indent="4"/>
    </xf>
    <xf numFmtId="0" fontId="1" fillId="0" borderId="1" xfId="0" applyNumberFormat="1" applyFont="1" applyBorder="1" applyAlignment="1">
      <alignment horizontal="left" vertical="center" indent="4"/>
    </xf>
    <xf numFmtId="0" fontId="5" fillId="0" borderId="13" xfId="0" applyNumberFormat="1" applyFont="1" applyBorder="1" applyAlignment="1">
      <alignment horizontal="center" vertical="center"/>
    </xf>
    <xf numFmtId="0" fontId="1" fillId="0" borderId="13" xfId="0" applyNumberFormat="1" applyFont="1" applyBorder="1" applyAlignment="1">
      <alignment horizontal="center" vertical="center"/>
    </xf>
    <xf numFmtId="4" fontId="1" fillId="11" borderId="8" xfId="0" applyNumberFormat="1" applyFont="1" applyFill="1" applyBorder="1" applyAlignment="1" applyProtection="1">
      <alignment horizontal="right" vertical="center"/>
      <protection locked="0"/>
    </xf>
    <xf numFmtId="4" fontId="5" fillId="19" borderId="10" xfId="0" applyNumberFormat="1" applyFont="1" applyFill="1" applyBorder="1" applyAlignment="1">
      <alignment horizontal="right" vertical="center"/>
    </xf>
    <xf numFmtId="49" fontId="4" fillId="13" borderId="1" xfId="0" applyNumberFormat="1" applyFont="1" applyFill="1" applyBorder="1" applyAlignment="1">
      <alignment vertical="center" wrapText="1"/>
    </xf>
    <xf numFmtId="4" fontId="4" fillId="13" borderId="1" xfId="0" applyNumberFormat="1" applyFont="1" applyFill="1" applyBorder="1" applyAlignment="1">
      <alignment vertical="center" wrapText="1"/>
    </xf>
    <xf numFmtId="4" fontId="4" fillId="19" borderId="1" xfId="0" applyNumberFormat="1" applyFont="1" applyFill="1" applyBorder="1" applyAlignment="1">
      <alignment vertical="center" wrapText="1"/>
    </xf>
    <xf numFmtId="4" fontId="4" fillId="0" borderId="1" xfId="0" applyNumberFormat="1" applyFont="1" applyBorder="1" applyAlignment="1">
      <alignment vertical="center" wrapText="1"/>
    </xf>
    <xf numFmtId="4" fontId="4" fillId="11" borderId="1" xfId="0" applyNumberFormat="1" applyFont="1" applyFill="1" applyBorder="1" applyAlignment="1" applyProtection="1">
      <alignment vertical="center" wrapText="1"/>
      <protection locked="0"/>
    </xf>
    <xf numFmtId="4" fontId="7" fillId="19" borderId="1" xfId="0" applyNumberFormat="1" applyFont="1" applyFill="1" applyBorder="1" applyAlignment="1">
      <alignment vertical="center" wrapText="1"/>
    </xf>
    <xf numFmtId="49" fontId="1" fillId="0" borderId="8" xfId="0" applyNumberFormat="1" applyFont="1" applyBorder="1" applyAlignment="1">
      <alignment horizontal="left" vertical="center" wrapText="1" indent="1"/>
    </xf>
    <xf numFmtId="49" fontId="1" fillId="0" borderId="30" xfId="0" applyNumberFormat="1" applyFont="1" applyBorder="1" applyAlignment="1">
      <alignment horizontal="center" vertical="center" wrapText="1"/>
    </xf>
    <xf numFmtId="49" fontId="4" fillId="19" borderId="1" xfId="0" applyNumberFormat="1" applyFont="1" applyFill="1" applyBorder="1" applyAlignment="1">
      <alignment horizontal="left" vertical="center" wrapText="1" indent="1"/>
    </xf>
    <xf numFmtId="0" fontId="3" fillId="0" borderId="12" xfId="0" applyNumberFormat="1" applyFont="1" applyBorder="1" applyAlignment="1">
      <alignment horizontal="center" vertical="center" wrapText="1"/>
    </xf>
    <xf numFmtId="49" fontId="1" fillId="0" borderId="1" xfId="0" applyNumberFormat="1" applyFont="1" applyBorder="1" applyAlignment="1">
      <alignment vertical="center" wrapText="1"/>
    </xf>
    <xf numFmtId="49" fontId="6"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1"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49" fontId="1" fillId="0" borderId="1" xfId="0" applyNumberFormat="1" applyFont="1" applyBorder="1" applyAlignment="1"/>
    <xf numFmtId="49" fontId="1" fillId="0" borderId="1" xfId="0" applyNumberFormat="1" applyFont="1" applyBorder="1" applyAlignment="1">
      <alignment horizontal="left" vertical="center" wrapText="1" indent="4"/>
    </xf>
    <xf numFmtId="49" fontId="42" fillId="0" borderId="1" xfId="0" applyNumberFormat="1" applyFont="1" applyBorder="1" applyAlignment="1">
      <alignment horizontal="left" vertical="center" wrapText="1" indent="3"/>
    </xf>
    <xf numFmtId="9" fontId="4" fillId="11" borderId="1" xfId="0" applyNumberFormat="1" applyFont="1" applyFill="1" applyBorder="1" applyAlignment="1" applyProtection="1">
      <alignment vertical="center" wrapText="1"/>
      <protection locked="0"/>
    </xf>
    <xf numFmtId="49" fontId="7" fillId="13" borderId="5" xfId="0" applyNumberFormat="1" applyFont="1" applyFill="1" applyBorder="1" applyAlignment="1">
      <alignment horizontal="center" vertical="center" wrapText="1"/>
    </xf>
    <xf numFmtId="4" fontId="4" fillId="13" borderId="5" xfId="0" applyNumberFormat="1" applyFont="1" applyFill="1" applyBorder="1" applyAlignment="1">
      <alignment vertical="center" wrapText="1"/>
    </xf>
    <xf numFmtId="4" fontId="3" fillId="12" borderId="1" xfId="0" applyNumberFormat="1" applyFont="1" applyFill="1" applyBorder="1" applyAlignment="1">
      <alignment horizontal="right" vertical="center"/>
    </xf>
    <xf numFmtId="49" fontId="4" fillId="13" borderId="5" xfId="0" applyNumberFormat="1" applyFont="1" applyFill="1" applyBorder="1" applyAlignment="1">
      <alignment horizontal="center" vertical="center" wrapText="1"/>
    </xf>
    <xf numFmtId="49" fontId="4" fillId="13" borderId="8" xfId="0" applyNumberFormat="1" applyFont="1" applyFill="1" applyBorder="1" applyAlignment="1">
      <alignment horizontal="center" vertical="center" wrapText="1"/>
    </xf>
    <xf numFmtId="49" fontId="4" fillId="13" borderId="5" xfId="0" applyNumberFormat="1" applyFont="1" applyFill="1" applyBorder="1" applyAlignment="1">
      <alignment vertical="center" wrapText="1"/>
    </xf>
    <xf numFmtId="4" fontId="3" fillId="19" borderId="8" xfId="0" applyNumberFormat="1" applyFont="1" applyFill="1" applyBorder="1" applyAlignment="1">
      <alignment horizontal="right" vertical="center"/>
    </xf>
    <xf numFmtId="0" fontId="15" fillId="0" borderId="18" xfId="0" applyNumberFormat="1" applyFont="1" applyBorder="1" applyAlignment="1">
      <alignment vertical="center"/>
    </xf>
    <xf numFmtId="4" fontId="3" fillId="0" borderId="43" xfId="0" applyNumberFormat="1" applyFont="1" applyBorder="1" applyAlignment="1">
      <alignment horizontal="right" vertical="center"/>
    </xf>
    <xf numFmtId="49" fontId="7" fillId="13" borderId="8" xfId="0" applyNumberFormat="1" applyFont="1" applyFill="1" applyBorder="1" applyAlignment="1">
      <alignment horizontal="center" vertical="center" wrapText="1"/>
    </xf>
    <xf numFmtId="49" fontId="7" fillId="13" borderId="8" xfId="0" applyNumberFormat="1" applyFont="1" applyFill="1" applyBorder="1" applyAlignment="1">
      <alignment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vertical="center" wrapText="1"/>
    </xf>
    <xf numFmtId="49" fontId="1" fillId="0" borderId="38" xfId="0" applyNumberFormat="1" applyFont="1" applyBorder="1" applyAlignment="1">
      <alignment horizontal="center" vertical="center" wrapText="1"/>
    </xf>
    <xf numFmtId="4" fontId="4" fillId="19" borderId="13" xfId="0" applyNumberFormat="1" applyFont="1" applyFill="1" applyBorder="1" applyAlignment="1">
      <alignment vertical="center" wrapText="1"/>
    </xf>
    <xf numFmtId="4" fontId="4" fillId="19" borderId="7" xfId="0" applyNumberFormat="1" applyFont="1" applyFill="1" applyBorder="1" applyAlignment="1">
      <alignment vertical="center" wrapText="1"/>
    </xf>
    <xf numFmtId="49" fontId="5" fillId="0" borderId="5" xfId="0" applyNumberFormat="1" applyFont="1" applyBorder="1" applyAlignment="1">
      <alignment horizontal="center" vertical="center"/>
    </xf>
    <xf numFmtId="0" fontId="4" fillId="13" borderId="1" xfId="0" applyNumberFormat="1" applyFont="1" applyFill="1" applyBorder="1" applyAlignment="1">
      <alignment horizontal="center" vertical="center" wrapText="1"/>
    </xf>
    <xf numFmtId="49" fontId="5" fillId="0" borderId="40" xfId="0" applyNumberFormat="1" applyFont="1" applyBorder="1" applyAlignment="1">
      <alignment horizontal="center" vertical="center" wrapText="1"/>
    </xf>
    <xf numFmtId="10" fontId="4" fillId="19" borderId="1" xfId="0" applyNumberFormat="1" applyFont="1" applyFill="1" applyBorder="1" applyAlignment="1">
      <alignment vertical="center" wrapText="1"/>
    </xf>
    <xf numFmtId="4" fontId="3" fillId="0" borderId="8" xfId="0" applyNumberFormat="1" applyFont="1" applyBorder="1" applyAlignment="1">
      <alignment horizontal="right" vertical="center"/>
    </xf>
    <xf numFmtId="0" fontId="0" fillId="0" borderId="32" xfId="0" applyNumberFormat="1" applyFont="1" applyBorder="1" applyAlignment="1">
      <alignment horizontal="center" vertical="center" wrapText="1"/>
    </xf>
    <xf numFmtId="4" fontId="4" fillId="11" borderId="8" xfId="0" applyNumberFormat="1" applyFont="1" applyFill="1" applyBorder="1" applyAlignment="1" applyProtection="1">
      <alignment vertical="center" wrapText="1"/>
      <protection locked="0"/>
    </xf>
    <xf numFmtId="49" fontId="5" fillId="0" borderId="12" xfId="0" applyNumberFormat="1" applyFont="1" applyBorder="1" applyAlignment="1">
      <alignment horizontal="left" vertical="center" wrapText="1"/>
    </xf>
    <xf numFmtId="4" fontId="1" fillId="19" borderId="8" xfId="0" applyNumberFormat="1" applyFont="1" applyFill="1" applyBorder="1" applyAlignment="1">
      <alignment horizontal="right" vertical="center"/>
    </xf>
    <xf numFmtId="0" fontId="1" fillId="0" borderId="17" xfId="0" applyNumberFormat="1" applyFont="1" applyBorder="1" applyAlignment="1">
      <alignment horizontal="left" vertical="center" wrapText="1" indent="2"/>
    </xf>
    <xf numFmtId="49" fontId="5" fillId="0" borderId="9" xfId="0" applyNumberFormat="1" applyFont="1" applyBorder="1" applyAlignment="1">
      <alignment horizontal="center" vertical="center" wrapText="1"/>
    </xf>
    <xf numFmtId="4" fontId="6" fillId="19" borderId="5" xfId="0" applyNumberFormat="1" applyFont="1" applyFill="1" applyBorder="1" applyAlignment="1">
      <alignment horizontal="right" vertical="center"/>
    </xf>
    <xf numFmtId="49" fontId="43" fillId="13" borderId="5" xfId="0" applyNumberFormat="1" applyFont="1" applyFill="1" applyBorder="1" applyAlignment="1">
      <alignment horizontal="left" vertical="center" wrapText="1" indent="1"/>
    </xf>
    <xf numFmtId="49" fontId="1" fillId="0" borderId="5" xfId="0" applyNumberFormat="1" applyFont="1" applyBorder="1" applyAlignment="1">
      <alignment horizontal="center" vertical="center" wrapText="1"/>
    </xf>
    <xf numFmtId="49" fontId="7" fillId="13" borderId="0" xfId="0" applyNumberFormat="1" applyFont="1" applyFill="1" applyAlignment="1">
      <alignment horizontal="center" vertical="center" wrapText="1"/>
    </xf>
    <xf numFmtId="49" fontId="7" fillId="13" borderId="44" xfId="0" applyNumberFormat="1" applyFont="1" applyFill="1" applyBorder="1" applyAlignment="1">
      <alignment horizontal="center" vertical="center" wrapText="1"/>
    </xf>
    <xf numFmtId="49" fontId="1" fillId="0" borderId="0" xfId="0" applyNumberFormat="1" applyFont="1" applyAlignment="1">
      <alignment horizontal="left" vertical="top" wrapText="1"/>
    </xf>
    <xf numFmtId="0" fontId="1" fillId="0" borderId="36" xfId="0" applyNumberFormat="1" applyFont="1" applyBorder="1" applyAlignment="1">
      <alignment horizontal="center" vertical="center" wrapText="1"/>
    </xf>
    <xf numFmtId="0" fontId="1" fillId="0" borderId="37"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49" fontId="8" fillId="0" borderId="0" xfId="0" applyNumberFormat="1" applyFont="1" applyAlignment="1">
      <alignment horizontal="center" vertical="center" wrapText="1"/>
    </xf>
    <xf numFmtId="49" fontId="8" fillId="0" borderId="7" xfId="0" applyNumberFormat="1" applyFont="1" applyBorder="1" applyAlignment="1">
      <alignment horizontal="center" vertical="center" wrapText="1"/>
    </xf>
    <xf numFmtId="0" fontId="1" fillId="0" borderId="2" xfId="0" applyNumberFormat="1" applyFont="1" applyBorder="1" applyAlignment="1">
      <alignment horizontal="left" vertical="center" wrapText="1" indent="1"/>
    </xf>
    <xf numFmtId="169" fontId="1" fillId="19" borderId="12" xfId="0" applyNumberFormat="1" applyFont="1" applyFill="1" applyBorder="1" applyAlignment="1">
      <alignment vertical="center"/>
    </xf>
    <xf numFmtId="4" fontId="4" fillId="19" borderId="8" xfId="0" applyNumberFormat="1" applyFont="1" applyFill="1" applyBorder="1" applyAlignment="1">
      <alignment vertical="center" wrapText="1"/>
    </xf>
    <xf numFmtId="49" fontId="3" fillId="0" borderId="8" xfId="0" applyNumberFormat="1" applyFont="1" applyBorder="1" applyAlignment="1">
      <alignment horizontal="center" vertical="center"/>
    </xf>
    <xf numFmtId="49" fontId="3" fillId="0" borderId="8" xfId="0" applyNumberFormat="1" applyFont="1" applyBorder="1" applyAlignment="1">
      <alignment horizontal="left" vertical="center" wrapText="1"/>
    </xf>
    <xf numFmtId="4" fontId="3" fillId="19" borderId="8" xfId="0" applyNumberFormat="1" applyFont="1" applyFill="1" applyBorder="1" applyAlignment="1">
      <alignment horizontal="right"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indent="2"/>
    </xf>
    <xf numFmtId="4" fontId="3" fillId="11" borderId="1" xfId="0" applyNumberFormat="1" applyFont="1" applyFill="1" applyBorder="1" applyAlignment="1" applyProtection="1">
      <alignment horizontal="right" vertical="center"/>
      <protection locked="0"/>
    </xf>
    <xf numFmtId="4" fontId="3" fillId="19" borderId="1" xfId="0" applyNumberFormat="1" applyFont="1" applyFill="1" applyBorder="1" applyAlignment="1">
      <alignment horizontal="right" vertical="center"/>
    </xf>
    <xf numFmtId="49" fontId="3" fillId="0" borderId="1" xfId="0" applyNumberFormat="1" applyFont="1" applyBorder="1" applyAlignment="1">
      <alignment horizontal="left" vertical="center" wrapText="1"/>
    </xf>
    <xf numFmtId="4" fontId="3" fillId="0" borderId="1" xfId="0" applyNumberFormat="1" applyFont="1" applyBorder="1" applyAlignment="1">
      <alignment horizontal="right" vertical="center"/>
    </xf>
    <xf numFmtId="4" fontId="1" fillId="19" borderId="1" xfId="0" applyNumberFormat="1" applyFont="1" applyFill="1" applyBorder="1" applyAlignment="1">
      <alignment horizontal="right" vertical="center"/>
    </xf>
    <xf numFmtId="49" fontId="3" fillId="0" borderId="5" xfId="0" applyNumberFormat="1" applyFont="1" applyBorder="1" applyAlignment="1">
      <alignment horizontal="center" vertical="center"/>
    </xf>
    <xf numFmtId="4" fontId="3" fillId="19" borderId="5" xfId="0" applyNumberFormat="1" applyFont="1" applyFill="1" applyBorder="1" applyAlignment="1">
      <alignment horizontal="right" vertical="center"/>
    </xf>
    <xf numFmtId="49" fontId="3" fillId="0" borderId="5" xfId="0" applyNumberFormat="1" applyFont="1" applyBorder="1" applyAlignment="1">
      <alignment horizontal="left" vertical="center" indent="2"/>
    </xf>
    <xf numFmtId="4" fontId="3" fillId="11" borderId="5" xfId="0" applyNumberFormat="1" applyFont="1" applyFill="1" applyBorder="1" applyAlignment="1" applyProtection="1">
      <alignment horizontal="right" vertical="center"/>
      <protection locked="0"/>
    </xf>
    <xf numFmtId="4" fontId="3" fillId="19" borderId="1" xfId="0" applyNumberFormat="1" applyFont="1" applyFill="1" applyBorder="1" applyAlignment="1">
      <alignment horizontal="right" vertical="center"/>
    </xf>
    <xf numFmtId="49" fontId="1" fillId="0" borderId="0" xfId="0" applyNumberFormat="1" applyFont="1" applyAlignment="1">
      <alignment horizontal="center"/>
    </xf>
    <xf numFmtId="0" fontId="9" fillId="13" borderId="31" xfId="0" applyNumberFormat="1" applyFont="1" applyFill="1" applyBorder="1" applyAlignment="1">
      <alignment horizontal="center" vertical="center" wrapText="1"/>
    </xf>
    <xf numFmtId="0" fontId="9" fillId="13" borderId="0" xfId="0" applyNumberFormat="1" applyFont="1" applyFill="1" applyAlignment="1">
      <alignment horizontal="center" vertical="center" wrapText="1"/>
    </xf>
    <xf numFmtId="49" fontId="5" fillId="0" borderId="30" xfId="0" applyNumberFormat="1" applyFont="1" applyBorder="1" applyAlignment="1">
      <alignment horizontal="center" vertical="center" wrapText="1"/>
    </xf>
    <xf numFmtId="0" fontId="1" fillId="0" borderId="40" xfId="0" applyNumberFormat="1" applyFont="1" applyBorder="1" applyAlignment="1">
      <alignment horizontal="center" vertical="center" wrapText="1"/>
    </xf>
    <xf numFmtId="0" fontId="1" fillId="0" borderId="11" xfId="0" applyNumberFormat="1" applyFont="1" applyBorder="1" applyAlignment="1">
      <alignment horizontal="center" vertical="center" wrapText="1"/>
    </xf>
    <xf numFmtId="0" fontId="3" fillId="0" borderId="29" xfId="0" applyNumberFormat="1" applyFont="1" applyBorder="1" applyAlignment="1">
      <alignment horizontal="center" vertical="center" wrapText="1"/>
    </xf>
    <xf numFmtId="0" fontId="1" fillId="13" borderId="0" xfId="0" applyNumberFormat="1" applyFont="1" applyFill="1" applyAlignment="1">
      <alignment horizontal="center" vertical="center" wrapText="1"/>
    </xf>
    <xf numFmtId="0" fontId="1" fillId="12" borderId="17" xfId="0" applyNumberFormat="1" applyFont="1" applyFill="1" applyBorder="1" applyAlignment="1">
      <alignment horizontal="center" vertical="center" wrapText="1"/>
    </xf>
    <xf numFmtId="0" fontId="1" fillId="12" borderId="17" xfId="0" applyNumberFormat="1" applyFont="1" applyFill="1" applyBorder="1" applyAlignment="1">
      <alignment horizontal="center" vertical="center" wrapText="1"/>
    </xf>
    <xf numFmtId="49" fontId="1" fillId="0" borderId="0" xfId="0" applyNumberFormat="1" applyFont="1" applyAlignment="1">
      <alignment horizontal="center" vertical="center" wrapText="1"/>
    </xf>
    <xf numFmtId="49" fontId="1" fillId="0" borderId="13" xfId="0" applyNumberFormat="1" applyFont="1" applyBorder="1" applyAlignment="1">
      <alignment horizontal="left" vertical="center" wrapText="1" indent="3"/>
    </xf>
    <xf numFmtId="49" fontId="1" fillId="0" borderId="13" xfId="0" applyNumberFormat="1" applyFont="1" applyBorder="1" applyAlignment="1">
      <alignment horizontal="left" vertical="center" wrapText="1" indent="2"/>
    </xf>
    <xf numFmtId="49" fontId="1" fillId="0" borderId="29" xfId="0" applyNumberFormat="1" applyFont="1" applyBorder="1" applyAlignment="1">
      <alignment horizontal="left" vertical="center" wrapText="1" indent="1"/>
    </xf>
    <xf numFmtId="49" fontId="1" fillId="0" borderId="13" xfId="0" applyNumberFormat="1" applyFont="1" applyBorder="1" applyAlignment="1">
      <alignment horizontal="left" vertical="center" wrapText="1" indent="1"/>
    </xf>
    <xf numFmtId="4" fontId="1" fillId="11" borderId="12" xfId="0" applyNumberFormat="1" applyFont="1" applyFill="1" applyBorder="1" applyAlignment="1" applyProtection="1">
      <alignment horizontal="right" vertical="center"/>
      <protection locked="0"/>
    </xf>
    <xf numFmtId="49" fontId="4" fillId="18" borderId="13" xfId="0" applyNumberFormat="1" applyFont="1" applyFill="1" applyBorder="1" applyAlignment="1">
      <alignment horizontal="center" vertical="center" wrapText="1"/>
    </xf>
    <xf numFmtId="49" fontId="1" fillId="18" borderId="17" xfId="0" applyNumberFormat="1" applyFont="1" applyFill="1" applyBorder="1" applyAlignment="1">
      <alignment horizontal="center" vertical="center" wrapText="1"/>
    </xf>
    <xf numFmtId="4" fontId="3" fillId="18" borderId="17" xfId="0" applyNumberFormat="1" applyFont="1" applyFill="1" applyBorder="1" applyAlignment="1">
      <alignment horizontal="right" vertical="center"/>
    </xf>
    <xf numFmtId="4" fontId="3" fillId="18" borderId="18" xfId="0" applyNumberFormat="1" applyFont="1" applyFill="1" applyBorder="1" applyAlignment="1">
      <alignment horizontal="right" vertical="center"/>
    </xf>
    <xf numFmtId="49" fontId="44" fillId="18" borderId="17" xfId="0" applyNumberFormat="1" applyFont="1" applyFill="1" applyBorder="1" applyAlignment="1">
      <alignment horizontal="left" vertical="center" wrapText="1" indent="1"/>
    </xf>
    <xf numFmtId="0" fontId="1" fillId="0" borderId="0" xfId="0" applyNumberFormat="1" applyFont="1" applyAlignment="1">
      <alignment vertical="center"/>
    </xf>
    <xf numFmtId="0" fontId="3" fillId="12" borderId="13" xfId="0" applyNumberFormat="1" applyFont="1" applyFill="1" applyBorder="1" applyAlignment="1">
      <alignment horizontal="center" vertical="center"/>
    </xf>
    <xf numFmtId="4" fontId="4" fillId="0" borderId="5" xfId="0" applyNumberFormat="1" applyFont="1" applyBorder="1" applyAlignment="1">
      <alignment vertical="center" wrapText="1"/>
    </xf>
    <xf numFmtId="0" fontId="40" fillId="0" borderId="0" xfId="0" applyNumberFormat="1" applyFont="1" applyAlignment="1">
      <alignment vertical="center"/>
    </xf>
    <xf numFmtId="4" fontId="3" fillId="19" borderId="2" xfId="0" applyNumberFormat="1" applyFont="1" applyFill="1" applyBorder="1" applyAlignment="1">
      <alignment horizontal="right" vertical="center"/>
    </xf>
    <xf numFmtId="49" fontId="4" fillId="12" borderId="1" xfId="0" applyNumberFormat="1" applyFont="1" applyFill="1" applyBorder="1" applyAlignment="1">
      <alignment vertical="center" wrapText="1"/>
    </xf>
    <xf numFmtId="49" fontId="4" fillId="12" borderId="1" xfId="0" applyNumberFormat="1" applyFont="1" applyFill="1" applyBorder="1" applyAlignment="1">
      <alignment horizontal="left" vertical="center" wrapText="1"/>
    </xf>
    <xf numFmtId="49" fontId="7" fillId="12" borderId="5" xfId="0" applyNumberFormat="1" applyFont="1" applyFill="1" applyBorder="1" applyAlignment="1">
      <alignment horizontal="left" vertical="center" wrapText="1"/>
    </xf>
    <xf numFmtId="49" fontId="1" fillId="12" borderId="9" xfId="0" applyNumberFormat="1" applyFont="1" applyFill="1" applyBorder="1" applyAlignment="1">
      <alignment horizontal="left" vertical="center" wrapText="1"/>
    </xf>
    <xf numFmtId="49" fontId="1" fillId="12" borderId="7" xfId="0" applyNumberFormat="1" applyFont="1" applyFill="1" applyBorder="1" applyAlignment="1">
      <alignment horizontal="left" vertical="center" wrapText="1"/>
    </xf>
    <xf numFmtId="0" fontId="1" fillId="12" borderId="7" xfId="0" applyNumberFormat="1" applyFont="1" applyFill="1" applyBorder="1" applyAlignment="1">
      <alignment horizontal="left" vertical="center" wrapText="1" indent="2"/>
    </xf>
    <xf numFmtId="49" fontId="1" fillId="12" borderId="14" xfId="0" applyNumberFormat="1" applyFont="1" applyFill="1" applyBorder="1" applyAlignment="1">
      <alignment horizontal="left" vertical="center" wrapText="1"/>
    </xf>
    <xf numFmtId="49" fontId="1" fillId="12" borderId="2" xfId="0" applyNumberFormat="1" applyFont="1" applyFill="1" applyBorder="1" applyAlignment="1">
      <alignment horizontal="left" vertical="center" wrapText="1"/>
    </xf>
    <xf numFmtId="0" fontId="1" fillId="21" borderId="37" xfId="0" applyNumberFormat="1" applyFont="1" applyFill="1" applyBorder="1" applyAlignment="1">
      <alignment horizontal="left" vertical="center"/>
    </xf>
    <xf numFmtId="0" fontId="1" fillId="0" borderId="7" xfId="0" applyNumberFormat="1" applyFont="1" applyBorder="1" applyAlignment="1">
      <alignment horizontal="right" vertical="center" wrapText="1" indent="1"/>
    </xf>
    <xf numFmtId="49" fontId="45" fillId="0" borderId="0" xfId="0" applyNumberFormat="1" applyFont="1" applyAlignment="1">
      <alignment horizontal="center" vertical="center" wrapText="1"/>
    </xf>
    <xf numFmtId="0" fontId="46" fillId="0" borderId="0" xfId="0" applyNumberFormat="1" applyFont="1" applyAlignment="1"/>
    <xf numFmtId="0" fontId="47" fillId="0" borderId="0" xfId="0" applyNumberFormat="1" applyFont="1" applyAlignment="1">
      <alignment wrapText="1"/>
    </xf>
    <xf numFmtId="49" fontId="48" fillId="0" borderId="0" xfId="0" applyNumberFormat="1" applyFont="1" applyAlignment="1">
      <alignment wrapText="1"/>
    </xf>
    <xf numFmtId="49" fontId="48" fillId="0" borderId="0" xfId="0" applyNumberFormat="1" applyFont="1" applyAlignment="1">
      <alignment vertical="center" wrapText="1"/>
    </xf>
    <xf numFmtId="49" fontId="49" fillId="0" borderId="0" xfId="0" applyNumberFormat="1" applyFont="1" applyAlignment="1">
      <alignment wrapText="1"/>
    </xf>
    <xf numFmtId="0" fontId="10" fillId="0" borderId="0" xfId="0" applyNumberFormat="1" applyFont="1" applyAlignment="1">
      <alignment horizontal="left" vertical="center" wrapText="1"/>
    </xf>
    <xf numFmtId="49" fontId="50" fillId="0" borderId="0" xfId="0" applyNumberFormat="1" applyFont="1" applyAlignment="1">
      <alignment wrapText="1"/>
    </xf>
    <xf numFmtId="0" fontId="48" fillId="0" borderId="0" xfId="0" applyNumberFormat="1" applyFont="1" applyAlignment="1">
      <alignment wrapText="1"/>
    </xf>
    <xf numFmtId="0" fontId="51" fillId="0" borderId="0" xfId="0" applyNumberFormat="1" applyFont="1" applyAlignment="1">
      <alignment horizontal="left" vertical="center" wrapText="1"/>
    </xf>
    <xf numFmtId="0" fontId="52" fillId="0" borderId="0" xfId="0" applyNumberFormat="1" applyFont="1" applyAlignment="1">
      <alignment vertical="center" wrapText="1"/>
    </xf>
    <xf numFmtId="0" fontId="48" fillId="0" borderId="31" xfId="0" applyNumberFormat="1" applyFont="1" applyBorder="1" applyAlignment="1">
      <alignment wrapText="1"/>
    </xf>
    <xf numFmtId="0" fontId="48" fillId="0" borderId="0" xfId="0" applyNumberFormat="1" applyFont="1" applyAlignment="1"/>
    <xf numFmtId="0" fontId="51" fillId="0" borderId="0" xfId="0" applyNumberFormat="1" applyFont="1" applyAlignment="1"/>
    <xf numFmtId="0" fontId="53" fillId="0" borderId="0" xfId="0" applyNumberFormat="1" applyFont="1" applyAlignment="1">
      <alignment wrapText="1"/>
    </xf>
    <xf numFmtId="0" fontId="0" fillId="11" borderId="44" xfId="0" applyNumberFormat="1" applyFont="1" applyFill="1" applyBorder="1" applyAlignment="1">
      <alignment horizontal="center" vertical="center" wrapText="1"/>
    </xf>
    <xf numFmtId="0" fontId="0" fillId="16" borderId="44" xfId="0" applyNumberFormat="1" applyFont="1" applyFill="1" applyBorder="1" applyAlignment="1">
      <alignment horizontal="center" vertical="center" wrapText="1"/>
    </xf>
    <xf numFmtId="0" fontId="0" fillId="19" borderId="44" xfId="0" applyNumberFormat="1" applyFont="1" applyFill="1" applyBorder="1" applyAlignment="1">
      <alignment horizontal="center" vertical="center" wrapText="1"/>
    </xf>
    <xf numFmtId="0" fontId="0" fillId="10" borderId="44" xfId="0" applyNumberFormat="1" applyFont="1" applyFill="1" applyBorder="1" applyAlignment="1">
      <alignment horizontal="center" vertical="center" wrapText="1"/>
    </xf>
    <xf numFmtId="0" fontId="51" fillId="0" borderId="31" xfId="0" applyNumberFormat="1" applyFont="1" applyBorder="1" applyAlignment="1">
      <alignment horizontal="left" vertical="center" wrapText="1"/>
    </xf>
    <xf numFmtId="0" fontId="51" fillId="0" borderId="26" xfId="0" applyNumberFormat="1" applyFont="1" applyBorder="1" applyAlignment="1">
      <alignment horizontal="left" vertical="center" wrapText="1"/>
    </xf>
    <xf numFmtId="0" fontId="53" fillId="0" borderId="0" xfId="0" applyNumberFormat="1" applyFont="1" applyAlignment="1"/>
    <xf numFmtId="0" fontId="53" fillId="0" borderId="31" xfId="0" applyNumberFormat="1" applyFont="1" applyBorder="1" applyAlignment="1">
      <alignment wrapText="1"/>
    </xf>
    <xf numFmtId="0" fontId="48" fillId="0" borderId="29" xfId="0" applyNumberFormat="1" applyFont="1" applyBorder="1" applyAlignment="1">
      <alignment wrapText="1"/>
    </xf>
    <xf numFmtId="0" fontId="48" fillId="0" borderId="30" xfId="0" applyNumberFormat="1" applyFont="1" applyBorder="1" applyAlignment="1">
      <alignment wrapText="1"/>
    </xf>
    <xf numFmtId="0" fontId="48" fillId="0" borderId="30" xfId="0" applyNumberFormat="1" applyFont="1" applyBorder="1" applyAlignment="1">
      <alignment vertical="center" wrapText="1"/>
    </xf>
    <xf numFmtId="0" fontId="49" fillId="0" borderId="0" xfId="0" applyNumberFormat="1" applyFont="1" applyAlignment="1"/>
    <xf numFmtId="49" fontId="9" fillId="13" borderId="0" xfId="0" applyNumberFormat="1" applyFont="1" applyFill="1" applyAlignment="1">
      <alignment vertical="center" wrapText="1"/>
    </xf>
    <xf numFmtId="49" fontId="11" fillId="24" borderId="0" xfId="0" applyNumberFormat="1" applyFont="1" applyFill="1" applyAlignment="1">
      <alignment vertical="center" wrapText="1"/>
    </xf>
    <xf numFmtId="0" fontId="1" fillId="0" borderId="9" xfId="0" applyNumberFormat="1" applyFont="1" applyBorder="1" applyAlignment="1">
      <alignment horizontal="left" vertical="center" wrapText="1" indent="2"/>
    </xf>
    <xf numFmtId="4" fontId="1" fillId="11" borderId="9" xfId="0" applyNumberFormat="1" applyFont="1" applyFill="1" applyBorder="1" applyAlignment="1" applyProtection="1">
      <alignment horizontal="right" vertical="center"/>
      <protection locked="0"/>
    </xf>
    <xf numFmtId="49" fontId="22" fillId="18" borderId="45" xfId="0" applyNumberFormat="1" applyFont="1" applyFill="1" applyBorder="1" applyAlignment="1">
      <alignment horizontal="left" vertical="center" wrapText="1" indent="1"/>
    </xf>
    <xf numFmtId="0" fontId="1" fillId="0" borderId="9" xfId="0" applyNumberFormat="1" applyFont="1" applyBorder="1" applyAlignment="1">
      <alignment horizontal="left" vertical="center" wrapText="1" indent="1"/>
    </xf>
    <xf numFmtId="49" fontId="24" fillId="21" borderId="29" xfId="0" applyNumberFormat="1" applyFont="1" applyFill="1" applyBorder="1" applyAlignment="1">
      <alignment horizontal="center" vertical="center" wrapText="1"/>
    </xf>
    <xf numFmtId="0" fontId="5" fillId="0" borderId="46" xfId="0" applyNumberFormat="1" applyFont="1" applyBorder="1" applyAlignment="1">
      <alignment vertical="center" wrapText="1"/>
    </xf>
    <xf numFmtId="0" fontId="5" fillId="0" borderId="47" xfId="0" applyNumberFormat="1" applyFont="1" applyBorder="1" applyAlignment="1">
      <alignment horizontal="center" vertical="center"/>
    </xf>
    <xf numFmtId="0" fontId="0" fillId="0" borderId="0" xfId="0" applyNumberFormat="1" applyFont="1" applyAlignment="1">
      <alignment horizontal="center" vertical="center"/>
    </xf>
    <xf numFmtId="49" fontId="0" fillId="0" borderId="0" xfId="0" applyNumberFormat="1" applyFont="1" applyAlignment="1">
      <alignment horizontal="center" vertical="center"/>
    </xf>
    <xf numFmtId="0" fontId="51" fillId="0" borderId="0" xfId="0" applyNumberFormat="1" applyFont="1" applyAlignment="1">
      <alignment horizontal="center" vertical="center" wrapText="1"/>
    </xf>
    <xf numFmtId="49" fontId="48" fillId="0" borderId="0" xfId="0" applyNumberFormat="1" applyFont="1" applyAlignment="1">
      <alignment horizontal="center" vertical="center" wrapText="1"/>
    </xf>
    <xf numFmtId="0" fontId="0" fillId="0" borderId="0" xfId="0" applyNumberFormat="1" applyFont="1" applyAlignment="1">
      <alignment horizontal="center" vertical="center" wrapText="1"/>
    </xf>
    <xf numFmtId="49" fontId="0" fillId="25" borderId="0" xfId="0" applyNumberFormat="1" applyFont="1" applyFill="1" applyAlignment="1">
      <alignment horizontal="center" vertical="center"/>
    </xf>
    <xf numFmtId="49" fontId="0" fillId="0" borderId="0" xfId="0" applyNumberFormat="1" applyFont="1" applyAlignment="1">
      <alignment horizontal="center" vertical="center"/>
    </xf>
    <xf numFmtId="0" fontId="54" fillId="0" borderId="0" xfId="0" applyNumberFormat="1" applyFont="1" applyAlignment="1">
      <alignment horizontal="center" vertical="center"/>
    </xf>
    <xf numFmtId="49" fontId="55" fillId="0" borderId="0" xfId="0" applyNumberFormat="1" applyFont="1" applyAlignment="1">
      <alignment horizontal="center" vertical="center" wrapText="1"/>
    </xf>
    <xf numFmtId="0" fontId="0" fillId="21" borderId="0" xfId="0" applyNumberFormat="1" applyFont="1" applyFill="1" applyAlignment="1">
      <alignment horizontal="center" vertical="center"/>
    </xf>
    <xf numFmtId="0" fontId="0" fillId="21" borderId="0" xfId="0" applyNumberFormat="1" applyFont="1" applyFill="1" applyAlignment="1">
      <alignment horizontal="center" vertical="center"/>
    </xf>
    <xf numFmtId="49" fontId="0" fillId="0" borderId="0" xfId="0" applyNumberFormat="1" applyFont="1" applyAlignment="1">
      <alignment horizontal="center" vertical="center" wrapText="1"/>
    </xf>
    <xf numFmtId="0" fontId="51" fillId="0" borderId="26" xfId="0" applyNumberFormat="1" applyFont="1" applyBorder="1" applyAlignment="1">
      <alignment horizontal="center" vertical="center" wrapText="1"/>
    </xf>
    <xf numFmtId="0" fontId="53" fillId="0" borderId="0" xfId="0" applyNumberFormat="1" applyFont="1" applyAlignment="1">
      <alignment horizontal="center" vertical="center"/>
    </xf>
    <xf numFmtId="0" fontId="48" fillId="0" borderId="30" xfId="0" applyNumberFormat="1" applyFont="1" applyBorder="1" applyAlignment="1">
      <alignment horizontal="center" vertical="center" wrapText="1"/>
    </xf>
    <xf numFmtId="0" fontId="0" fillId="21" borderId="0" xfId="0" applyNumberFormat="1" applyFont="1" applyFill="1" applyAlignment="1">
      <alignment horizontal="center" vertical="center" wrapText="1"/>
    </xf>
    <xf numFmtId="0" fontId="56" fillId="0" borderId="0" xfId="0" applyNumberFormat="1" applyFont="1" applyAlignment="1">
      <alignment horizontal="center" vertical="center"/>
    </xf>
    <xf numFmtId="0" fontId="13" fillId="0" borderId="0" xfId="0" applyNumberFormat="1" applyFont="1" applyAlignment="1">
      <alignment horizontal="center" vertical="center" wrapText="1"/>
    </xf>
    <xf numFmtId="49" fontId="57" fillId="0" borderId="0" xfId="0" applyNumberFormat="1" applyFont="1" applyAlignment="1">
      <alignment horizontal="center" vertical="center" wrapText="1"/>
    </xf>
    <xf numFmtId="0" fontId="3" fillId="21" borderId="0" xfId="0" applyNumberFormat="1" applyFont="1" applyFill="1" applyAlignment="1">
      <alignment horizontal="center" vertical="center"/>
    </xf>
    <xf numFmtId="0" fontId="3" fillId="26" borderId="0" xfId="0" applyNumberFormat="1" applyFont="1" applyFill="1" applyAlignment="1">
      <alignment horizontal="center" vertical="center"/>
    </xf>
    <xf numFmtId="0" fontId="3" fillId="25" borderId="0" xfId="0" applyNumberFormat="1" applyFont="1" applyFill="1" applyAlignment="1">
      <alignment horizontal="center" vertical="center"/>
    </xf>
    <xf numFmtId="0" fontId="1" fillId="0" borderId="48" xfId="0" applyNumberFormat="1" applyFont="1" applyBorder="1" applyAlignment="1">
      <alignment horizontal="center" vertical="center" wrapText="1"/>
    </xf>
    <xf numFmtId="0" fontId="1" fillId="12" borderId="7" xfId="0" applyNumberFormat="1" applyFont="1" applyFill="1" applyBorder="1" applyAlignment="1">
      <alignment horizontal="center" vertical="center" wrapText="1"/>
    </xf>
    <xf numFmtId="0" fontId="1" fillId="12" borderId="0" xfId="0" applyNumberFormat="1" applyFont="1" applyFill="1" applyAlignment="1">
      <alignment horizontal="center" vertical="center" wrapText="1"/>
    </xf>
    <xf numFmtId="0" fontId="1" fillId="0" borderId="0" xfId="0" applyNumberFormat="1" applyFont="1">
      <alignment vertical="top"/>
    </xf>
    <xf numFmtId="0" fontId="3" fillId="0" borderId="49" xfId="0" applyNumberFormat="1" applyFont="1" applyBorder="1" applyAlignment="1">
      <alignment horizontal="center" vertical="center" wrapText="1"/>
    </xf>
    <xf numFmtId="49" fontId="1" fillId="13" borderId="9" xfId="0" applyNumberFormat="1" applyFont="1" applyFill="1" applyBorder="1" applyAlignment="1">
      <alignment horizontal="center" vertical="center" wrapText="1"/>
    </xf>
    <xf numFmtId="49" fontId="22" fillId="18" borderId="50" xfId="0" applyNumberFormat="1" applyFont="1" applyFill="1" applyBorder="1" applyAlignment="1">
      <alignment horizontal="left" vertical="center" wrapText="1" indent="1"/>
    </xf>
    <xf numFmtId="49" fontId="5" fillId="0" borderId="46" xfId="0" applyNumberFormat="1" applyFont="1" applyBorder="1" applyAlignment="1">
      <alignment horizontal="center" vertical="center"/>
    </xf>
    <xf numFmtId="49" fontId="22" fillId="18" borderId="44" xfId="0" applyNumberFormat="1" applyFont="1" applyFill="1" applyBorder="1" applyAlignment="1">
      <alignment horizontal="left" vertical="center" wrapText="1" indent="1"/>
    </xf>
    <xf numFmtId="0" fontId="1" fillId="26" borderId="0" xfId="0" applyNumberFormat="1" applyFont="1" applyFill="1" applyAlignment="1">
      <alignment horizontal="center" vertical="center"/>
    </xf>
    <xf numFmtId="0" fontId="1" fillId="0" borderId="0" xfId="0" applyNumberFormat="1" applyFont="1">
      <alignment vertical="top"/>
    </xf>
    <xf numFmtId="2" fontId="58" fillId="0" borderId="1" xfId="0" applyNumberFormat="1" applyFont="1" applyBorder="1" applyAlignment="1">
      <alignment horizontal="center" vertical="center" wrapText="1"/>
    </xf>
    <xf numFmtId="0" fontId="27" fillId="0" borderId="0" xfId="0" applyNumberFormat="1" applyFont="1" applyAlignment="1">
      <alignment vertical="center"/>
    </xf>
    <xf numFmtId="0" fontId="9" fillId="15" borderId="0" xfId="0" applyNumberFormat="1" applyFont="1" applyFill="1" applyAlignment="1">
      <alignment vertical="center"/>
    </xf>
    <xf numFmtId="49" fontId="9" fillId="15" borderId="0" xfId="0" applyNumberFormat="1" applyFont="1" applyFill="1" applyAlignment="1">
      <alignment vertical="center" wrapText="1"/>
    </xf>
    <xf numFmtId="49" fontId="36" fillId="23" borderId="2" xfId="0" applyNumberFormat="1" applyFont="1" applyFill="1" applyBorder="1" applyAlignment="1">
      <alignment horizontal="left" vertical="center" wrapText="1" indent="1"/>
    </xf>
    <xf numFmtId="0" fontId="30" fillId="23" borderId="0" xfId="0" applyNumberFormat="1" applyFont="1" applyFill="1" applyAlignment="1">
      <alignment vertical="center"/>
    </xf>
    <xf numFmtId="49" fontId="22" fillId="27" borderId="35" xfId="0" applyNumberFormat="1" applyFont="1" applyFill="1" applyBorder="1" applyAlignment="1">
      <alignment horizontal="left" vertical="center" wrapText="1"/>
    </xf>
    <xf numFmtId="49" fontId="22" fillId="27" borderId="33" xfId="0" applyNumberFormat="1" applyFont="1" applyFill="1" applyBorder="1" applyAlignment="1">
      <alignment horizontal="left" vertical="center" wrapText="1"/>
    </xf>
    <xf numFmtId="49" fontId="22" fillId="27" borderId="34" xfId="0" applyNumberFormat="1" applyFont="1" applyFill="1" applyBorder="1" applyAlignment="1">
      <alignment horizontal="left" vertical="center" wrapText="1"/>
    </xf>
    <xf numFmtId="0" fontId="3" fillId="10" borderId="12" xfId="0" applyNumberFormat="1" applyFont="1" applyFill="1" applyBorder="1" applyAlignment="1" applyProtection="1">
      <alignment horizontal="left" vertical="center" wrapText="1" indent="1"/>
      <protection locked="0"/>
    </xf>
    <xf numFmtId="49" fontId="1" fillId="0" borderId="11" xfId="0" applyNumberFormat="1" applyFont="1" applyBorder="1" applyAlignment="1">
      <alignment horizontal="right" vertical="center" wrapText="1" indent="1"/>
    </xf>
    <xf numFmtId="0" fontId="9" fillId="15" borderId="0" xfId="0" applyNumberFormat="1" applyFont="1" applyFill="1" applyAlignment="1">
      <alignment vertical="center" wrapText="1"/>
    </xf>
    <xf numFmtId="0" fontId="3" fillId="0" borderId="12" xfId="0" applyNumberFormat="1" applyFont="1" applyBorder="1" applyAlignment="1">
      <alignment vertical="center" wrapText="1"/>
    </xf>
    <xf numFmtId="0" fontId="1" fillId="0" borderId="36" xfId="0" applyNumberFormat="1" applyFont="1" applyBorder="1" applyAlignment="1">
      <alignment horizontal="center" vertical="center"/>
    </xf>
    <xf numFmtId="0" fontId="3" fillId="0" borderId="37" xfId="0" applyNumberFormat="1" applyFont="1" applyBorder="1" applyAlignment="1">
      <alignment horizontal="center" vertical="center"/>
    </xf>
    <xf numFmtId="49" fontId="1" fillId="12" borderId="2" xfId="0" applyNumberFormat="1" applyFont="1" applyFill="1" applyBorder="1" applyAlignment="1">
      <alignment horizontal="center" vertical="center"/>
    </xf>
    <xf numFmtId="0" fontId="3" fillId="12" borderId="9" xfId="0" applyNumberFormat="1" applyFont="1" applyFill="1" applyBorder="1" applyAlignment="1">
      <alignment horizontal="left" vertical="center" wrapText="1"/>
    </xf>
    <xf numFmtId="0" fontId="3" fillId="12" borderId="2" xfId="0" applyNumberFormat="1" applyFont="1" applyFill="1" applyBorder="1" applyAlignment="1">
      <alignment horizontal="center" vertical="center"/>
    </xf>
    <xf numFmtId="49" fontId="1" fillId="12" borderId="36" xfId="0" applyNumberFormat="1" applyFont="1" applyFill="1" applyBorder="1" applyAlignment="1">
      <alignment horizontal="center" vertical="center"/>
    </xf>
    <xf numFmtId="0" fontId="3" fillId="0" borderId="1" xfId="0" applyNumberFormat="1" applyFont="1" applyBorder="1" applyAlignment="1">
      <alignment horizontal="left" vertical="center" wrapText="1"/>
    </xf>
    <xf numFmtId="0" fontId="3" fillId="0" borderId="12" xfId="0" applyNumberFormat="1" applyFont="1" applyBorder="1" applyAlignment="1">
      <alignment horizontal="center" vertical="center"/>
    </xf>
    <xf numFmtId="0" fontId="3" fillId="0" borderId="1" xfId="0" applyNumberFormat="1" applyFont="1" applyBorder="1" applyAlignment="1">
      <alignment vertical="center" wrapText="1"/>
    </xf>
    <xf numFmtId="2" fontId="3" fillId="11" borderId="2" xfId="0" applyNumberFormat="1" applyFont="1" applyFill="1" applyBorder="1" applyAlignment="1" applyProtection="1">
      <alignment horizontal="right" vertical="center"/>
      <protection locked="0"/>
    </xf>
    <xf numFmtId="0" fontId="1" fillId="0" borderId="10" xfId="0" applyNumberFormat="1" applyFont="1" applyBorder="1" applyAlignment="1">
      <alignment vertical="center" wrapText="1"/>
    </xf>
    <xf numFmtId="4" fontId="1" fillId="11" borderId="5" xfId="0" applyNumberFormat="1" applyFont="1" applyFill="1" applyBorder="1" applyAlignment="1" applyProtection="1">
      <alignment horizontal="right" vertical="center" wrapText="1"/>
      <protection locked="0"/>
    </xf>
    <xf numFmtId="4" fontId="1" fillId="19" borderId="7" xfId="0" applyNumberFormat="1" applyFont="1" applyFill="1" applyBorder="1" applyAlignment="1">
      <alignment vertical="center"/>
    </xf>
    <xf numFmtId="4" fontId="1" fillId="0" borderId="7" xfId="0" applyNumberFormat="1" applyFont="1" applyBorder="1" applyAlignment="1">
      <alignment vertical="center"/>
    </xf>
    <xf numFmtId="4" fontId="1" fillId="19" borderId="1" xfId="0" applyNumberFormat="1" applyFont="1" applyFill="1" applyBorder="1" applyAlignment="1">
      <alignment vertical="center"/>
    </xf>
    <xf numFmtId="4" fontId="1" fillId="0" borderId="1" xfId="0" applyNumberFormat="1" applyFont="1" applyBorder="1" applyAlignment="1">
      <alignment vertical="center"/>
    </xf>
    <xf numFmtId="4" fontId="5" fillId="19" borderId="7" xfId="0" applyNumberFormat="1" applyFont="1" applyFill="1" applyBorder="1" applyAlignment="1">
      <alignment vertical="center"/>
    </xf>
    <xf numFmtId="49" fontId="4" fillId="13" borderId="0" xfId="0" applyNumberFormat="1" applyFont="1" applyFill="1" applyAlignment="1">
      <alignment horizontal="center" vertical="center" wrapText="1"/>
    </xf>
    <xf numFmtId="9" fontId="1" fillId="19" borderId="7" xfId="0" applyNumberFormat="1" applyFont="1" applyFill="1" applyBorder="1" applyAlignment="1">
      <alignment vertical="center"/>
    </xf>
    <xf numFmtId="9" fontId="1" fillId="19" borderId="1" xfId="0" applyNumberFormat="1" applyFont="1" applyFill="1" applyBorder="1" applyAlignment="1">
      <alignment vertical="center"/>
    </xf>
    <xf numFmtId="4" fontId="1" fillId="19" borderId="7" xfId="0" applyNumberFormat="1" applyFont="1" applyFill="1" applyBorder="1" applyAlignment="1">
      <alignment horizontal="right" vertical="center" wrapText="1"/>
    </xf>
    <xf numFmtId="4" fontId="1" fillId="19" borderId="6" xfId="0" applyNumberFormat="1" applyFont="1" applyFill="1" applyBorder="1" applyAlignment="1">
      <alignment vertical="center"/>
    </xf>
    <xf numFmtId="49" fontId="46" fillId="15" borderId="0" xfId="0" applyNumberFormat="1" applyFont="1" applyFill="1">
      <alignment vertical="top"/>
    </xf>
    <xf numFmtId="49" fontId="1" fillId="15" borderId="0" xfId="0" applyNumberFormat="1" applyFont="1" applyFill="1">
      <alignment vertical="top"/>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left" vertical="center" wrapText="1" indent="1"/>
    </xf>
    <xf numFmtId="9" fontId="1" fillId="0" borderId="7" xfId="0" applyNumberFormat="1" applyFont="1" applyBorder="1" applyAlignment="1">
      <alignment vertical="center"/>
    </xf>
    <xf numFmtId="4" fontId="1" fillId="0" borderId="6" xfId="0" applyNumberFormat="1" applyFont="1" applyBorder="1" applyAlignment="1">
      <alignment vertical="center"/>
    </xf>
    <xf numFmtId="4" fontId="1" fillId="0" borderId="8" xfId="0" applyNumberFormat="1" applyFont="1" applyBorder="1" applyAlignment="1">
      <alignment vertical="center"/>
    </xf>
    <xf numFmtId="49" fontId="1" fillId="12" borderId="1" xfId="0" applyNumberFormat="1" applyFont="1" applyFill="1" applyBorder="1" applyAlignment="1">
      <alignment horizontal="center" vertical="center"/>
    </xf>
    <xf numFmtId="2" fontId="4" fillId="19" borderId="1" xfId="0" applyNumberFormat="1" applyFont="1" applyFill="1" applyBorder="1" applyAlignment="1">
      <alignment vertical="center" wrapText="1"/>
    </xf>
    <xf numFmtId="49" fontId="1" fillId="0" borderId="38" xfId="0" applyNumberFormat="1" applyFont="1" applyBorder="1" applyAlignment="1">
      <alignment horizontal="center" vertical="center"/>
    </xf>
    <xf numFmtId="0" fontId="3" fillId="12" borderId="9" xfId="0" applyNumberFormat="1" applyFont="1" applyFill="1" applyBorder="1" applyAlignment="1">
      <alignment horizontal="center" vertical="center"/>
    </xf>
    <xf numFmtId="0" fontId="1" fillId="0" borderId="40" xfId="0" applyNumberFormat="1" applyFont="1" applyBorder="1" applyAlignment="1">
      <alignment horizontal="center" vertical="center"/>
    </xf>
    <xf numFmtId="0" fontId="3" fillId="0" borderId="52" xfId="0" applyNumberFormat="1" applyFont="1" applyBorder="1" applyAlignment="1">
      <alignment vertical="center" wrapText="1"/>
    </xf>
    <xf numFmtId="0" fontId="3" fillId="0" borderId="10" xfId="0" applyNumberFormat="1" applyFont="1" applyBorder="1" applyAlignment="1">
      <alignment horizontal="center" vertical="center"/>
    </xf>
    <xf numFmtId="49" fontId="22" fillId="18" borderId="35" xfId="0" applyNumberFormat="1" applyFont="1" applyFill="1" applyBorder="1" applyAlignment="1">
      <alignment horizontal="left" vertical="center" wrapText="1" indent="1"/>
    </xf>
    <xf numFmtId="49" fontId="22" fillId="18" borderId="1" xfId="0" applyNumberFormat="1" applyFont="1" applyFill="1" applyBorder="1" applyAlignment="1">
      <alignment horizontal="left" vertical="center" indent="1"/>
    </xf>
    <xf numFmtId="9" fontId="1" fillId="19" borderId="6" xfId="0" applyNumberFormat="1" applyFont="1" applyFill="1" applyBorder="1" applyAlignment="1">
      <alignment vertical="center"/>
    </xf>
    <xf numFmtId="49" fontId="22" fillId="18" borderId="37" xfId="0" applyNumberFormat="1" applyFont="1" applyFill="1" applyBorder="1" applyAlignment="1">
      <alignment horizontal="left" vertical="center" wrapText="1" indent="1"/>
    </xf>
    <xf numFmtId="170" fontId="3" fillId="10" borderId="2" xfId="0" applyNumberFormat="1" applyFont="1" applyFill="1" applyBorder="1" applyAlignment="1">
      <alignment horizontal="left" vertical="center" wrapText="1" indent="1"/>
    </xf>
    <xf numFmtId="170" fontId="3" fillId="10" borderId="2" xfId="0" applyNumberFormat="1" applyFont="1" applyFill="1" applyBorder="1" applyAlignment="1" applyProtection="1">
      <alignment horizontal="left" vertical="center" wrapText="1" indent="1"/>
      <protection locked="0"/>
    </xf>
    <xf numFmtId="170" fontId="3" fillId="10" borderId="2" xfId="0" applyNumberFormat="1" applyFont="1" applyFill="1" applyBorder="1" applyAlignment="1">
      <alignment horizontal="left" vertical="center" wrapText="1" indent="2"/>
    </xf>
    <xf numFmtId="0" fontId="0" fillId="25" borderId="0" xfId="0" applyNumberFormat="1" applyFont="1" applyFill="1" applyAlignment="1">
      <alignment horizontal="center" vertical="center"/>
    </xf>
    <xf numFmtId="0" fontId="0" fillId="8" borderId="0" xfId="0" applyNumberFormat="1" applyFont="1" applyFill="1" applyAlignment="1">
      <alignment horizontal="center" vertical="center"/>
    </xf>
    <xf numFmtId="0" fontId="1" fillId="21" borderId="0" xfId="0" applyNumberFormat="1" applyFont="1" applyFill="1" applyAlignment="1">
      <alignment horizontal="center" vertical="center"/>
    </xf>
    <xf numFmtId="0" fontId="45" fillId="23" borderId="0" xfId="0" applyNumberFormat="1" applyFont="1" applyFill="1" applyAlignment="1">
      <alignment horizontal="center" vertical="center" wrapText="1"/>
    </xf>
    <xf numFmtId="0" fontId="1" fillId="23" borderId="0" xfId="0" applyNumberFormat="1" applyFont="1" applyFill="1">
      <alignment vertical="top"/>
    </xf>
    <xf numFmtId="0" fontId="5" fillId="0" borderId="0" xfId="0" applyNumberFormat="1" applyFont="1" applyAlignment="1">
      <alignment vertical="center" wrapText="1"/>
    </xf>
    <xf numFmtId="0" fontId="45" fillId="0" borderId="0" xfId="0" applyNumberFormat="1" applyFont="1" applyAlignment="1">
      <alignment horizontal="center" vertical="center" wrapText="1"/>
    </xf>
    <xf numFmtId="0" fontId="1" fillId="0" borderId="0" xfId="0" applyNumberFormat="1" applyFont="1" applyAlignment="1">
      <alignment vertical="center" wrapText="1"/>
    </xf>
    <xf numFmtId="0" fontId="0" fillId="0" borderId="0" xfId="0" applyNumberFormat="1" applyFont="1" applyAlignment="1">
      <alignment horizontal="center"/>
    </xf>
    <xf numFmtId="0" fontId="40" fillId="0" borderId="0" xfId="0" applyNumberFormat="1" applyFont="1" applyAlignment="1">
      <alignment vertical="center" wrapText="1"/>
    </xf>
    <xf numFmtId="0" fontId="59" fillId="0" borderId="0" xfId="0" applyNumberFormat="1" applyFont="1" applyAlignment="1">
      <alignment horizontal="center" vertical="center" wrapText="1"/>
    </xf>
    <xf numFmtId="0" fontId="40" fillId="0" borderId="0" xfId="0" applyNumberFormat="1" applyFont="1" applyAlignment="1">
      <alignment horizontal="center" vertical="center"/>
    </xf>
    <xf numFmtId="0" fontId="3" fillId="26" borderId="0" xfId="0" applyNumberFormat="1" applyFont="1" applyFill="1" applyAlignment="1">
      <alignment horizontal="center" vertical="center" wrapText="1"/>
    </xf>
    <xf numFmtId="0" fontId="60" fillId="21" borderId="0" xfId="0" applyNumberFormat="1" applyFont="1" applyFill="1" applyAlignment="1">
      <alignment horizontal="center" vertical="center"/>
    </xf>
    <xf numFmtId="0" fontId="0" fillId="21" borderId="0" xfId="0" applyNumberFormat="1" applyFont="1" applyFill="1" applyAlignment="1">
      <alignment horizontal="center" vertical="center"/>
    </xf>
    <xf numFmtId="0" fontId="0" fillId="0" borderId="0" xfId="0" applyNumberFormat="1" applyFont="1" applyAlignment="1">
      <alignment horizontal="center" vertical="center"/>
    </xf>
    <xf numFmtId="0" fontId="40" fillId="0" borderId="0" xfId="0" applyNumberFormat="1" applyFont="1" applyAlignment="1">
      <alignment vertical="center"/>
    </xf>
    <xf numFmtId="0" fontId="0" fillId="25" borderId="0" xfId="0" applyNumberFormat="1" applyFont="1" applyFill="1" applyAlignment="1">
      <alignment horizontal="center" vertical="center"/>
    </xf>
    <xf numFmtId="0" fontId="0" fillId="0" borderId="0" xfId="0" applyNumberFormat="1" applyFont="1" applyAlignment="1">
      <alignment vertical="center"/>
    </xf>
    <xf numFmtId="0" fontId="0" fillId="21" borderId="0" xfId="0" applyNumberFormat="1" applyFont="1" applyFill="1" applyAlignment="1">
      <alignment vertical="center"/>
    </xf>
    <xf numFmtId="0" fontId="12" fillId="0" borderId="0" xfId="0" applyNumberFormat="1" applyFont="1" applyAlignment="1">
      <alignment vertical="center" wrapText="1"/>
    </xf>
    <xf numFmtId="0" fontId="0" fillId="12" borderId="0" xfId="0" applyNumberFormat="1" applyFont="1" applyFill="1" applyAlignment="1">
      <alignment horizontal="center" vertical="center"/>
    </xf>
    <xf numFmtId="0" fontId="12" fillId="12" borderId="0" xfId="0" applyNumberFormat="1" applyFont="1" applyFill="1" applyAlignment="1">
      <alignment vertical="center"/>
    </xf>
    <xf numFmtId="0" fontId="1" fillId="0" borderId="0" xfId="0" applyNumberFormat="1" applyFont="1" applyAlignment="1"/>
    <xf numFmtId="0" fontId="61" fillId="0" borderId="0" xfId="0" applyNumberFormat="1" applyFont="1" applyAlignment="1">
      <alignment horizontal="center" vertical="center"/>
    </xf>
    <xf numFmtId="0" fontId="61" fillId="21" borderId="0" xfId="0" applyNumberFormat="1" applyFont="1" applyFill="1" applyAlignment="1">
      <alignment horizontal="center" vertical="center"/>
    </xf>
    <xf numFmtId="0" fontId="1" fillId="0" borderId="0" xfId="0" applyNumberFormat="1" applyFont="1" applyAlignment="1">
      <alignment horizontal="left" vertical="center" indent="2"/>
    </xf>
    <xf numFmtId="0" fontId="1" fillId="0" borderId="0" xfId="0" applyNumberFormat="1" applyFont="1" applyAlignment="1">
      <alignment horizontal="left" vertical="center"/>
    </xf>
    <xf numFmtId="0" fontId="0" fillId="0" borderId="0" xfId="0" applyNumberFormat="1" applyFont="1" applyAlignment="1">
      <alignment horizontal="left" vertical="center"/>
    </xf>
    <xf numFmtId="0" fontId="27" fillId="0" borderId="0" xfId="0" applyNumberFormat="1" applyFont="1" applyAlignment="1">
      <alignment horizontal="right" vertical="center" wrapText="1"/>
    </xf>
    <xf numFmtId="0" fontId="3" fillId="26" borderId="0" xfId="0" applyNumberFormat="1" applyFont="1" applyFill="1" applyAlignment="1">
      <alignment horizontal="center" vertical="center" wrapText="1"/>
    </xf>
    <xf numFmtId="0" fontId="12" fillId="0" borderId="0" xfId="0" applyNumberFormat="1" applyFont="1" applyAlignment="1">
      <alignment horizontal="center" vertical="center"/>
    </xf>
    <xf numFmtId="0" fontId="1" fillId="26" borderId="0" xfId="0" applyNumberFormat="1" applyFont="1" applyFill="1" applyAlignment="1">
      <alignment horizontal="center" vertical="center"/>
    </xf>
    <xf numFmtId="49" fontId="1" fillId="0" borderId="0" xfId="0" applyNumberFormat="1" applyFont="1" applyAlignment="1">
      <alignment horizontal="center" vertical="center"/>
    </xf>
    <xf numFmtId="49" fontId="3" fillId="0" borderId="0" xfId="0" applyNumberFormat="1" applyFont="1" applyAlignment="1">
      <alignment horizontal="center" vertical="center"/>
    </xf>
    <xf numFmtId="49" fontId="1" fillId="0" borderId="0" xfId="0" applyNumberFormat="1" applyFont="1" applyAlignment="1">
      <alignment horizontal="center" vertical="center"/>
    </xf>
    <xf numFmtId="0" fontId="8" fillId="0" borderId="0" xfId="0" applyNumberFormat="1" applyFont="1" applyAlignment="1">
      <alignment horizontal="center" vertical="center"/>
    </xf>
    <xf numFmtId="0" fontId="40" fillId="0" borderId="0" xfId="0" applyNumberFormat="1" applyFont="1" applyAlignment="1">
      <alignment horizontal="center" vertical="center" wrapText="1"/>
    </xf>
    <xf numFmtId="0" fontId="15" fillId="8" borderId="0" xfId="0" applyNumberFormat="1" applyFont="1" applyFill="1" applyAlignment="1">
      <alignment horizontal="center" vertical="center"/>
    </xf>
    <xf numFmtId="0" fontId="1" fillId="23" borderId="0" xfId="0" applyNumberFormat="1" applyFont="1" applyFill="1" applyAlignment="1">
      <alignment horizontal="center" vertical="center"/>
    </xf>
    <xf numFmtId="0" fontId="1" fillId="8" borderId="0" xfId="0" applyNumberFormat="1" applyFont="1" applyFill="1" applyAlignment="1">
      <alignment horizontal="center" vertical="center"/>
    </xf>
    <xf numFmtId="0" fontId="1" fillId="23" borderId="0" xfId="0" applyNumberFormat="1" applyFont="1" applyFill="1" applyAlignment="1">
      <alignment horizontal="center" vertical="center" wrapText="1"/>
    </xf>
    <xf numFmtId="0" fontId="1" fillId="0" borderId="0" xfId="0" applyNumberFormat="1" applyFont="1" applyAlignment="1">
      <alignment horizontal="center" vertical="center" wrapText="1"/>
    </xf>
    <xf numFmtId="0" fontId="15" fillId="12" borderId="0" xfId="0" applyNumberFormat="1" applyFont="1" applyFill="1" applyAlignment="1">
      <alignment horizontal="center" vertical="center"/>
    </xf>
    <xf numFmtId="0" fontId="3" fillId="12" borderId="0" xfId="0" applyNumberFormat="1" applyFont="1" applyFill="1" applyAlignment="1">
      <alignment horizontal="center" vertical="center"/>
    </xf>
    <xf numFmtId="0" fontId="3" fillId="0" borderId="0" xfId="0" applyNumberFormat="1" applyFont="1" applyAlignment="1">
      <alignment horizontal="center" vertical="center"/>
    </xf>
    <xf numFmtId="0" fontId="3" fillId="8" borderId="0" xfId="0" applyNumberFormat="1" applyFont="1" applyFill="1" applyAlignment="1">
      <alignment horizontal="center" vertical="center"/>
    </xf>
    <xf numFmtId="0" fontId="1" fillId="0" borderId="0" xfId="0" applyNumberFormat="1" applyFont="1" applyAlignment="1">
      <alignment vertical="center"/>
    </xf>
    <xf numFmtId="0" fontId="0" fillId="0" borderId="0" xfId="0" applyNumberFormat="1" applyFont="1" applyAlignment="1">
      <alignment vertical="center" wrapText="1"/>
    </xf>
    <xf numFmtId="0" fontId="0" fillId="21" borderId="0" xfId="0" applyNumberFormat="1" applyFont="1" applyFill="1" applyAlignment="1">
      <alignment vertical="center" wrapText="1"/>
    </xf>
    <xf numFmtId="0" fontId="0" fillId="0" borderId="0" xfId="0" applyNumberFormat="1" applyFont="1" applyAlignment="1">
      <alignment vertical="center"/>
    </xf>
    <xf numFmtId="0" fontId="0" fillId="21" borderId="0" xfId="0" applyNumberFormat="1" applyFont="1" applyFill="1" applyAlignment="1">
      <alignment vertical="center"/>
    </xf>
    <xf numFmtId="49" fontId="1" fillId="0" borderId="0" xfId="0" applyNumberFormat="1" applyFont="1" applyAlignment="1">
      <alignment vertical="center"/>
    </xf>
    <xf numFmtId="0" fontId="1" fillId="0" borderId="0" xfId="0" applyNumberFormat="1" applyFont="1" applyAlignment="1">
      <alignment horizontal="center" vertical="top" wrapText="1"/>
    </xf>
    <xf numFmtId="49" fontId="4" fillId="19" borderId="7" xfId="0" applyNumberFormat="1" applyFont="1" applyFill="1" applyBorder="1" applyAlignment="1">
      <alignment horizontal="left" vertical="center" wrapText="1" indent="1"/>
    </xf>
    <xf numFmtId="49" fontId="4" fillId="0" borderId="7" xfId="0" applyNumberFormat="1" applyFont="1" applyBorder="1" applyAlignment="1">
      <alignment horizontal="left" vertical="center" wrapText="1" indent="1"/>
    </xf>
    <xf numFmtId="49" fontId="1" fillId="0" borderId="1" xfId="0" applyNumberFormat="1" applyFont="1" applyBorder="1" applyAlignment="1">
      <alignment horizontal="center" vertical="center" textRotation="90"/>
    </xf>
    <xf numFmtId="49" fontId="4" fillId="21" borderId="1" xfId="0" applyNumberFormat="1" applyFont="1" applyFill="1" applyBorder="1" applyAlignment="1">
      <alignment horizontal="center" vertical="center" wrapText="1"/>
    </xf>
    <xf numFmtId="49" fontId="1" fillId="0" borderId="53" xfId="0" applyNumberFormat="1" applyFont="1" applyBorder="1">
      <alignment vertical="top"/>
    </xf>
    <xf numFmtId="4" fontId="1" fillId="11" borderId="1" xfId="0" applyNumberFormat="1" applyFont="1" applyFill="1" applyBorder="1" applyAlignment="1" applyProtection="1">
      <alignment vertical="center"/>
      <protection locked="0"/>
    </xf>
    <xf numFmtId="4" fontId="1" fillId="11" borderId="7" xfId="0" applyNumberFormat="1" applyFont="1" applyFill="1" applyBorder="1" applyAlignment="1" applyProtection="1">
      <alignment vertical="center"/>
      <protection locked="0"/>
    </xf>
    <xf numFmtId="9" fontId="1" fillId="11" borderId="7" xfId="0" applyNumberFormat="1" applyFont="1" applyFill="1" applyBorder="1" applyAlignment="1" applyProtection="1">
      <alignment vertical="center"/>
      <protection locked="0"/>
    </xf>
    <xf numFmtId="9" fontId="1" fillId="11" borderId="1" xfId="0" applyNumberFormat="1" applyFont="1" applyFill="1" applyBorder="1" applyAlignment="1" applyProtection="1">
      <alignment vertical="center"/>
      <protection locked="0"/>
    </xf>
    <xf numFmtId="4" fontId="5" fillId="11" borderId="7" xfId="0" applyNumberFormat="1" applyFont="1" applyFill="1" applyBorder="1" applyAlignment="1" applyProtection="1">
      <alignment vertical="center"/>
      <protection locked="0"/>
    </xf>
    <xf numFmtId="49" fontId="22" fillId="18" borderId="13" xfId="0" applyNumberFormat="1" applyFont="1" applyFill="1" applyBorder="1" applyAlignment="1">
      <alignment horizontal="left" vertical="center" indent="1"/>
    </xf>
    <xf numFmtId="49" fontId="22" fillId="18" borderId="17" xfId="0" applyNumberFormat="1" applyFont="1" applyFill="1" applyBorder="1" applyAlignment="1">
      <alignment horizontal="left" vertical="center" indent="1"/>
    </xf>
    <xf numFmtId="0" fontId="1" fillId="0" borderId="0" xfId="0" applyNumberFormat="1" applyFont="1" applyAlignment="1">
      <alignment horizontal="left" vertical="center"/>
    </xf>
    <xf numFmtId="49" fontId="1" fillId="0" borderId="2" xfId="0" applyNumberFormat="1" applyFont="1" applyBorder="1" applyAlignment="1">
      <alignment horizontal="left" vertical="center" wrapText="1"/>
    </xf>
    <xf numFmtId="49" fontId="1" fillId="0" borderId="11" xfId="0" applyNumberFormat="1" applyFont="1" applyBorder="1" applyAlignment="1">
      <alignment horizontal="center" vertical="center" wrapText="1"/>
    </xf>
    <xf numFmtId="0" fontId="27" fillId="8" borderId="0" xfId="0" applyNumberFormat="1" applyFont="1" applyFill="1" applyAlignment="1">
      <alignment horizontal="center" vertical="center"/>
    </xf>
    <xf numFmtId="0" fontId="45" fillId="0" borderId="0" xfId="0" applyNumberFormat="1" applyFont="1" applyAlignment="1">
      <alignment horizontal="right" vertical="center" wrapText="1" indent="1"/>
    </xf>
    <xf numFmtId="0" fontId="3" fillId="0" borderId="0" xfId="0" applyNumberFormat="1" applyFont="1" applyAlignment="1">
      <alignment horizontal="center" vertical="top" wrapText="1"/>
    </xf>
    <xf numFmtId="0" fontId="1" fillId="28" borderId="0" xfId="0" applyNumberFormat="1" applyFont="1" applyFill="1" applyAlignment="1">
      <alignment horizontal="left" vertical="center"/>
    </xf>
    <xf numFmtId="49" fontId="1" fillId="13" borderId="1" xfId="0" applyNumberFormat="1" applyFont="1" applyFill="1" applyBorder="1" applyAlignment="1">
      <alignment horizontal="left" vertical="center" wrapText="1"/>
    </xf>
    <xf numFmtId="49" fontId="1" fillId="15" borderId="0" xfId="0" applyNumberFormat="1" applyFont="1" applyFill="1">
      <alignment vertical="top"/>
    </xf>
    <xf numFmtId="0" fontId="1" fillId="0" borderId="1" xfId="0" applyNumberFormat="1" applyFont="1" applyBorder="1" applyAlignment="1">
      <alignment horizontal="left" vertical="center"/>
    </xf>
    <xf numFmtId="0" fontId="21" fillId="0" borderId="1" xfId="0" applyNumberFormat="1" applyFont="1" applyBorder="1" applyAlignment="1">
      <alignment horizontal="left" vertical="center"/>
    </xf>
    <xf numFmtId="0" fontId="1" fillId="0" borderId="5" xfId="0" applyNumberFormat="1" applyFont="1" applyBorder="1" applyAlignment="1">
      <alignment horizontal="left" vertical="center" wrapText="1" indent="1"/>
    </xf>
    <xf numFmtId="0" fontId="1" fillId="0" borderId="5" xfId="0" applyNumberFormat="1" applyFont="1" applyBorder="1" applyAlignment="1">
      <alignment horizontal="center" vertical="center"/>
    </xf>
    <xf numFmtId="49" fontId="1" fillId="0" borderId="44" xfId="0" applyNumberFormat="1" applyFont="1" applyBorder="1" applyAlignment="1">
      <alignment horizontal="center" vertical="center" wrapText="1"/>
    </xf>
    <xf numFmtId="0" fontId="1" fillId="0" borderId="44" xfId="0" applyNumberFormat="1" applyFont="1" applyBorder="1" applyAlignment="1">
      <alignment horizontal="center" vertical="center"/>
    </xf>
    <xf numFmtId="49" fontId="1" fillId="0" borderId="5" xfId="0" applyNumberFormat="1" applyFont="1" applyBorder="1" applyAlignment="1">
      <alignment horizontal="left" vertical="center" wrapText="1" indent="1"/>
    </xf>
    <xf numFmtId="0" fontId="1" fillId="0" borderId="7" xfId="0" applyNumberFormat="1" applyFont="1" applyBorder="1" applyAlignment="1">
      <alignment horizontal="left" vertical="center" wrapText="1" indent="1"/>
    </xf>
    <xf numFmtId="0" fontId="1" fillId="0" borderId="14" xfId="0" applyNumberFormat="1" applyFont="1" applyBorder="1" applyAlignment="1">
      <alignment horizontal="left" vertical="center" wrapText="1" indent="1"/>
    </xf>
    <xf numFmtId="10" fontId="1" fillId="11" borderId="1" xfId="0" applyNumberFormat="1" applyFont="1" applyFill="1" applyBorder="1" applyAlignment="1" applyProtection="1">
      <alignment vertical="center"/>
      <protection locked="0"/>
    </xf>
    <xf numFmtId="10" fontId="1" fillId="0" borderId="1" xfId="0" applyNumberFormat="1" applyFont="1" applyBorder="1" applyAlignment="1">
      <alignment vertical="center"/>
    </xf>
    <xf numFmtId="2" fontId="1" fillId="11" borderId="1" xfId="0" applyNumberFormat="1" applyFont="1" applyFill="1" applyBorder="1" applyAlignment="1" applyProtection="1">
      <alignment horizontal="right" vertical="center" wrapText="1"/>
      <protection locked="0"/>
    </xf>
    <xf numFmtId="2" fontId="1" fillId="11" borderId="1" xfId="0" applyNumberFormat="1" applyFont="1" applyFill="1" applyBorder="1" applyAlignment="1" applyProtection="1">
      <alignment horizontal="center" vertical="center" wrapText="1"/>
      <protection locked="0"/>
    </xf>
    <xf numFmtId="10" fontId="1" fillId="19" borderId="1" xfId="0" applyNumberFormat="1" applyFont="1" applyFill="1" applyBorder="1" applyAlignment="1">
      <alignment horizontal="right" vertical="center" wrapText="1"/>
    </xf>
    <xf numFmtId="0" fontId="1" fillId="13" borderId="1" xfId="0" applyNumberFormat="1" applyFont="1" applyFill="1" applyBorder="1" applyAlignment="1">
      <alignment horizontal="center" vertical="center" wrapText="1"/>
    </xf>
    <xf numFmtId="4" fontId="1" fillId="11" borderId="1" xfId="0" applyNumberFormat="1" applyFont="1" applyFill="1" applyBorder="1" applyAlignment="1" applyProtection="1">
      <alignment horizontal="right" vertical="center"/>
      <protection locked="0"/>
    </xf>
    <xf numFmtId="0" fontId="21" fillId="0" borderId="1" xfId="0" applyNumberFormat="1" applyFont="1" applyBorder="1" applyAlignment="1">
      <alignment horizontal="right" vertical="center"/>
    </xf>
    <xf numFmtId="0" fontId="1" fillId="0" borderId="1" xfId="0" applyNumberFormat="1" applyFont="1" applyBorder="1" applyAlignment="1">
      <alignment horizontal="right" vertical="center"/>
    </xf>
    <xf numFmtId="4" fontId="1" fillId="11" borderId="7" xfId="0" applyNumberFormat="1" applyFont="1" applyFill="1" applyBorder="1" applyAlignment="1" applyProtection="1">
      <alignment horizontal="right" vertical="center"/>
      <protection locked="0"/>
    </xf>
    <xf numFmtId="49" fontId="25" fillId="21" borderId="36" xfId="0" applyNumberFormat="1" applyFont="1" applyFill="1" applyBorder="1" applyAlignment="1">
      <alignment horizontal="center" vertical="center"/>
    </xf>
    <xf numFmtId="0" fontId="5" fillId="0" borderId="5" xfId="0" applyNumberFormat="1" applyFont="1" applyBorder="1" applyAlignment="1">
      <alignment horizontal="left" vertical="center" wrapText="1"/>
    </xf>
    <xf numFmtId="0" fontId="5" fillId="13" borderId="9" xfId="0" applyNumberFormat="1" applyFont="1" applyFill="1" applyBorder="1" applyAlignment="1">
      <alignment horizontal="center" vertical="center" wrapText="1"/>
    </xf>
    <xf numFmtId="0" fontId="5" fillId="13" borderId="1" xfId="0" applyNumberFormat="1" applyFont="1" applyFill="1" applyBorder="1" applyAlignment="1">
      <alignment horizontal="center" vertical="center" wrapText="1"/>
    </xf>
    <xf numFmtId="0" fontId="62" fillId="0" borderId="0" xfId="0" applyNumberFormat="1" applyFont="1" applyAlignment="1"/>
    <xf numFmtId="0" fontId="1" fillId="12" borderId="1" xfId="0" applyNumberFormat="1" applyFont="1" applyFill="1" applyBorder="1" applyAlignment="1">
      <alignment horizontal="left" vertical="center" wrapText="1" indent="1"/>
    </xf>
    <xf numFmtId="0" fontId="3" fillId="7" borderId="0" xfId="0" applyNumberFormat="1" applyFont="1" applyFill="1" applyAlignment="1">
      <alignment horizontal="center" vertical="center" wrapText="1"/>
    </xf>
    <xf numFmtId="0" fontId="1" fillId="0" borderId="2" xfId="0" applyNumberFormat="1" applyFont="1" applyBorder="1" applyAlignment="1">
      <alignment horizontal="left" vertical="center" wrapText="1"/>
    </xf>
    <xf numFmtId="49" fontId="1" fillId="12" borderId="13" xfId="0" applyNumberFormat="1" applyFont="1" applyFill="1" applyBorder="1" applyAlignment="1">
      <alignment horizontal="left" vertical="center" wrapText="1"/>
    </xf>
    <xf numFmtId="4" fontId="3" fillId="11" borderId="7" xfId="0" applyNumberFormat="1" applyFont="1" applyFill="1" applyBorder="1" applyAlignment="1" applyProtection="1">
      <alignment horizontal="right" vertical="center"/>
      <protection locked="0"/>
    </xf>
    <xf numFmtId="49" fontId="4" fillId="13" borderId="1" xfId="0" applyNumberFormat="1" applyFont="1" applyFill="1" applyBorder="1" applyAlignment="1">
      <alignment horizontal="left" vertical="center" wrapText="1" indent="3"/>
    </xf>
    <xf numFmtId="49" fontId="1" fillId="0" borderId="40" xfId="0" applyNumberFormat="1" applyFont="1" applyBorder="1" applyAlignment="1">
      <alignment horizontal="left" vertical="center" wrapText="1" indent="1"/>
    </xf>
    <xf numFmtId="49" fontId="1" fillId="0" borderId="2" xfId="0" applyNumberFormat="1" applyFont="1" applyBorder="1" applyAlignment="1">
      <alignment vertical="center" wrapText="1"/>
    </xf>
    <xf numFmtId="49" fontId="1" fillId="0" borderId="9" xfId="0" applyNumberFormat="1" applyFont="1" applyBorder="1" applyAlignment="1">
      <alignment horizontal="left" vertical="center" wrapText="1" indent="2"/>
    </xf>
    <xf numFmtId="4" fontId="1" fillId="0" borderId="1" xfId="0" applyNumberFormat="1" applyFont="1" applyBorder="1" applyAlignment="1">
      <alignment horizontal="right" vertical="center" wrapText="1"/>
    </xf>
    <xf numFmtId="49" fontId="25" fillId="18" borderId="54" xfId="0" applyNumberFormat="1" applyFont="1" applyFill="1" applyBorder="1" applyAlignment="1">
      <alignment horizontal="left" vertical="center" indent="1"/>
    </xf>
    <xf numFmtId="49" fontId="25" fillId="18" borderId="1" xfId="0" applyNumberFormat="1" applyFont="1" applyFill="1" applyBorder="1" applyAlignment="1">
      <alignment horizontal="left" vertical="center" indent="1"/>
    </xf>
    <xf numFmtId="2" fontId="1" fillId="0" borderId="2" xfId="0" applyNumberFormat="1" applyFont="1" applyBorder="1" applyAlignment="1">
      <alignment horizontal="left" vertical="center" wrapText="1"/>
    </xf>
    <xf numFmtId="49" fontId="1" fillId="0" borderId="55" xfId="0" applyNumberFormat="1" applyFont="1" applyBorder="1" applyAlignment="1">
      <alignment horizontal="left" vertical="center" wrapText="1" indent="1"/>
    </xf>
    <xf numFmtId="2" fontId="1" fillId="0" borderId="1" xfId="0" applyNumberFormat="1" applyFont="1" applyBorder="1" applyAlignment="1">
      <alignment horizontal="left" vertical="center" wrapText="1"/>
    </xf>
    <xf numFmtId="49" fontId="5" fillId="0" borderId="15" xfId="0" applyNumberFormat="1" applyFont="1" applyBorder="1" applyAlignment="1">
      <alignment horizontal="center" vertical="center" wrapText="1"/>
    </xf>
    <xf numFmtId="49" fontId="5" fillId="0" borderId="15" xfId="0" applyNumberFormat="1" applyFont="1" applyBorder="1" applyAlignment="1">
      <alignment horizontal="left" vertical="center" wrapText="1"/>
    </xf>
    <xf numFmtId="49" fontId="1" fillId="0" borderId="41"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15" xfId="0" applyNumberFormat="1" applyFont="1" applyBorder="1" applyAlignment="1">
      <alignment horizontal="left" vertical="center" wrapText="1" indent="1"/>
    </xf>
    <xf numFmtId="49" fontId="1" fillId="0" borderId="15" xfId="0" applyNumberFormat="1" applyFont="1" applyBorder="1" applyAlignment="1">
      <alignment horizontal="left" vertical="center" wrapText="1" indent="2"/>
    </xf>
    <xf numFmtId="49" fontId="5" fillId="0" borderId="42" xfId="0" applyNumberFormat="1" applyFont="1" applyBorder="1" applyAlignment="1">
      <alignment horizontal="center" vertical="center" wrapText="1"/>
    </xf>
    <xf numFmtId="49" fontId="5" fillId="0" borderId="42" xfId="0" applyNumberFormat="1" applyFont="1" applyBorder="1" applyAlignment="1">
      <alignment horizontal="left" vertical="center" wrapText="1"/>
    </xf>
    <xf numFmtId="49" fontId="1" fillId="0" borderId="56" xfId="0" applyNumberFormat="1" applyFont="1" applyBorder="1" applyAlignment="1">
      <alignment horizontal="center" vertical="center" wrapText="1"/>
    </xf>
    <xf numFmtId="49" fontId="1" fillId="0" borderId="42" xfId="0" applyNumberFormat="1" applyFont="1" applyBorder="1" applyAlignment="1">
      <alignment horizontal="center" vertical="center" wrapText="1"/>
    </xf>
    <xf numFmtId="4" fontId="3" fillId="11" borderId="14" xfId="0" applyNumberFormat="1" applyFont="1" applyFill="1" applyBorder="1" applyAlignment="1" applyProtection="1">
      <alignment horizontal="right" vertical="center"/>
      <protection locked="0"/>
    </xf>
    <xf numFmtId="169" fontId="1" fillId="0" borderId="2" xfId="0" applyNumberFormat="1" applyFont="1" applyBorder="1" applyAlignment="1">
      <alignment vertical="center"/>
    </xf>
    <xf numFmtId="0" fontId="1" fillId="0" borderId="36" xfId="0" applyNumberFormat="1" applyFont="1" applyBorder="1" applyAlignment="1">
      <alignment horizontal="center" vertical="center" wrapText="1"/>
    </xf>
    <xf numFmtId="0" fontId="1" fillId="0" borderId="49" xfId="0" applyNumberFormat="1" applyFont="1" applyBorder="1" applyAlignment="1">
      <alignment horizontal="left" vertical="center" indent="1"/>
    </xf>
    <xf numFmtId="0" fontId="1" fillId="0" borderId="4" xfId="0" applyNumberFormat="1" applyFont="1" applyBorder="1" applyAlignment="1">
      <alignment horizontal="left" vertical="center" indent="1"/>
    </xf>
    <xf numFmtId="49" fontId="22" fillId="18" borderId="57" xfId="0" applyNumberFormat="1" applyFont="1" applyFill="1" applyBorder="1" applyAlignment="1">
      <alignment horizontal="left" vertical="center" wrapText="1" indent="1"/>
    </xf>
    <xf numFmtId="49" fontId="4" fillId="19" borderId="13" xfId="0" applyNumberFormat="1" applyFont="1" applyFill="1" applyBorder="1" applyAlignment="1">
      <alignment horizontal="left" vertical="center" wrapText="1" indent="1"/>
    </xf>
    <xf numFmtId="49" fontId="4" fillId="0" borderId="8"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49" fontId="22" fillId="18" borderId="13" xfId="0" applyNumberFormat="1" applyFont="1" applyFill="1" applyBorder="1" applyAlignment="1">
      <alignment vertical="center"/>
    </xf>
    <xf numFmtId="0" fontId="1" fillId="0" borderId="15" xfId="0" applyNumberFormat="1" applyFont="1" applyBorder="1" applyAlignment="1">
      <alignment horizontal="center" vertical="center" wrapText="1"/>
    </xf>
    <xf numFmtId="4" fontId="1" fillId="0" borderId="5" xfId="0" applyNumberFormat="1" applyFont="1" applyBorder="1" applyAlignment="1">
      <alignment horizontal="right" vertical="center" wrapText="1"/>
    </xf>
    <xf numFmtId="49" fontId="25" fillId="18" borderId="58" xfId="0" applyNumberFormat="1" applyFont="1" applyFill="1" applyBorder="1" applyAlignment="1">
      <alignment horizontal="left" vertical="center" indent="1"/>
    </xf>
    <xf numFmtId="49" fontId="22" fillId="18" borderId="29" xfId="0" applyNumberFormat="1" applyFont="1" applyFill="1" applyBorder="1" applyAlignment="1">
      <alignment horizontal="left" vertical="center" indent="1"/>
    </xf>
    <xf numFmtId="49" fontId="25" fillId="18" borderId="8" xfId="0" applyNumberFormat="1" applyFont="1" applyFill="1" applyBorder="1" applyAlignment="1">
      <alignment horizontal="left" vertical="center" indent="1"/>
    </xf>
    <xf numFmtId="0" fontId="3" fillId="0" borderId="8" xfId="0" applyNumberFormat="1" applyFont="1" applyBorder="1" applyAlignment="1">
      <alignment horizontal="left" vertical="center" wrapText="1"/>
    </xf>
    <xf numFmtId="49" fontId="1" fillId="13" borderId="8" xfId="0" applyNumberFormat="1" applyFont="1" applyFill="1" applyBorder="1" applyAlignment="1">
      <alignment vertical="center" wrapText="1"/>
    </xf>
    <xf numFmtId="49" fontId="5" fillId="13" borderId="8" xfId="0" applyNumberFormat="1" applyFont="1" applyFill="1" applyBorder="1" applyAlignment="1">
      <alignment vertical="center" wrapText="1"/>
    </xf>
    <xf numFmtId="0" fontId="22" fillId="18" borderId="12" xfId="0" applyNumberFormat="1" applyFont="1" applyFill="1" applyBorder="1" applyAlignment="1">
      <alignment horizontal="left" vertical="center" wrapText="1" indent="1"/>
    </xf>
    <xf numFmtId="0" fontId="21" fillId="17" borderId="26" xfId="0" applyNumberFormat="1" applyFont="1" applyFill="1" applyBorder="1" applyAlignment="1">
      <alignment horizontal="left" vertical="center" wrapText="1"/>
    </xf>
    <xf numFmtId="0" fontId="1" fillId="21" borderId="7" xfId="0" applyNumberFormat="1" applyFont="1" applyFill="1" applyBorder="1" applyAlignment="1">
      <alignment horizontal="left" vertical="center"/>
    </xf>
    <xf numFmtId="0" fontId="22" fillId="18" borderId="59" xfId="0" applyNumberFormat="1" applyFont="1" applyFill="1" applyBorder="1" applyAlignment="1">
      <alignment horizontal="left" vertical="center" wrapText="1" indent="1"/>
    </xf>
    <xf numFmtId="0" fontId="1" fillId="21" borderId="6" xfId="0" applyNumberFormat="1" applyFont="1" applyFill="1" applyBorder="1" applyAlignment="1">
      <alignment horizontal="left" vertical="center"/>
    </xf>
    <xf numFmtId="0" fontId="22" fillId="18" borderId="14" xfId="0" applyNumberFormat="1" applyFont="1" applyFill="1" applyBorder="1" applyAlignment="1">
      <alignment horizontal="left" vertical="center" wrapText="1" indent="1"/>
    </xf>
    <xf numFmtId="0" fontId="22" fillId="18" borderId="7" xfId="0" applyNumberFormat="1" applyFont="1" applyFill="1" applyBorder="1" applyAlignment="1">
      <alignment horizontal="left" vertical="center" wrapText="1" indent="1"/>
    </xf>
    <xf numFmtId="0" fontId="26" fillId="17" borderId="17" xfId="0" applyNumberFormat="1" applyFont="1" applyFill="1" applyBorder="1" applyAlignment="1">
      <alignment horizontal="right" vertical="center"/>
    </xf>
    <xf numFmtId="0" fontId="3" fillId="18" borderId="17" xfId="0" applyNumberFormat="1" applyFont="1" applyFill="1" applyBorder="1" applyAlignment="1">
      <alignment horizontal="right" vertical="center"/>
    </xf>
    <xf numFmtId="0" fontId="3" fillId="18" borderId="7" xfId="0" applyNumberFormat="1" applyFont="1" applyFill="1" applyBorder="1" applyAlignment="1">
      <alignment horizontal="right" vertical="center"/>
    </xf>
    <xf numFmtId="0" fontId="22" fillId="18" borderId="17" xfId="0" applyNumberFormat="1" applyFont="1" applyFill="1" applyBorder="1" applyAlignment="1">
      <alignment horizontal="left" vertical="center" wrapText="1" indent="1"/>
    </xf>
    <xf numFmtId="4" fontId="1" fillId="0" borderId="2" xfId="0" applyNumberFormat="1" applyFont="1" applyBorder="1" applyAlignment="1">
      <alignment vertical="center"/>
    </xf>
    <xf numFmtId="49" fontId="1" fillId="12" borderId="1" xfId="0" applyNumberFormat="1" applyFont="1" applyFill="1" applyBorder="1" applyAlignment="1">
      <alignment vertical="center" wrapText="1"/>
    </xf>
    <xf numFmtId="0" fontId="51" fillId="0" borderId="31" xfId="0" applyNumberFormat="1" applyFont="1" applyBorder="1" applyAlignment="1">
      <alignment horizontal="left" vertical="center" wrapText="1"/>
    </xf>
    <xf numFmtId="0" fontId="1" fillId="29" borderId="1" xfId="0" applyNumberFormat="1" applyFont="1" applyFill="1" applyBorder="1" applyAlignment="1">
      <alignment horizontal="center" vertical="center" wrapText="1"/>
    </xf>
    <xf numFmtId="0" fontId="63" fillId="0" borderId="0" xfId="0" applyNumberFormat="1" applyFont="1" applyAlignment="1">
      <alignment vertical="top" wrapText="1"/>
    </xf>
    <xf numFmtId="0" fontId="1" fillId="30" borderId="1" xfId="0" applyNumberFormat="1" applyFont="1" applyFill="1" applyBorder="1" applyAlignment="1">
      <alignment horizontal="center" vertical="center" wrapText="1"/>
    </xf>
    <xf numFmtId="0" fontId="48" fillId="0" borderId="31" xfId="0" applyNumberFormat="1" applyFont="1" applyBorder="1" applyAlignment="1">
      <alignment wrapText="1"/>
    </xf>
    <xf numFmtId="0" fontId="1" fillId="30" borderId="2" xfId="0" applyNumberFormat="1" applyFont="1" applyFill="1" applyBorder="1" applyAlignment="1">
      <alignment horizontal="left" vertical="center" wrapText="1" indent="1"/>
    </xf>
    <xf numFmtId="49" fontId="1" fillId="30" borderId="2" xfId="0" applyNumberFormat="1" applyFont="1" applyFill="1" applyBorder="1" applyAlignment="1">
      <alignment horizontal="left" vertical="center" wrapText="1" indent="1"/>
    </xf>
    <xf numFmtId="0" fontId="45" fillId="0" borderId="0" xfId="0" applyNumberFormat="1" applyFont="1" applyAlignment="1">
      <alignment horizontal="center" vertical="center"/>
    </xf>
    <xf numFmtId="49" fontId="1" fillId="0" borderId="29" xfId="0" applyNumberFormat="1" applyFont="1" applyBorder="1" applyAlignment="1">
      <alignment horizontal="center" vertical="center" wrapText="1"/>
    </xf>
    <xf numFmtId="49" fontId="1" fillId="0" borderId="5" xfId="0" applyNumberFormat="1" applyFont="1" applyBorder="1" applyAlignment="1">
      <alignment horizontal="center" vertical="center"/>
    </xf>
    <xf numFmtId="49" fontId="64" fillId="18" borderId="34" xfId="0" applyNumberFormat="1" applyFont="1" applyFill="1" applyBorder="1" applyAlignment="1">
      <alignment horizontal="right" vertical="center" wrapText="1" indent="1"/>
    </xf>
    <xf numFmtId="49" fontId="1" fillId="0" borderId="0" xfId="0" applyNumberFormat="1" applyFont="1" applyAlignment="1">
      <alignment horizontal="center" vertical="center"/>
    </xf>
    <xf numFmtId="0" fontId="3" fillId="31" borderId="0" xfId="0" applyNumberFormat="1" applyFont="1" applyFill="1" applyAlignment="1">
      <alignment horizontal="left" vertical="center"/>
    </xf>
    <xf numFmtId="0" fontId="3" fillId="31" borderId="0" xfId="0" applyNumberFormat="1" applyFont="1" applyFill="1" applyAlignment="1">
      <alignment horizontal="center" vertical="center"/>
    </xf>
    <xf numFmtId="0" fontId="1" fillId="31" borderId="0" xfId="0" applyNumberFormat="1" applyFont="1" applyFill="1" applyAlignment="1">
      <alignment horizontal="center" vertical="center"/>
    </xf>
    <xf numFmtId="0" fontId="0" fillId="31" borderId="0" xfId="0" applyNumberFormat="1" applyFont="1" applyFill="1" applyAlignment="1">
      <alignment horizontal="center" vertical="center"/>
    </xf>
    <xf numFmtId="0" fontId="1" fillId="21" borderId="0" xfId="0" applyNumberFormat="1" applyFont="1" applyFill="1" applyAlignment="1">
      <alignment horizontal="center" vertical="center" wrapText="1"/>
    </xf>
    <xf numFmtId="0" fontId="1" fillId="21" borderId="0" xfId="0" applyNumberFormat="1" applyFont="1" applyFill="1" applyAlignment="1">
      <alignment vertical="center" wrapText="1"/>
    </xf>
    <xf numFmtId="0" fontId="1" fillId="31" borderId="0" xfId="0" applyNumberFormat="1" applyFont="1" applyFill="1" applyAlignment="1">
      <alignment horizontal="center"/>
    </xf>
    <xf numFmtId="0" fontId="1" fillId="2" borderId="0" xfId="0" applyNumberFormat="1" applyFont="1" applyFill="1" applyAlignment="1">
      <alignment horizontal="left" vertical="center"/>
    </xf>
    <xf numFmtId="0" fontId="0" fillId="2" borderId="0" xfId="0" applyNumberFormat="1" applyFont="1" applyFill="1" applyAlignment="1">
      <alignment horizontal="center" vertical="center"/>
    </xf>
    <xf numFmtId="0" fontId="1" fillId="2" borderId="0" xfId="0" applyNumberFormat="1" applyFont="1" applyFill="1" applyAlignment="1">
      <alignment horizontal="center" vertical="center"/>
    </xf>
    <xf numFmtId="0" fontId="1" fillId="2" borderId="0" xfId="0" applyNumberFormat="1" applyFont="1" applyFill="1" applyAlignment="1">
      <alignment horizontal="center" vertical="center" wrapText="1"/>
    </xf>
    <xf numFmtId="0" fontId="0" fillId="2" borderId="0" xfId="0" applyNumberFormat="1" applyFont="1" applyFill="1" applyAlignment="1">
      <alignment horizontal="center" vertical="center" wrapText="1"/>
    </xf>
    <xf numFmtId="0" fontId="1" fillId="2" borderId="0" xfId="0" applyNumberFormat="1" applyFont="1" applyFill="1" applyAlignment="1">
      <alignment vertical="center" wrapText="1"/>
    </xf>
    <xf numFmtId="0" fontId="3" fillId="2" borderId="0" xfId="0" applyNumberFormat="1" applyFont="1" applyFill="1" applyAlignment="1">
      <alignment horizontal="center"/>
    </xf>
    <xf numFmtId="0" fontId="3" fillId="2" borderId="0" xfId="0" applyNumberFormat="1" applyFont="1" applyFill="1" applyAlignment="1"/>
    <xf numFmtId="0" fontId="3" fillId="21" borderId="0" xfId="0" applyNumberFormat="1" applyFont="1" applyFill="1" applyAlignment="1"/>
    <xf numFmtId="0" fontId="1" fillId="2" borderId="0" xfId="0" applyNumberFormat="1" applyFont="1" applyFill="1" applyAlignment="1"/>
    <xf numFmtId="0" fontId="1" fillId="21" borderId="0" xfId="0" applyNumberFormat="1" applyFont="1" applyFill="1" applyAlignment="1"/>
    <xf numFmtId="0" fontId="1" fillId="2" borderId="0" xfId="0" applyNumberFormat="1" applyFont="1" applyFill="1" applyAlignment="1">
      <alignment vertical="center"/>
    </xf>
    <xf numFmtId="0" fontId="0" fillId="2" borderId="0" xfId="0" applyNumberFormat="1" applyFont="1" applyFill="1" applyAlignment="1">
      <alignment horizontal="left" vertical="center"/>
    </xf>
    <xf numFmtId="0" fontId="3" fillId="2" borderId="0" xfId="0" applyNumberFormat="1" applyFont="1" applyFill="1" applyAlignment="1">
      <alignment horizontal="left" vertical="center"/>
    </xf>
    <xf numFmtId="0" fontId="3" fillId="2" borderId="0" xfId="0" applyNumberFormat="1" applyFont="1" applyFill="1" applyAlignment="1">
      <alignment horizontal="center" vertical="center"/>
    </xf>
    <xf numFmtId="0" fontId="40" fillId="2" borderId="0" xfId="0" applyNumberFormat="1" applyFont="1" applyFill="1" applyAlignment="1">
      <alignment horizontal="center" vertical="center"/>
    </xf>
    <xf numFmtId="0" fontId="3" fillId="2" borderId="0" xfId="0" applyNumberFormat="1" applyFont="1" applyFill="1" applyAlignment="1">
      <alignment horizontal="center" vertical="center" wrapText="1"/>
    </xf>
    <xf numFmtId="0" fontId="3" fillId="21" borderId="0" xfId="0" applyNumberFormat="1" applyFont="1" applyFill="1" applyAlignment="1">
      <alignment horizontal="left" vertical="center"/>
    </xf>
    <xf numFmtId="0" fontId="0" fillId="21" borderId="0" xfId="0" applyNumberFormat="1" applyFont="1" applyFill="1" applyAlignment="1">
      <alignment horizontal="left" vertical="center"/>
    </xf>
    <xf numFmtId="0" fontId="3" fillId="2" borderId="0" xfId="0" applyNumberFormat="1" applyFont="1" applyFill="1" applyAlignment="1">
      <alignment horizontal="left" vertical="center" wrapText="1"/>
    </xf>
    <xf numFmtId="0" fontId="3" fillId="21" borderId="0" xfId="0" applyNumberFormat="1" applyFont="1" applyFill="1" applyAlignment="1">
      <alignment horizontal="left" vertical="center" wrapText="1"/>
    </xf>
    <xf numFmtId="0" fontId="40" fillId="31" borderId="0" xfId="0" applyNumberFormat="1" applyFont="1" applyFill="1" applyAlignment="1">
      <alignment horizontal="center" vertical="center"/>
    </xf>
    <xf numFmtId="0" fontId="3" fillId="31" borderId="0" xfId="0" applyNumberFormat="1" applyFont="1" applyFill="1" applyAlignment="1">
      <alignment horizontal="center"/>
    </xf>
    <xf numFmtId="0" fontId="1" fillId="2" borderId="0" xfId="0" applyNumberFormat="1" applyFont="1" applyFill="1" applyAlignment="1">
      <alignment horizontal="left" vertical="center"/>
    </xf>
    <xf numFmtId="0" fontId="1" fillId="2" borderId="0" xfId="0" applyNumberFormat="1" applyFont="1" applyFill="1" applyAlignment="1">
      <alignment horizontal="center" vertical="center"/>
    </xf>
    <xf numFmtId="0" fontId="1" fillId="2" borderId="0" xfId="0" applyNumberFormat="1" applyFont="1" applyFill="1" applyAlignment="1">
      <alignment horizontal="left" vertical="top"/>
    </xf>
    <xf numFmtId="0" fontId="1" fillId="2" borderId="0" xfId="0" applyNumberFormat="1" applyFont="1" applyFill="1" applyAlignment="1">
      <alignment vertical="center"/>
    </xf>
    <xf numFmtId="0" fontId="1" fillId="21" borderId="0" xfId="0" applyNumberFormat="1" applyFont="1" applyFill="1" applyAlignment="1">
      <alignment horizontal="center" vertical="center"/>
    </xf>
    <xf numFmtId="0" fontId="0" fillId="2" borderId="0" xfId="0" applyNumberFormat="1" applyFont="1" applyFill="1" applyAlignment="1">
      <alignment horizontal="left" vertical="top"/>
    </xf>
    <xf numFmtId="0" fontId="1" fillId="21" borderId="0" xfId="0" applyNumberFormat="1" applyFont="1" applyFill="1" applyAlignment="1">
      <alignment vertical="center"/>
    </xf>
    <xf numFmtId="0" fontId="1" fillId="2" borderId="0" xfId="0" applyNumberFormat="1" applyFont="1" applyFill="1">
      <alignment vertical="top"/>
    </xf>
    <xf numFmtId="0" fontId="1" fillId="21" borderId="0" xfId="0" applyNumberFormat="1" applyFont="1" applyFill="1">
      <alignment vertical="top"/>
    </xf>
    <xf numFmtId="0" fontId="1" fillId="2" borderId="0" xfId="0" applyNumberFormat="1" applyFont="1" applyFill="1" applyAlignment="1">
      <alignment horizontal="left" vertical="top"/>
    </xf>
    <xf numFmtId="0" fontId="1" fillId="21" borderId="0" xfId="0" applyNumberFormat="1" applyFont="1" applyFill="1" applyAlignment="1">
      <alignment vertical="center"/>
    </xf>
    <xf numFmtId="49" fontId="1" fillId="2" borderId="0" xfId="0" applyNumberFormat="1" applyFont="1" applyFill="1">
      <alignment vertical="top"/>
    </xf>
    <xf numFmtId="0" fontId="3" fillId="2" borderId="0" xfId="0" applyNumberFormat="1" applyFont="1" applyFill="1" applyAlignment="1">
      <alignment horizontal="left" vertical="top"/>
    </xf>
    <xf numFmtId="0" fontId="3" fillId="2" borderId="0" xfId="0" applyNumberFormat="1" applyFont="1" applyFill="1" applyAlignment="1">
      <alignment vertical="center"/>
    </xf>
    <xf numFmtId="0" fontId="40" fillId="2" borderId="0" xfId="0" applyNumberFormat="1" applyFont="1" applyFill="1" applyAlignment="1">
      <alignment vertical="center"/>
    </xf>
    <xf numFmtId="0" fontId="3" fillId="21" borderId="0" xfId="0" applyNumberFormat="1" applyFont="1" applyFill="1" applyAlignment="1">
      <alignment horizontal="left" vertical="top"/>
    </xf>
    <xf numFmtId="0" fontId="0" fillId="21" borderId="0" xfId="0" applyNumberFormat="1" applyFont="1" applyFill="1" applyAlignment="1">
      <alignment horizontal="left" vertical="top"/>
    </xf>
    <xf numFmtId="0" fontId="1" fillId="21" borderId="0" xfId="0" applyNumberFormat="1" applyFont="1" applyFill="1" applyAlignment="1">
      <alignment horizontal="left" vertical="top"/>
    </xf>
    <xf numFmtId="0" fontId="3" fillId="2" borderId="0" xfId="0" applyNumberFormat="1" applyFont="1" applyFill="1" applyAlignment="1">
      <alignment horizontal="left" vertical="top" wrapText="1"/>
    </xf>
    <xf numFmtId="0" fontId="3" fillId="21" borderId="0" xfId="0" applyNumberFormat="1" applyFont="1" applyFill="1" applyAlignment="1">
      <alignment horizontal="left" vertical="top" wrapText="1"/>
    </xf>
    <xf numFmtId="0" fontId="9" fillId="2" borderId="0" xfId="0" applyNumberFormat="1" applyFont="1" applyFill="1" applyAlignment="1">
      <alignment horizontal="left" vertical="top"/>
    </xf>
    <xf numFmtId="0" fontId="9" fillId="21" borderId="0" xfId="0" applyNumberFormat="1" applyFont="1" applyFill="1" applyAlignment="1">
      <alignment horizontal="left" vertical="top"/>
    </xf>
    <xf numFmtId="0" fontId="9" fillId="2" borderId="0" xfId="0" applyNumberFormat="1" applyFont="1" applyFill="1" applyAlignment="1">
      <alignment horizontal="center" vertical="center"/>
    </xf>
    <xf numFmtId="0" fontId="12" fillId="2" borderId="0" xfId="0" applyNumberFormat="1" applyFont="1" applyFill="1" applyAlignment="1">
      <alignment horizontal="center" vertical="center"/>
    </xf>
    <xf numFmtId="0" fontId="9" fillId="2" borderId="0" xfId="0" applyNumberFormat="1" applyFont="1" applyFill="1" applyAlignment="1">
      <alignment vertical="center"/>
    </xf>
    <xf numFmtId="0" fontId="12" fillId="2" borderId="0" xfId="0" applyNumberFormat="1" applyFont="1" applyFill="1" applyAlignment="1">
      <alignment vertical="center"/>
    </xf>
    <xf numFmtId="0" fontId="3" fillId="2" borderId="0" xfId="0" applyNumberFormat="1" applyFont="1" applyFill="1" applyAlignment="1">
      <alignment horizontal="left" vertical="center"/>
    </xf>
    <xf numFmtId="0" fontId="0" fillId="2" borderId="0" xfId="0" applyNumberFormat="1" applyFont="1" applyFill="1" applyAlignment="1">
      <alignment horizontal="center" vertical="center"/>
    </xf>
    <xf numFmtId="0" fontId="3" fillId="2" borderId="0" xfId="0" applyNumberFormat="1" applyFont="1" applyFill="1" applyAlignment="1">
      <alignment horizontal="center" vertical="center"/>
    </xf>
    <xf numFmtId="0" fontId="40" fillId="2" borderId="0" xfId="0" applyNumberFormat="1" applyFont="1" applyFill="1" applyAlignment="1">
      <alignment horizontal="center" vertical="center"/>
    </xf>
    <xf numFmtId="0" fontId="3" fillId="2" borderId="0" xfId="0" applyNumberFormat="1" applyFont="1" applyFill="1" applyAlignment="1">
      <alignment horizontal="left" vertical="top"/>
    </xf>
    <xf numFmtId="0" fontId="3" fillId="2" borderId="0" xfId="0" applyNumberFormat="1" applyFont="1" applyFill="1" applyAlignment="1">
      <alignment vertical="center"/>
    </xf>
    <xf numFmtId="0" fontId="40" fillId="2" borderId="0" xfId="0" applyNumberFormat="1" applyFont="1" applyFill="1" applyAlignment="1">
      <alignment vertical="center"/>
    </xf>
    <xf numFmtId="0" fontId="0" fillId="2" borderId="0" xfId="0" applyNumberFormat="1" applyFont="1" applyFill="1" applyAlignment="1">
      <alignment horizontal="left" vertical="top"/>
    </xf>
    <xf numFmtId="0" fontId="9" fillId="2" borderId="0" xfId="0" applyNumberFormat="1" applyFont="1" applyFill="1">
      <alignment vertical="top"/>
    </xf>
    <xf numFmtId="0" fontId="9" fillId="21" borderId="0" xfId="0" applyNumberFormat="1" applyFont="1" applyFill="1">
      <alignment vertical="top"/>
    </xf>
    <xf numFmtId="0" fontId="0" fillId="2" borderId="0" xfId="0" applyNumberFormat="1" applyFont="1" applyFill="1">
      <alignment vertical="top"/>
    </xf>
    <xf numFmtId="0" fontId="0" fillId="21" borderId="0" xfId="0" applyNumberFormat="1" applyFont="1" applyFill="1">
      <alignment vertical="top"/>
    </xf>
    <xf numFmtId="0" fontId="3" fillId="2" borderId="0" xfId="0" applyNumberFormat="1" applyFont="1" applyFill="1">
      <alignment vertical="top"/>
    </xf>
    <xf numFmtId="0" fontId="3" fillId="21" borderId="0" xfId="0" applyNumberFormat="1" applyFont="1" applyFill="1">
      <alignment vertical="top"/>
    </xf>
    <xf numFmtId="0" fontId="3" fillId="21" borderId="0" xfId="0" applyNumberFormat="1" applyFont="1" applyFill="1" applyAlignment="1">
      <alignment horizontal="left" vertical="top"/>
    </xf>
    <xf numFmtId="0" fontId="0" fillId="21" borderId="0" xfId="0" applyNumberFormat="1" applyFont="1" applyFill="1" applyAlignment="1">
      <alignment horizontal="left" vertical="top"/>
    </xf>
    <xf numFmtId="49" fontId="3" fillId="2" borderId="0" xfId="0" applyNumberFormat="1" applyFont="1" applyFill="1" applyAlignment="1">
      <alignment horizontal="left" vertical="top"/>
    </xf>
    <xf numFmtId="0" fontId="15" fillId="2" borderId="0" xfId="0" applyNumberFormat="1" applyFont="1" applyFill="1" applyAlignment="1">
      <alignment horizontal="center" vertical="center"/>
    </xf>
    <xf numFmtId="0" fontId="15" fillId="2" borderId="0" xfId="0" applyNumberFormat="1" applyFont="1" applyFill="1" applyAlignment="1">
      <alignment horizontal="left" vertical="top"/>
    </xf>
    <xf numFmtId="0" fontId="15" fillId="21" borderId="0" xfId="0" applyNumberFormat="1" applyFont="1" applyFill="1" applyAlignment="1">
      <alignment horizontal="left" vertical="top"/>
    </xf>
    <xf numFmtId="0" fontId="15" fillId="2" borderId="0" xfId="0" applyNumberFormat="1" applyFont="1" applyFill="1" applyAlignment="1">
      <alignment vertical="center"/>
    </xf>
    <xf numFmtId="0" fontId="15" fillId="2" borderId="0" xfId="0" applyNumberFormat="1" applyFont="1" applyFill="1" applyAlignment="1">
      <alignment horizontal="center" vertical="center" wrapText="1"/>
    </xf>
    <xf numFmtId="0" fontId="15" fillId="2" borderId="0" xfId="0" applyNumberFormat="1" applyFont="1" applyFill="1" applyAlignment="1">
      <alignment horizontal="left" vertical="top" wrapText="1"/>
    </xf>
    <xf numFmtId="0" fontId="15" fillId="21" borderId="0" xfId="0" applyNumberFormat="1" applyFont="1" applyFill="1" applyAlignment="1">
      <alignment horizontal="left" vertical="top" wrapText="1"/>
    </xf>
    <xf numFmtId="0" fontId="16" fillId="2" borderId="0" xfId="0" applyNumberFormat="1" applyFont="1" applyFill="1" applyAlignment="1">
      <alignment horizontal="left" vertical="top" wrapText="1"/>
    </xf>
    <xf numFmtId="0" fontId="16" fillId="21" borderId="0" xfId="0" applyNumberFormat="1" applyFont="1" applyFill="1" applyAlignment="1">
      <alignment horizontal="left" vertical="top" wrapText="1"/>
    </xf>
    <xf numFmtId="0" fontId="16" fillId="2" borderId="0" xfId="0" applyNumberFormat="1" applyFont="1" applyFill="1" applyAlignment="1">
      <alignment horizontal="left" vertical="top"/>
    </xf>
    <xf numFmtId="0" fontId="16" fillId="21" borderId="0" xfId="0" applyNumberFormat="1" applyFont="1" applyFill="1" applyAlignment="1">
      <alignment horizontal="left" vertical="top"/>
    </xf>
    <xf numFmtId="49" fontId="15" fillId="2" borderId="0" xfId="0" applyNumberFormat="1" applyFont="1" applyFill="1" applyAlignment="1">
      <alignment horizontal="left" vertical="top"/>
    </xf>
    <xf numFmtId="49" fontId="1" fillId="2" borderId="0" xfId="0" applyNumberFormat="1" applyFont="1" applyFill="1" applyAlignment="1">
      <alignment horizontal="center" vertical="center"/>
    </xf>
    <xf numFmtId="49" fontId="1" fillId="2" borderId="0" xfId="0" applyNumberFormat="1" applyFont="1" applyFill="1" applyAlignment="1">
      <alignment horizontal="left" vertical="top"/>
    </xf>
    <xf numFmtId="0" fontId="15" fillId="2" borderId="18" xfId="0" applyNumberFormat="1" applyFont="1" applyFill="1" applyBorder="1" applyAlignment="1">
      <alignment horizontal="left" vertical="top"/>
    </xf>
    <xf numFmtId="0" fontId="15" fillId="21" borderId="18" xfId="0" applyNumberFormat="1" applyFont="1" applyFill="1" applyBorder="1" applyAlignment="1">
      <alignment horizontal="left" vertical="top"/>
    </xf>
    <xf numFmtId="0" fontId="8" fillId="2" borderId="0" xfId="0" applyNumberFormat="1" applyFont="1" applyFill="1" applyAlignment="1">
      <alignment horizontal="center" vertical="center"/>
    </xf>
    <xf numFmtId="0" fontId="3" fillId="21" borderId="0" xfId="0" applyNumberFormat="1" applyFont="1" applyFill="1" applyAlignment="1">
      <alignment vertical="center"/>
    </xf>
    <xf numFmtId="0" fontId="3" fillId="21" borderId="0" xfId="0" applyNumberFormat="1" applyFont="1" applyFill="1" applyAlignment="1">
      <alignment vertical="center" wrapText="1"/>
    </xf>
    <xf numFmtId="0" fontId="3" fillId="2" borderId="0" xfId="0" applyNumberFormat="1" applyFont="1" applyFill="1" applyAlignment="1">
      <alignment vertical="center" wrapText="1"/>
    </xf>
    <xf numFmtId="49" fontId="3" fillId="2" borderId="0" xfId="0" applyNumberFormat="1" applyFont="1" applyFill="1" applyAlignment="1">
      <alignment vertical="center"/>
    </xf>
    <xf numFmtId="0" fontId="15" fillId="2" borderId="0" xfId="0" applyNumberFormat="1" applyFont="1" applyFill="1" applyAlignment="1">
      <alignment vertical="center" wrapText="1"/>
    </xf>
    <xf numFmtId="0" fontId="15" fillId="21" borderId="0" xfId="0" applyNumberFormat="1" applyFont="1" applyFill="1" applyAlignment="1">
      <alignment horizontal="center" vertical="center"/>
    </xf>
    <xf numFmtId="0" fontId="15" fillId="21" borderId="0" xfId="0" applyNumberFormat="1" applyFont="1" applyFill="1" applyAlignment="1">
      <alignment vertical="center"/>
    </xf>
    <xf numFmtId="0" fontId="9" fillId="21" borderId="0" xfId="0" applyNumberFormat="1" applyFont="1" applyFill="1" applyAlignment="1">
      <alignment vertical="center"/>
    </xf>
    <xf numFmtId="0" fontId="15" fillId="21" borderId="0" xfId="0" applyNumberFormat="1" applyFont="1" applyFill="1" applyAlignment="1">
      <alignment vertical="center" wrapText="1"/>
    </xf>
    <xf numFmtId="49" fontId="15" fillId="2" borderId="0" xfId="0" applyNumberFormat="1" applyFont="1" applyFill="1" applyAlignment="1">
      <alignment vertical="center"/>
    </xf>
    <xf numFmtId="0" fontId="3" fillId="28" borderId="0" xfId="0" applyNumberFormat="1" applyFont="1" applyFill="1" applyAlignment="1">
      <alignment horizontal="left" vertical="center"/>
    </xf>
    <xf numFmtId="2" fontId="3" fillId="11" borderId="10" xfId="0" applyNumberFormat="1" applyFont="1" applyFill="1" applyBorder="1" applyAlignment="1" applyProtection="1">
      <alignment horizontal="right" vertical="center"/>
      <protection locked="0"/>
    </xf>
    <xf numFmtId="2" fontId="3" fillId="11" borderId="9" xfId="0" applyNumberFormat="1" applyFont="1" applyFill="1" applyBorder="1" applyAlignment="1" applyProtection="1">
      <alignment horizontal="right" vertical="center"/>
      <protection locked="0"/>
    </xf>
    <xf numFmtId="2" fontId="3" fillId="0" borderId="2" xfId="0" applyNumberFormat="1" applyFont="1" applyBorder="1" applyAlignment="1">
      <alignment horizontal="right" vertical="center"/>
    </xf>
    <xf numFmtId="2" fontId="0" fillId="11" borderId="2" xfId="0" applyNumberFormat="1" applyFont="1" applyFill="1" applyBorder="1" applyAlignment="1" applyProtection="1">
      <alignment horizontal="right" vertical="center"/>
      <protection locked="0"/>
    </xf>
    <xf numFmtId="2" fontId="4" fillId="13" borderId="1" xfId="0" applyNumberFormat="1" applyFont="1" applyFill="1" applyBorder="1" applyAlignment="1">
      <alignment vertical="center" wrapText="1"/>
    </xf>
    <xf numFmtId="2" fontId="4" fillId="11" borderId="1" xfId="0" applyNumberFormat="1" applyFont="1" applyFill="1" applyBorder="1" applyAlignment="1" applyProtection="1">
      <alignment vertical="center" wrapText="1"/>
      <protection locked="0"/>
    </xf>
    <xf numFmtId="2" fontId="4" fillId="13" borderId="5" xfId="0" applyNumberFormat="1" applyFont="1" applyFill="1" applyBorder="1" applyAlignment="1">
      <alignment vertical="center" wrapText="1"/>
    </xf>
    <xf numFmtId="2" fontId="7" fillId="19" borderId="13" xfId="0" applyNumberFormat="1" applyFont="1" applyFill="1" applyBorder="1" applyAlignment="1">
      <alignment vertical="center" wrapText="1"/>
    </xf>
    <xf numFmtId="2" fontId="7" fillId="11" borderId="5" xfId="0" applyNumberFormat="1" applyFont="1" applyFill="1" applyBorder="1" applyAlignment="1" applyProtection="1">
      <alignment vertical="center" wrapText="1"/>
      <protection locked="0"/>
    </xf>
    <xf numFmtId="2" fontId="6" fillId="19" borderId="7" xfId="0" applyNumberFormat="1" applyFont="1" applyFill="1" applyBorder="1" applyAlignment="1">
      <alignment horizontal="right" vertical="center"/>
    </xf>
    <xf numFmtId="2" fontId="6" fillId="19" borderId="1" xfId="0" applyNumberFormat="1" applyFont="1" applyFill="1" applyBorder="1" applyAlignment="1">
      <alignment horizontal="right" vertical="center"/>
    </xf>
    <xf numFmtId="2" fontId="7" fillId="11" borderId="17" xfId="0" applyNumberFormat="1" applyFont="1" applyFill="1" applyBorder="1" applyAlignment="1" applyProtection="1">
      <alignment vertical="center" wrapText="1"/>
      <protection locked="0"/>
    </xf>
    <xf numFmtId="2" fontId="6" fillId="19" borderId="13" xfId="0" applyNumberFormat="1" applyFont="1" applyFill="1" applyBorder="1" applyAlignment="1">
      <alignment horizontal="right" vertical="center"/>
    </xf>
    <xf numFmtId="49" fontId="5" fillId="0" borderId="0" xfId="0" applyNumberFormat="1" applyFont="1" applyAlignment="1">
      <alignment vertical="top" wrapText="1"/>
    </xf>
    <xf numFmtId="49" fontId="1" fillId="0" borderId="0" xfId="0" applyNumberFormat="1" applyFont="1" applyAlignment="1">
      <alignment vertical="top" wrapText="1"/>
    </xf>
    <xf numFmtId="0" fontId="3" fillId="0" borderId="0" xfId="0" applyNumberFormat="1" applyFont="1" applyAlignment="1">
      <alignment horizontal="left" vertical="center"/>
    </xf>
    <xf numFmtId="0" fontId="0" fillId="0" borderId="0" xfId="0" applyNumberFormat="1" applyFont="1" applyAlignment="1">
      <alignment horizontal="left" vertical="center"/>
    </xf>
    <xf numFmtId="0" fontId="3" fillId="0" borderId="0" xfId="0" applyNumberFormat="1" applyFont="1" applyAlignment="1">
      <alignment horizontal="left" vertical="center"/>
    </xf>
    <xf numFmtId="0" fontId="3" fillId="28" borderId="0" xfId="0" applyNumberFormat="1" applyFont="1" applyFill="1" applyAlignment="1">
      <alignment horizontal="left" vertical="center"/>
    </xf>
    <xf numFmtId="0" fontId="0" fillId="0" borderId="0" xfId="0" applyNumberFormat="1" applyFont="1" applyAlignment="1">
      <alignment horizontal="left" vertical="center"/>
    </xf>
    <xf numFmtId="0" fontId="9" fillId="0" borderId="0" xfId="0" applyNumberFormat="1" applyFont="1" applyAlignment="1">
      <alignment horizontal="left" vertical="center"/>
    </xf>
    <xf numFmtId="0" fontId="3" fillId="26" borderId="0" xfId="0" applyNumberFormat="1" applyFont="1" applyFill="1" applyAlignment="1">
      <alignment horizontal="center" vertical="center"/>
    </xf>
    <xf numFmtId="0" fontId="15" fillId="0" borderId="0" xfId="0" applyNumberFormat="1" applyFont="1" applyAlignment="1">
      <alignment horizontal="left" vertical="center"/>
    </xf>
    <xf numFmtId="0" fontId="15" fillId="28" borderId="0" xfId="0" applyNumberFormat="1" applyFont="1" applyFill="1" applyAlignment="1">
      <alignment horizontal="left" vertical="center"/>
    </xf>
    <xf numFmtId="0" fontId="15" fillId="0" borderId="0" xfId="0" applyNumberFormat="1" applyFont="1" applyAlignment="1">
      <alignment horizontal="left" vertical="center" wrapText="1"/>
    </xf>
    <xf numFmtId="0" fontId="1" fillId="21" borderId="0" xfId="0" applyNumberFormat="1" applyFont="1" applyFill="1" applyAlignment="1">
      <alignment horizontal="left" vertical="top"/>
    </xf>
    <xf numFmtId="0" fontId="0" fillId="28" borderId="0" xfId="0" applyNumberFormat="1" applyFont="1" applyFill="1" applyAlignment="1">
      <alignment horizontal="left" vertical="center"/>
    </xf>
    <xf numFmtId="0" fontId="0" fillId="26" borderId="0" xfId="0" applyNumberFormat="1" applyFont="1" applyFill="1" applyAlignment="1">
      <alignment horizontal="center" vertical="center"/>
    </xf>
    <xf numFmtId="49" fontId="1" fillId="0" borderId="0" xfId="0" applyNumberFormat="1" applyFont="1" applyAlignment="1">
      <alignment horizontal="left" vertical="top"/>
    </xf>
    <xf numFmtId="49" fontId="3" fillId="30" borderId="2" xfId="0" applyNumberFormat="1" applyFont="1" applyFill="1" applyBorder="1" applyAlignment="1">
      <alignment horizontal="left" vertical="center" wrapText="1" indent="1"/>
    </xf>
    <xf numFmtId="0" fontId="3" fillId="6" borderId="2" xfId="0" applyNumberFormat="1" applyFont="1" applyFill="1" applyBorder="1" applyAlignment="1">
      <alignment horizontal="center" vertical="center" wrapText="1"/>
    </xf>
    <xf numFmtId="0" fontId="3" fillId="6" borderId="36" xfId="0" applyNumberFormat="1" applyFont="1" applyFill="1" applyBorder="1" applyAlignment="1">
      <alignment horizontal="center" vertical="center" wrapText="1"/>
    </xf>
    <xf numFmtId="0" fontId="3" fillId="6" borderId="1" xfId="0" applyNumberFormat="1" applyFont="1" applyFill="1" applyBorder="1" applyAlignment="1">
      <alignment horizontal="center" vertical="center" wrapText="1"/>
    </xf>
    <xf numFmtId="0" fontId="3" fillId="6" borderId="13" xfId="0" applyNumberFormat="1" applyFont="1" applyFill="1" applyBorder="1" applyAlignment="1">
      <alignment horizontal="center" vertical="center" wrapText="1"/>
    </xf>
    <xf numFmtId="0" fontId="1" fillId="6" borderId="2" xfId="0" applyNumberFormat="1" applyFont="1" applyFill="1" applyBorder="1" applyAlignment="1">
      <alignment horizontal="center" vertical="center" wrapText="1"/>
    </xf>
    <xf numFmtId="0" fontId="3" fillId="6" borderId="38" xfId="0" applyNumberFormat="1" applyFont="1" applyFill="1" applyBorder="1" applyAlignment="1">
      <alignment horizontal="center" vertical="center" wrapText="1"/>
    </xf>
    <xf numFmtId="0" fontId="15" fillId="6" borderId="1" xfId="0" applyNumberFormat="1" applyFont="1" applyFill="1" applyBorder="1" applyAlignment="1">
      <alignment horizontal="center" vertical="center" wrapText="1"/>
    </xf>
    <xf numFmtId="0" fontId="5" fillId="6" borderId="1" xfId="0" applyNumberFormat="1" applyFont="1" applyFill="1" applyBorder="1" applyAlignment="1">
      <alignment horizontal="center" vertical="center" wrapText="1"/>
    </xf>
    <xf numFmtId="0" fontId="1" fillId="6" borderId="1" xfId="0" applyNumberFormat="1" applyFont="1" applyFill="1" applyBorder="1" applyAlignment="1">
      <alignment horizontal="center" vertical="center" wrapText="1"/>
    </xf>
    <xf numFmtId="0" fontId="1" fillId="6" borderId="1" xfId="0" applyNumberFormat="1" applyFont="1" applyFill="1" applyBorder="1" applyAlignment="1">
      <alignment horizontal="center" vertical="center" wrapText="1"/>
    </xf>
    <xf numFmtId="0" fontId="9" fillId="0" borderId="0" xfId="0" applyNumberFormat="1" applyFont="1" applyAlignment="1">
      <alignment horizontal="center" vertical="center"/>
    </xf>
    <xf numFmtId="0" fontId="3" fillId="0" borderId="0" xfId="0" applyNumberFormat="1" applyFont="1" applyAlignment="1">
      <alignment horizontal="center" vertical="center"/>
    </xf>
    <xf numFmtId="0" fontId="3" fillId="0" borderId="9"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3" fillId="0" borderId="0" xfId="0" applyNumberFormat="1" applyFont="1" applyAlignment="1">
      <alignment horizontal="center" vertical="center" wrapText="1"/>
    </xf>
    <xf numFmtId="0" fontId="1" fillId="0" borderId="0" xfId="0" applyNumberFormat="1" applyFont="1" applyAlignment="1">
      <alignment horizontal="center" vertical="center"/>
    </xf>
    <xf numFmtId="0" fontId="1" fillId="13" borderId="2" xfId="0" applyNumberFormat="1" applyFont="1" applyFill="1" applyBorder="1" applyAlignment="1">
      <alignment horizontal="center" vertical="center" wrapText="1"/>
    </xf>
    <xf numFmtId="0" fontId="9" fillId="0" borderId="0" xfId="0" applyNumberFormat="1" applyFont="1" applyAlignment="1">
      <alignment vertical="center"/>
    </xf>
    <xf numFmtId="0" fontId="1" fillId="0" borderId="1" xfId="0" applyNumberFormat="1" applyFont="1" applyBorder="1" applyAlignment="1">
      <alignment horizontal="center" vertical="center"/>
    </xf>
    <xf numFmtId="0" fontId="1" fillId="29" borderId="2" xfId="0" applyNumberFormat="1" applyFont="1" applyFill="1" applyBorder="1" applyAlignment="1" applyProtection="1">
      <alignment horizontal="left" vertical="center" wrapText="1" indent="1"/>
      <protection locked="0"/>
    </xf>
    <xf numFmtId="49" fontId="3" fillId="10" borderId="2" xfId="0" applyNumberFormat="1" applyFont="1" applyFill="1" applyBorder="1" applyAlignment="1">
      <alignment horizontal="left" vertical="center" wrapText="1" indent="1"/>
    </xf>
    <xf numFmtId="49" fontId="1" fillId="11" borderId="2" xfId="0" applyNumberFormat="1" applyFont="1" applyFill="1" applyBorder="1" applyAlignment="1">
      <alignment horizontal="left" vertical="center" wrapText="1" indent="1"/>
    </xf>
    <xf numFmtId="49" fontId="1" fillId="10" borderId="2" xfId="0" applyNumberFormat="1" applyFont="1" applyFill="1" applyBorder="1" applyAlignment="1">
      <alignment horizontal="left" vertical="center" wrapText="1" indent="1"/>
    </xf>
    <xf numFmtId="170" fontId="3" fillId="10" borderId="2" xfId="0" applyNumberFormat="1" applyFont="1" applyFill="1" applyBorder="1" applyAlignment="1">
      <alignment horizontal="left" vertical="center" wrapText="1" indent="1"/>
    </xf>
    <xf numFmtId="49" fontId="36" fillId="11" borderId="2" xfId="0" applyNumberFormat="1" applyFont="1" applyFill="1" applyBorder="1" applyAlignment="1">
      <alignment horizontal="left" vertical="center" wrapText="1" indent="1"/>
    </xf>
    <xf numFmtId="49" fontId="1" fillId="11" borderId="2" xfId="0" applyNumberFormat="1" applyFont="1" applyFill="1" applyBorder="1" applyAlignment="1">
      <alignment horizontal="left" vertical="center" wrapText="1" indent="1"/>
    </xf>
    <xf numFmtId="49" fontId="1" fillId="10" borderId="2" xfId="0" applyNumberFormat="1" applyFont="1" applyFill="1" applyBorder="1" applyAlignment="1">
      <alignment horizontal="left" vertical="center" wrapText="1" indent="1"/>
    </xf>
    <xf numFmtId="170" fontId="1" fillId="10" borderId="2" xfId="0" applyNumberFormat="1" applyFont="1" applyFill="1" applyBorder="1" applyAlignment="1">
      <alignment horizontal="left" vertical="center" wrapText="1" indent="1"/>
    </xf>
    <xf numFmtId="49" fontId="29" fillId="11" borderId="2" xfId="0" applyNumberFormat="1" applyFont="1" applyFill="1" applyBorder="1" applyAlignment="1">
      <alignment horizontal="left" vertical="center" wrapText="1" indent="1"/>
    </xf>
    <xf numFmtId="49" fontId="0" fillId="0" borderId="0" xfId="0" applyNumberFormat="1" applyFont="1">
      <alignment vertical="top"/>
    </xf>
    <xf numFmtId="49" fontId="1" fillId="0" borderId="0" xfId="0" applyNumberFormat="1" applyFont="1">
      <alignment vertical="top"/>
    </xf>
    <xf numFmtId="49" fontId="1" fillId="0" borderId="0" xfId="0" applyNumberFormat="1" applyFont="1">
      <alignment vertical="top"/>
    </xf>
    <xf numFmtId="49" fontId="1" fillId="0" borderId="0" xfId="0" applyNumberFormat="1" applyFont="1">
      <alignment vertical="top"/>
    </xf>
    <xf numFmtId="49" fontId="1" fillId="0" borderId="0" xfId="0" applyNumberFormat="1" applyFont="1">
      <alignment vertical="top"/>
    </xf>
    <xf numFmtId="0" fontId="1" fillId="10" borderId="2" xfId="3" applyFont="1" applyFill="1" applyBorder="1" applyProtection="1">
      <alignment horizontal="left" vertical="center" wrapText="1" indent="1"/>
      <protection locked="0"/>
    </xf>
    <xf numFmtId="49" fontId="1" fillId="0" borderId="0" xfId="0" applyNumberFormat="1" applyFont="1">
      <alignment vertical="top"/>
    </xf>
    <xf numFmtId="49" fontId="1" fillId="0" borderId="0" xfId="0" applyNumberFormat="1" applyFont="1">
      <alignment vertical="top"/>
    </xf>
    <xf numFmtId="49" fontId="1" fillId="0" borderId="0" xfId="0" applyNumberFormat="1" applyFont="1">
      <alignment vertical="top"/>
    </xf>
    <xf numFmtId="49" fontId="1" fillId="0" borderId="0" xfId="0" applyNumberFormat="1" applyFont="1">
      <alignment vertical="top"/>
    </xf>
    <xf numFmtId="49" fontId="66" fillId="11" borderId="2" xfId="0" applyNumberFormat="1" applyFont="1" applyFill="1" applyBorder="1" applyAlignment="1" applyProtection="1">
      <alignment horizontal="left" vertical="center" wrapText="1" indent="1"/>
      <protection locked="0"/>
    </xf>
    <xf numFmtId="49" fontId="1" fillId="0" borderId="0" xfId="0" applyNumberFormat="1" applyFont="1">
      <alignment vertical="top"/>
    </xf>
    <xf numFmtId="49" fontId="1" fillId="0" borderId="0" xfId="0" applyNumberFormat="1" applyFont="1">
      <alignment vertical="top"/>
    </xf>
    <xf numFmtId="0" fontId="1" fillId="11" borderId="2" xfId="4" applyFont="1" applyFill="1" applyBorder="1" applyProtection="1">
      <alignment horizontal="left" vertical="center" wrapText="1" indent="1"/>
      <protection locked="0"/>
    </xf>
    <xf numFmtId="49" fontId="1" fillId="0" borderId="0" xfId="0" applyNumberFormat="1" applyFont="1">
      <alignment vertical="top"/>
    </xf>
    <xf numFmtId="170" fontId="3" fillId="11" borderId="2" xfId="5" applyNumberFormat="1" applyFont="1" applyFill="1" applyBorder="1" applyProtection="1">
      <alignment horizontal="left" vertical="center" wrapText="1" indent="1"/>
      <protection locked="0"/>
    </xf>
    <xf numFmtId="49" fontId="1" fillId="0" borderId="0" xfId="0" applyNumberFormat="1" applyFont="1">
      <alignment vertical="top"/>
    </xf>
    <xf numFmtId="49" fontId="1" fillId="0" borderId="0" xfId="0" applyNumberFormat="1" applyFont="1">
      <alignment vertical="top"/>
    </xf>
    <xf numFmtId="170" fontId="3" fillId="10" borderId="2" xfId="0" applyNumberFormat="1" applyFont="1" applyFill="1" applyBorder="1" applyAlignment="1" applyProtection="1">
      <alignment horizontal="left" vertical="center" wrapText="1" indent="1"/>
      <protection locked="0"/>
    </xf>
    <xf numFmtId="49" fontId="1" fillId="0" borderId="0" xfId="0" applyNumberFormat="1" applyFont="1">
      <alignment vertical="top"/>
    </xf>
    <xf numFmtId="0" fontId="1" fillId="10" borderId="1" xfId="6" applyFont="1" applyFill="1" applyBorder="1" applyProtection="1">
      <alignment horizontal="left" vertical="center" wrapText="1" indent="1"/>
      <protection locked="0"/>
    </xf>
    <xf numFmtId="49" fontId="1" fillId="0" borderId="0" xfId="0" applyNumberFormat="1" applyFont="1">
      <alignment vertical="top"/>
    </xf>
    <xf numFmtId="49" fontId="1" fillId="0" borderId="0" xfId="0" applyNumberFormat="1" applyFont="1">
      <alignment vertical="top"/>
    </xf>
    <xf numFmtId="49" fontId="1" fillId="10" borderId="2" xfId="0" applyNumberFormat="1" applyFont="1" applyFill="1" applyBorder="1" applyAlignment="1">
      <alignment horizontal="right" vertical="center" wrapText="1" indent="1"/>
    </xf>
    <xf numFmtId="49" fontId="1" fillId="0" borderId="0" xfId="0" applyNumberFormat="1" applyFont="1">
      <alignment vertical="top"/>
    </xf>
    <xf numFmtId="49" fontId="1" fillId="0" borderId="0" xfId="0" applyNumberFormat="1" applyFont="1">
      <alignment vertical="top"/>
    </xf>
    <xf numFmtId="49" fontId="1" fillId="0" borderId="0" xfId="0" applyNumberFormat="1" applyFont="1">
      <alignment vertical="top"/>
    </xf>
    <xf numFmtId="49" fontId="1" fillId="0" borderId="0" xfId="0" applyNumberFormat="1" applyFont="1">
      <alignment vertical="top"/>
    </xf>
    <xf numFmtId="49" fontId="1" fillId="11" borderId="3" xfId="7" applyNumberFormat="1" applyFont="1" applyFill="1" applyBorder="1" applyProtection="1">
      <alignment horizontal="left" vertical="center" wrapText="1" indent="1"/>
      <protection locked="0"/>
    </xf>
    <xf numFmtId="0" fontId="0" fillId="0" borderId="0" xfId="0" applyNumberFormat="1" applyFont="1" applyAlignment="1"/>
    <xf numFmtId="0" fontId="0" fillId="0" borderId="0" xfId="0" applyNumberFormat="1" applyFont="1" applyAlignment="1"/>
    <xf numFmtId="49" fontId="1" fillId="11" borderId="1" xfId="8" applyNumberFormat="1" applyFont="1" applyFill="1" applyBorder="1" applyProtection="1">
      <alignment horizontal="left" vertical="center" wrapText="1"/>
      <protection locked="0"/>
    </xf>
    <xf numFmtId="0" fontId="0" fillId="0" borderId="0" xfId="0" applyNumberFormat="1" applyFont="1" applyAlignment="1"/>
    <xf numFmtId="4" fontId="1" fillId="11" borderId="2" xfId="0" applyNumberFormat="1" applyFont="1" applyFill="1" applyBorder="1" applyAlignment="1">
      <alignment horizontal="right" vertical="center"/>
    </xf>
    <xf numFmtId="4" fontId="1" fillId="11" borderId="4" xfId="0" applyNumberFormat="1" applyFont="1" applyFill="1" applyBorder="1" applyAlignment="1">
      <alignment horizontal="right" vertical="center"/>
    </xf>
    <xf numFmtId="4" fontId="1" fillId="11" borderId="1" xfId="0" applyNumberFormat="1" applyFont="1" applyFill="1" applyBorder="1" applyAlignment="1">
      <alignment horizontal="right" vertical="center"/>
    </xf>
    <xf numFmtId="4" fontId="1" fillId="11" borderId="6" xfId="0" applyNumberFormat="1" applyFont="1" applyFill="1" applyBorder="1" applyAlignment="1">
      <alignment horizontal="right" vertical="center"/>
    </xf>
    <xf numFmtId="4" fontId="1" fillId="11" borderId="7" xfId="0" applyNumberFormat="1" applyFont="1" applyFill="1" applyBorder="1" applyAlignment="1">
      <alignment horizontal="right" vertical="center"/>
    </xf>
    <xf numFmtId="0" fontId="0" fillId="0" borderId="0" xfId="0" applyNumberFormat="1" applyFont="1" applyAlignment="1"/>
    <xf numFmtId="0" fontId="0" fillId="0" borderId="0" xfId="0" applyNumberFormat="1" applyFont="1" applyAlignment="1"/>
    <xf numFmtId="4" fontId="1" fillId="11" borderId="2" xfId="9" applyNumberFormat="1" applyFont="1" applyFill="1" applyBorder="1" applyProtection="1">
      <alignment horizontal="right" vertical="center"/>
      <protection locked="0"/>
    </xf>
    <xf numFmtId="0" fontId="1" fillId="11" borderId="1" xfId="10" applyFont="1" applyFill="1" applyBorder="1" applyProtection="1">
      <alignment horizontal="left" vertical="center" wrapText="1"/>
      <protection locked="0"/>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4" fontId="1" fillId="11" borderId="4" xfId="11" applyNumberFormat="1" applyFont="1" applyFill="1" applyBorder="1" applyProtection="1">
      <alignment horizontal="right" vertical="center"/>
      <protection locked="0"/>
    </xf>
    <xf numFmtId="0" fontId="0" fillId="0" borderId="0" xfId="0" applyNumberFormat="1" applyFont="1" applyAlignment="1"/>
    <xf numFmtId="4" fontId="1" fillId="11" borderId="1" xfId="12" applyNumberFormat="1" applyFont="1" applyFill="1" applyBorder="1" applyProtection="1">
      <alignment horizontal="right" vertical="center"/>
      <protection locked="0"/>
    </xf>
    <xf numFmtId="0" fontId="0" fillId="0" borderId="0" xfId="0" applyNumberFormat="1" applyFont="1" applyAlignment="1"/>
    <xf numFmtId="0" fontId="0" fillId="0" borderId="0" xfId="0" applyNumberFormat="1" applyFont="1" applyAlignment="1"/>
    <xf numFmtId="4" fontId="1" fillId="11" borderId="5" xfId="13" applyNumberFormat="1" applyFont="1" applyFill="1" applyBorder="1" applyProtection="1">
      <alignment horizontal="right" vertical="center"/>
      <protection locked="0"/>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4" fontId="1" fillId="11" borderId="6" xfId="14" applyNumberFormat="1" applyFont="1" applyFill="1" applyBorder="1" applyProtection="1">
      <alignment horizontal="right" vertical="center"/>
      <protection locked="0"/>
    </xf>
    <xf numFmtId="0" fontId="0" fillId="0" borderId="0" xfId="0" applyNumberFormat="1" applyFont="1" applyAlignment="1"/>
    <xf numFmtId="4" fontId="1" fillId="11" borderId="7" xfId="15" applyNumberFormat="1" applyFont="1" applyFill="1" applyBorder="1" applyProtection="1">
      <alignment horizontal="right" vertical="center"/>
      <protection locked="0"/>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4" fontId="1" fillId="11" borderId="8" xfId="16" applyNumberFormat="1" applyFont="1" applyFill="1" applyBorder="1" applyProtection="1">
      <alignment horizontal="right" vertical="center"/>
      <protection locked="0"/>
    </xf>
    <xf numFmtId="2" fontId="3" fillId="11" borderId="10" xfId="0" applyNumberFormat="1" applyFont="1" applyFill="1" applyBorder="1" applyAlignment="1">
      <alignment horizontal="right" vertical="center"/>
    </xf>
    <xf numFmtId="2" fontId="3" fillId="11" borderId="2" xfId="0" applyNumberFormat="1" applyFont="1" applyFill="1" applyBorder="1" applyAlignment="1">
      <alignment horizontal="right" vertical="center"/>
    </xf>
    <xf numFmtId="2" fontId="3" fillId="11" borderId="9" xfId="0" applyNumberFormat="1" applyFont="1" applyFill="1" applyBorder="1" applyAlignment="1">
      <alignment horizontal="right" vertical="center"/>
    </xf>
    <xf numFmtId="2" fontId="3" fillId="11" borderId="2" xfId="17" applyNumberFormat="1" applyFont="1" applyFill="1" applyBorder="1" applyProtection="1">
      <alignment horizontal="right" vertical="center"/>
      <protection locked="0"/>
    </xf>
    <xf numFmtId="2" fontId="3" fillId="11" borderId="10" xfId="21" applyNumberFormat="1" applyFont="1" applyFill="1" applyBorder="1" applyProtection="1">
      <alignment horizontal="right" vertical="center"/>
      <protection locked="0"/>
    </xf>
    <xf numFmtId="2" fontId="0" fillId="11" borderId="2" xfId="0" applyNumberFormat="1" applyFont="1" applyFill="1" applyBorder="1" applyAlignment="1">
      <alignment horizontal="right" vertical="center"/>
    </xf>
    <xf numFmtId="2" fontId="0" fillId="11" borderId="2" xfId="22" applyNumberFormat="1" applyFont="1" applyFill="1" applyBorder="1" applyProtection="1">
      <alignment horizontal="right" vertical="center"/>
      <protection locked="0"/>
    </xf>
    <xf numFmtId="4" fontId="1" fillId="11" borderId="1" xfId="0" applyNumberFormat="1" applyFont="1" applyFill="1" applyBorder="1" applyAlignment="1">
      <alignment horizontal="right" vertical="center" wrapText="1"/>
    </xf>
    <xf numFmtId="4" fontId="1" fillId="11" borderId="2" xfId="0" applyNumberFormat="1" applyFont="1" applyFill="1" applyBorder="1" applyAlignment="1">
      <alignment horizontal="right" vertical="center" wrapText="1"/>
    </xf>
    <xf numFmtId="4" fontId="1" fillId="11" borderId="5" xfId="0" applyNumberFormat="1" applyFont="1" applyFill="1" applyBorder="1" applyAlignment="1">
      <alignment horizontal="right" vertical="center" wrapText="1"/>
    </xf>
    <xf numFmtId="0" fontId="3" fillId="11" borderId="2" xfId="23" applyFont="1" applyFill="1" applyBorder="1" applyProtection="1">
      <alignment horizontal="left" vertical="center" wrapText="1"/>
      <protection locked="0"/>
    </xf>
    <xf numFmtId="4" fontId="1" fillId="11" borderId="1" xfId="24" applyNumberFormat="1" applyFont="1" applyFill="1" applyBorder="1" applyProtection="1">
      <alignment horizontal="right" vertical="center" wrapText="1"/>
      <protection locked="0"/>
    </xf>
    <xf numFmtId="0" fontId="3" fillId="11" borderId="10" xfId="27" applyFont="1" applyFill="1" applyBorder="1" applyProtection="1">
      <alignment horizontal="left" vertical="center" wrapText="1"/>
      <protection locked="0"/>
    </xf>
    <xf numFmtId="4" fontId="1" fillId="11" borderId="5" xfId="28" applyNumberFormat="1" applyFont="1" applyFill="1" applyBorder="1" applyProtection="1">
      <alignment horizontal="right" vertical="center" wrapText="1"/>
      <protection locked="0"/>
    </xf>
    <xf numFmtId="49" fontId="1" fillId="0" borderId="0" xfId="0" applyNumberFormat="1" applyFont="1">
      <alignment vertical="top"/>
    </xf>
    <xf numFmtId="4" fontId="1" fillId="11" borderId="1" xfId="0" applyNumberFormat="1" applyFont="1" applyFill="1" applyBorder="1" applyAlignment="1">
      <alignment vertical="center"/>
    </xf>
    <xf numFmtId="4" fontId="1" fillId="11" borderId="7" xfId="0" applyNumberFormat="1" applyFont="1" applyFill="1" applyBorder="1" applyAlignment="1">
      <alignment vertical="center"/>
    </xf>
    <xf numFmtId="9" fontId="1" fillId="11" borderId="7" xfId="0" applyNumberFormat="1" applyFont="1" applyFill="1" applyBorder="1" applyAlignment="1">
      <alignment vertical="center"/>
    </xf>
    <xf numFmtId="10" fontId="1" fillId="11" borderId="1" xfId="0" applyNumberFormat="1" applyFont="1" applyFill="1" applyBorder="1" applyAlignment="1">
      <alignment vertical="center"/>
    </xf>
    <xf numFmtId="9" fontId="1" fillId="11" borderId="1" xfId="0" applyNumberFormat="1" applyFont="1" applyFill="1" applyBorder="1" applyAlignment="1">
      <alignment vertical="center"/>
    </xf>
    <xf numFmtId="4" fontId="5" fillId="11" borderId="7" xfId="0" applyNumberFormat="1" applyFont="1" applyFill="1" applyBorder="1" applyAlignment="1">
      <alignment vertical="center"/>
    </xf>
    <xf numFmtId="4" fontId="1" fillId="11" borderId="7" xfId="29" applyNumberFormat="1" applyFont="1" applyFill="1" applyBorder="1" applyProtection="1">
      <alignment vertical="center"/>
      <protection locked="0"/>
    </xf>
    <xf numFmtId="4" fontId="1" fillId="11" borderId="1" xfId="30" applyNumberFormat="1" applyFont="1" applyFill="1" applyBorder="1" applyProtection="1">
      <alignment vertical="center"/>
      <protection locked="0"/>
    </xf>
    <xf numFmtId="4" fontId="5" fillId="11" borderId="7" xfId="39" applyNumberFormat="1" applyFont="1" applyFill="1" applyBorder="1" applyProtection="1">
      <alignment vertical="center"/>
      <protection locked="0"/>
    </xf>
    <xf numFmtId="4" fontId="5" fillId="11" borderId="10" xfId="0" applyNumberFormat="1" applyFont="1" applyFill="1" applyBorder="1" applyAlignment="1">
      <alignment horizontal="right" vertical="center"/>
    </xf>
    <xf numFmtId="4" fontId="3" fillId="11" borderId="1" xfId="0" applyNumberFormat="1" applyFont="1" applyFill="1" applyBorder="1" applyAlignment="1">
      <alignment horizontal="right" vertical="center"/>
    </xf>
    <xf numFmtId="169" fontId="1" fillId="11" borderId="2" xfId="0" applyNumberFormat="1" applyFont="1" applyFill="1" applyBorder="1" applyAlignment="1">
      <alignment horizontal="right" vertical="center"/>
    </xf>
    <xf numFmtId="4" fontId="1" fillId="19" borderId="2" xfId="9" applyNumberFormat="1" applyFont="1" applyFill="1" applyBorder="1">
      <alignment horizontal="right" vertical="center"/>
    </xf>
    <xf numFmtId="4" fontId="1" fillId="19" borderId="2" xfId="0" applyNumberFormat="1" applyFont="1" applyFill="1" applyBorder="1" applyAlignment="1">
      <alignment horizontal="right" vertical="center"/>
    </xf>
    <xf numFmtId="4" fontId="1" fillId="11" borderId="9" xfId="0" applyNumberFormat="1" applyFont="1" applyFill="1" applyBorder="1" applyAlignment="1">
      <alignment horizontal="right" vertical="center"/>
    </xf>
    <xf numFmtId="4" fontId="1" fillId="19" borderId="9" xfId="0" applyNumberFormat="1" applyFont="1" applyFill="1" applyBorder="1" applyAlignment="1">
      <alignment horizontal="right" vertical="center"/>
    </xf>
    <xf numFmtId="4" fontId="1" fillId="19" borderId="9" xfId="0" applyNumberFormat="1" applyFont="1" applyFill="1" applyBorder="1" applyAlignment="1">
      <alignment horizontal="right" vertical="center"/>
    </xf>
    <xf numFmtId="4" fontId="1" fillId="11" borderId="9" xfId="0" applyNumberFormat="1" applyFont="1" applyFill="1" applyBorder="1" applyAlignment="1">
      <alignment horizontal="right" vertical="center"/>
    </xf>
    <xf numFmtId="0" fontId="3" fillId="11" borderId="9" xfId="0" applyNumberFormat="1" applyFont="1" applyFill="1" applyBorder="1" applyAlignment="1">
      <alignment horizontal="left" vertical="center" wrapText="1"/>
    </xf>
    <xf numFmtId="4" fontId="1" fillId="11" borderId="2" xfId="0" applyNumberFormat="1" applyFont="1" applyFill="1" applyBorder="1" applyAlignment="1">
      <alignment horizontal="right" vertical="center"/>
    </xf>
    <xf numFmtId="0" fontId="3" fillId="11" borderId="2" xfId="0" applyNumberFormat="1" applyFont="1" applyFill="1" applyBorder="1" applyAlignment="1">
      <alignment horizontal="left" vertical="center" wrapText="1"/>
    </xf>
    <xf numFmtId="4" fontId="5" fillId="11" borderId="1" xfId="0" applyNumberFormat="1" applyFont="1" applyFill="1" applyBorder="1" applyAlignment="1">
      <alignment horizontal="right" vertical="center"/>
    </xf>
    <xf numFmtId="4" fontId="1" fillId="11" borderId="8" xfId="0" applyNumberFormat="1" applyFont="1" applyFill="1" applyBorder="1" applyAlignment="1">
      <alignment horizontal="right" vertical="center"/>
    </xf>
    <xf numFmtId="0" fontId="3" fillId="11" borderId="1" xfId="0" applyNumberFormat="1" applyFont="1" applyFill="1" applyBorder="1" applyAlignment="1">
      <alignment horizontal="left" vertical="center" wrapText="1"/>
    </xf>
    <xf numFmtId="4" fontId="1" fillId="19" borderId="1" xfId="12" applyNumberFormat="1" applyFont="1" applyFill="1" applyBorder="1">
      <alignment horizontal="right" vertical="center"/>
    </xf>
    <xf numFmtId="4" fontId="1" fillId="19" borderId="1" xfId="0" applyNumberFormat="1" applyFont="1" applyFill="1" applyBorder="1" applyAlignment="1">
      <alignment horizontal="right" vertical="center"/>
    </xf>
    <xf numFmtId="4" fontId="1" fillId="11" borderId="8" xfId="0" applyNumberFormat="1" applyFont="1" applyFill="1" applyBorder="1" applyAlignment="1">
      <alignment horizontal="right" vertical="center"/>
    </xf>
    <xf numFmtId="4" fontId="1" fillId="19" borderId="8" xfId="0" applyNumberFormat="1" applyFont="1" applyFill="1" applyBorder="1" applyAlignment="1">
      <alignment horizontal="right" vertical="center"/>
    </xf>
    <xf numFmtId="4" fontId="1" fillId="11" borderId="7" xfId="0" applyNumberFormat="1" applyFont="1" applyFill="1" applyBorder="1" applyAlignment="1">
      <alignment horizontal="right" vertical="center"/>
    </xf>
    <xf numFmtId="4" fontId="1" fillId="19" borderId="7" xfId="0" applyNumberFormat="1" applyFont="1" applyFill="1" applyBorder="1" applyAlignment="1">
      <alignment horizontal="right" vertical="center"/>
    </xf>
    <xf numFmtId="4" fontId="5" fillId="11" borderId="10" xfId="40" applyNumberFormat="1" applyFont="1" applyFill="1" applyBorder="1" applyProtection="1">
      <alignment horizontal="right" vertical="center"/>
      <protection locked="0"/>
    </xf>
    <xf numFmtId="4" fontId="3" fillId="11" borderId="1" xfId="41" applyNumberFormat="1" applyFont="1" applyFill="1" applyBorder="1" applyProtection="1">
      <alignment horizontal="right" vertical="center"/>
      <protection locked="0"/>
    </xf>
    <xf numFmtId="169" fontId="1" fillId="11" borderId="2" xfId="42" applyNumberFormat="1" applyFont="1" applyFill="1" applyBorder="1" applyProtection="1">
      <alignment horizontal="right" vertical="center"/>
      <protection locked="0"/>
    </xf>
    <xf numFmtId="4" fontId="5" fillId="11" borderId="1" xfId="45" applyNumberFormat="1" applyFont="1" applyFill="1" applyBorder="1" applyProtection="1">
      <alignment horizontal="right" vertical="center"/>
      <protection locked="0"/>
    </xf>
    <xf numFmtId="0" fontId="3" fillId="11" borderId="1" xfId="46" applyFont="1" applyFill="1" applyBorder="1" applyProtection="1">
      <alignment horizontal="left" vertical="center" wrapText="1"/>
      <protection locked="0"/>
    </xf>
    <xf numFmtId="4" fontId="1" fillId="11" borderId="1" xfId="0" applyNumberFormat="1" applyFont="1" applyFill="1" applyBorder="1" applyAlignment="1">
      <alignment horizontal="right" vertical="center"/>
    </xf>
    <xf numFmtId="4" fontId="1" fillId="11" borderId="2" xfId="26" applyNumberFormat="1" applyFont="1" applyFill="1" applyBorder="1" applyProtection="1">
      <alignment horizontal="right" vertical="center" wrapText="1"/>
      <protection locked="0"/>
    </xf>
    <xf numFmtId="0" fontId="1" fillId="11" borderId="2" xfId="49" applyFont="1" applyFill="1" applyBorder="1" applyProtection="1">
      <alignment horizontal="left" vertical="center" wrapText="1"/>
      <protection locked="0"/>
    </xf>
    <xf numFmtId="0" fontId="0" fillId="0" borderId="0" xfId="0" applyNumberFormat="1" applyFont="1" applyAlignment="1"/>
    <xf numFmtId="0" fontId="1" fillId="10" borderId="1" xfId="0" applyNumberFormat="1" applyFont="1" applyFill="1" applyBorder="1" applyAlignment="1">
      <alignment horizontal="center" vertical="center"/>
    </xf>
    <xf numFmtId="4" fontId="3" fillId="11" borderId="1" xfId="51" applyNumberFormat="1" applyFont="1" applyFill="1" applyBorder="1" applyProtection="1">
      <alignment horizontal="right" vertical="center" wrapText="1"/>
      <protection locked="0"/>
    </xf>
    <xf numFmtId="4" fontId="3" fillId="11" borderId="1" xfId="0" applyNumberFormat="1" applyFont="1" applyFill="1" applyBorder="1" applyAlignment="1">
      <alignment horizontal="right" vertical="center" wrapText="1"/>
    </xf>
    <xf numFmtId="4" fontId="3" fillId="11" borderId="1" xfId="0" applyNumberFormat="1" applyFont="1" applyFill="1" applyBorder="1" applyAlignment="1">
      <alignment horizontal="right"/>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4" fontId="3" fillId="11" borderId="1" xfId="52" applyNumberFormat="1" applyFont="1" applyFill="1" applyBorder="1" applyProtection="1">
      <alignment horizontal="right"/>
      <protection locked="0"/>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67" fillId="0" borderId="0" xfId="0" applyNumberFormat="1" applyFont="1" applyAlignment="1">
      <alignment vertical="center" wrapText="1"/>
    </xf>
    <xf numFmtId="4" fontId="6" fillId="11" borderId="1" xfId="54" applyNumberFormat="1" applyFont="1" applyFill="1" applyBorder="1" applyProtection="1">
      <alignment horizontal="right" vertical="center"/>
      <protection locked="0"/>
    </xf>
    <xf numFmtId="169" fontId="3" fillId="11" borderId="1" xfId="55" applyNumberFormat="1" applyFont="1" applyFill="1" applyBorder="1" applyProtection="1">
      <alignment horizontal="right" vertical="center"/>
      <protection locked="0"/>
    </xf>
    <xf numFmtId="0" fontId="67" fillId="0" borderId="0" xfId="0" applyNumberFormat="1" applyFont="1" applyAlignment="1">
      <alignment horizontal="center" vertical="center" wrapText="1"/>
    </xf>
    <xf numFmtId="0" fontId="67" fillId="0" borderId="0" xfId="0" applyNumberFormat="1" applyFont="1" applyAlignment="1">
      <alignment vertical="center"/>
    </xf>
    <xf numFmtId="0" fontId="67" fillId="0" borderId="0" xfId="0" applyNumberFormat="1" applyFont="1" applyAlignment="1">
      <alignment vertical="center"/>
    </xf>
    <xf numFmtId="4" fontId="3" fillId="11" borderId="8" xfId="58" applyNumberFormat="1" applyFont="1" applyFill="1" applyBorder="1" applyProtection="1">
      <alignment horizontal="right" vertical="center"/>
      <protection locked="0"/>
    </xf>
    <xf numFmtId="2" fontId="4" fillId="11" borderId="1" xfId="0" applyNumberFormat="1" applyFont="1" applyFill="1" applyBorder="1" applyAlignment="1">
      <alignment vertical="center" wrapText="1"/>
    </xf>
    <xf numFmtId="2" fontId="3" fillId="11" borderId="1" xfId="0" applyNumberFormat="1" applyFont="1" applyFill="1" applyBorder="1" applyAlignment="1" applyProtection="1">
      <alignment horizontal="right" vertical="center"/>
      <protection locked="0"/>
    </xf>
    <xf numFmtId="0" fontId="0" fillId="0" borderId="0" xfId="0" applyNumberFormat="1" applyFont="1" applyAlignment="1"/>
    <xf numFmtId="2" fontId="4" fillId="11" borderId="1" xfId="59" applyNumberFormat="1" applyFont="1" applyFill="1" applyBorder="1" applyProtection="1">
      <alignment vertical="center" wrapText="1"/>
      <protection locked="0"/>
    </xf>
    <xf numFmtId="0" fontId="67" fillId="0" borderId="0" xfId="0" applyNumberFormat="1" applyFont="1" applyAlignment="1">
      <alignment horizontal="center" vertical="center" wrapText="1"/>
    </xf>
    <xf numFmtId="0" fontId="60" fillId="13" borderId="0" xfId="0" applyNumberFormat="1" applyFont="1" applyFill="1" applyAlignment="1">
      <alignment vertical="center"/>
    </xf>
    <xf numFmtId="4" fontId="4" fillId="11" borderId="1" xfId="0" applyNumberFormat="1" applyFont="1" applyFill="1" applyBorder="1" applyAlignment="1">
      <alignment vertical="center" wrapText="1"/>
    </xf>
    <xf numFmtId="9" fontId="4" fillId="11" borderId="1" xfId="0" applyNumberFormat="1" applyFont="1" applyFill="1" applyBorder="1" applyAlignment="1">
      <alignment vertical="center" wrapText="1"/>
    </xf>
    <xf numFmtId="0" fontId="0" fillId="0" borderId="0" xfId="0" applyNumberFormat="1" applyFont="1" applyAlignment="1"/>
    <xf numFmtId="0" fontId="0" fillId="0" borderId="0" xfId="0" applyNumberFormat="1" applyFont="1" applyAlignment="1"/>
    <xf numFmtId="4" fontId="4" fillId="11" borderId="1" xfId="61" applyNumberFormat="1" applyFont="1" applyFill="1" applyBorder="1" applyProtection="1">
      <alignment vertical="center" wrapText="1"/>
      <protection locked="0"/>
    </xf>
    <xf numFmtId="0" fontId="67" fillId="0" borderId="0" xfId="0" applyNumberFormat="1" applyFont="1" applyAlignment="1">
      <alignment vertical="center"/>
    </xf>
    <xf numFmtId="0" fontId="67" fillId="0" borderId="0" xfId="0" applyNumberFormat="1" applyFont="1" applyAlignment="1">
      <alignment vertical="center"/>
    </xf>
    <xf numFmtId="9" fontId="4" fillId="11" borderId="1" xfId="62" applyNumberFormat="1" applyFont="1" applyFill="1" applyBorder="1" applyProtection="1">
      <alignment vertical="center" wrapText="1"/>
      <protection locked="0"/>
    </xf>
    <xf numFmtId="0" fontId="67" fillId="0" borderId="0" xfId="0" applyNumberFormat="1" applyFont="1" applyAlignment="1">
      <alignment vertical="center"/>
    </xf>
    <xf numFmtId="4" fontId="7" fillId="11" borderId="1" xfId="63" applyNumberFormat="1" applyFont="1" applyFill="1" applyBorder="1" applyProtection="1">
      <alignment vertical="center" wrapText="1"/>
      <protection locked="0"/>
    </xf>
    <xf numFmtId="0" fontId="0" fillId="0" borderId="0" xfId="0" applyNumberFormat="1" applyFont="1" applyAlignment="1"/>
    <xf numFmtId="0" fontId="0" fillId="0" borderId="0" xfId="0" applyNumberFormat="1" applyFont="1" applyAlignment="1"/>
    <xf numFmtId="0" fontId="3" fillId="11" borderId="9" xfId="19" applyFont="1" applyFill="1" applyBorder="1" applyProtection="1">
      <alignment horizontal="left" vertical="center" wrapText="1"/>
      <protection locked="0"/>
    </xf>
    <xf numFmtId="2" fontId="1" fillId="11" borderId="1" xfId="0" applyNumberFormat="1" applyFont="1" applyFill="1" applyBorder="1" applyAlignment="1">
      <alignment horizontal="right" vertical="center" wrapText="1"/>
    </xf>
    <xf numFmtId="2" fontId="1" fillId="11" borderId="1" xfId="0" applyNumberFormat="1" applyFont="1" applyFill="1" applyBorder="1" applyAlignment="1">
      <alignment horizontal="center" vertical="center" wrapText="1"/>
    </xf>
    <xf numFmtId="0" fontId="0" fillId="0" borderId="0" xfId="0" applyNumberFormat="1" applyFont="1" applyAlignment="1"/>
    <xf numFmtId="9" fontId="1" fillId="11" borderId="1" xfId="64" applyNumberFormat="1" applyFont="1" applyFill="1" applyBorder="1" applyProtection="1">
      <alignment horizontal="right" vertical="center" wrapText="1"/>
      <protection locked="0"/>
    </xf>
    <xf numFmtId="2" fontId="1" fillId="11" borderId="1" xfId="66" applyNumberFormat="1" applyFont="1" applyFill="1" applyBorder="1" applyProtection="1">
      <alignment horizontal="right" vertical="center" wrapText="1"/>
      <protection locked="0"/>
    </xf>
    <xf numFmtId="2" fontId="1" fillId="11" borderId="1" xfId="67" applyNumberFormat="1" applyFont="1" applyFill="1" applyBorder="1" applyProtection="1">
      <alignment horizontal="center" vertical="center" wrapText="1"/>
      <protection locked="0"/>
    </xf>
    <xf numFmtId="4" fontId="4" fillId="11" borderId="8" xfId="0" applyNumberFormat="1" applyFont="1" applyFill="1" applyBorder="1" applyAlignment="1">
      <alignment vertical="center" wrapText="1"/>
    </xf>
    <xf numFmtId="4" fontId="3" fillId="11" borderId="7" xfId="0" applyNumberFormat="1" applyFont="1" applyFill="1" applyBorder="1" applyAlignment="1">
      <alignment horizontal="right" vertical="center"/>
    </xf>
    <xf numFmtId="0" fontId="0" fillId="0" borderId="0" xfId="0" applyNumberFormat="1" applyFont="1" applyAlignment="1"/>
    <xf numFmtId="0" fontId="67" fillId="0" borderId="0" xfId="0" applyNumberFormat="1" applyFont="1" applyAlignment="1">
      <alignment vertical="center"/>
    </xf>
    <xf numFmtId="0" fontId="67" fillId="0" borderId="0" xfId="0" applyNumberFormat="1" applyFont="1" applyAlignment="1">
      <alignment vertical="center"/>
    </xf>
    <xf numFmtId="4" fontId="4" fillId="11" borderId="5" xfId="71" applyNumberFormat="1" applyFont="1" applyFill="1" applyBorder="1" applyProtection="1">
      <alignment vertical="center" wrapText="1"/>
      <protection locked="0"/>
    </xf>
    <xf numFmtId="0" fontId="60" fillId="0" borderId="18" xfId="0" applyNumberFormat="1" applyFont="1" applyBorder="1" applyAlignment="1">
      <alignment vertical="center"/>
    </xf>
    <xf numFmtId="0" fontId="60" fillId="0" borderId="18" xfId="0" applyNumberFormat="1" applyFont="1" applyBorder="1" applyAlignment="1">
      <alignment vertical="center"/>
    </xf>
    <xf numFmtId="4" fontId="4" fillId="11" borderId="8" xfId="77" applyNumberFormat="1" applyFont="1" applyFill="1" applyBorder="1" applyProtection="1">
      <alignment vertical="center" wrapText="1"/>
      <protection locked="0"/>
    </xf>
    <xf numFmtId="4" fontId="3" fillId="11" borderId="13" xfId="78" applyNumberFormat="1" applyFont="1" applyFill="1" applyBorder="1" applyProtection="1">
      <alignment horizontal="right" vertical="center"/>
      <protection locked="0"/>
    </xf>
    <xf numFmtId="4" fontId="3" fillId="11" borderId="7" xfId="79" applyNumberFormat="1" applyFont="1" applyFill="1" applyBorder="1" applyProtection="1">
      <alignment horizontal="right" vertical="center"/>
      <protection locked="0"/>
    </xf>
    <xf numFmtId="0" fontId="0" fillId="0" borderId="0" xfId="0" applyNumberFormat="1" applyFont="1" applyAlignment="1"/>
    <xf numFmtId="4" fontId="3" fillId="11" borderId="14" xfId="80" applyNumberFormat="1" applyFont="1" applyFill="1" applyBorder="1" applyProtection="1">
      <alignment horizontal="right" vertical="center"/>
      <protection locked="0"/>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1" fillId="11" borderId="1" xfId="82" applyFont="1" applyFill="1" applyBorder="1" applyProtection="1">
      <alignment horizontal="left" vertical="center"/>
      <protection locked="0"/>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10" fontId="1" fillId="11" borderId="1" xfId="83" applyNumberFormat="1" applyFont="1" applyFill="1" applyBorder="1" applyProtection="1">
      <alignment horizontal="right" vertical="center"/>
      <protection locked="0"/>
    </xf>
    <xf numFmtId="0" fontId="0" fillId="0" borderId="0" xfId="0" applyNumberFormat="1" applyFont="1" applyAlignment="1"/>
    <xf numFmtId="0" fontId="1" fillId="11" borderId="5" xfId="84" applyFont="1" applyFill="1" applyBorder="1" applyProtection="1">
      <alignment horizontal="left" vertical="center"/>
      <protection locked="0"/>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4" fontId="1" fillId="11" borderId="14" xfId="86" applyNumberFormat="1" applyFont="1" applyFill="1" applyBorder="1" applyProtection="1">
      <alignment horizontal="right" vertical="center"/>
      <protection locked="0"/>
    </xf>
    <xf numFmtId="0" fontId="0" fillId="0" borderId="0" xfId="0" applyNumberFormat="1" applyFont="1" applyAlignment="1"/>
    <xf numFmtId="4" fontId="3" fillId="11" borderId="5" xfId="0" applyNumberFormat="1" applyFont="1" applyFill="1" applyBorder="1" applyAlignment="1">
      <alignment horizontal="right" vertical="center"/>
    </xf>
    <xf numFmtId="0" fontId="0" fillId="0" borderId="0" xfId="0" applyNumberFormat="1" applyFont="1" applyAlignment="1"/>
    <xf numFmtId="0" fontId="67" fillId="0" borderId="0" xfId="0" applyNumberFormat="1" applyFont="1" applyAlignment="1">
      <alignment vertical="center"/>
    </xf>
    <xf numFmtId="0" fontId="67" fillId="0" borderId="0" xfId="0" applyNumberFormat="1" applyFont="1" applyAlignment="1">
      <alignment vertical="center"/>
    </xf>
    <xf numFmtId="4" fontId="3" fillId="11" borderId="5" xfId="57" applyNumberFormat="1" applyFont="1" applyFill="1" applyBorder="1" applyProtection="1">
      <alignment horizontal="right" vertical="center"/>
      <protection locked="0"/>
    </xf>
    <xf numFmtId="0" fontId="0" fillId="37" borderId="0" xfId="0" applyNumberFormat="1" applyFont="1" applyFill="1" applyAlignment="1">
      <alignment horizontal="center" vertical="center"/>
    </xf>
    <xf numFmtId="4" fontId="6" fillId="11" borderId="2" xfId="0" applyNumberFormat="1" applyFont="1" applyFill="1" applyBorder="1" applyAlignment="1">
      <alignment horizontal="right" vertical="center"/>
    </xf>
    <xf numFmtId="169" fontId="3" fillId="11" borderId="2" xfId="0" applyNumberFormat="1" applyFont="1" applyFill="1" applyBorder="1" applyAlignment="1">
      <alignment horizontal="right" vertical="center"/>
    </xf>
    <xf numFmtId="169" fontId="3" fillId="11" borderId="9" xfId="0" applyNumberFormat="1" applyFont="1" applyFill="1" applyBorder="1" applyAlignment="1">
      <alignment horizontal="right" vertical="center"/>
    </xf>
    <xf numFmtId="169" fontId="3" fillId="11" borderId="1" xfId="0" applyNumberFormat="1" applyFont="1" applyFill="1" applyBorder="1" applyAlignment="1">
      <alignment horizontal="right" vertical="center"/>
    </xf>
    <xf numFmtId="49" fontId="1" fillId="10" borderId="2" xfId="0" applyNumberFormat="1" applyFont="1" applyFill="1" applyBorder="1" applyAlignment="1" applyProtection="1">
      <alignment horizontal="left" vertical="center" wrapText="1"/>
      <protection locked="0"/>
    </xf>
    <xf numFmtId="169" fontId="3" fillId="11" borderId="1" xfId="0" applyNumberFormat="1" applyFont="1" applyFill="1" applyBorder="1" applyAlignment="1">
      <alignment horizontal="right" vertical="center"/>
    </xf>
    <xf numFmtId="0" fontId="13" fillId="0" borderId="0" xfId="0" applyNumberFormat="1" applyFont="1" applyAlignment="1">
      <alignment vertical="center"/>
    </xf>
    <xf numFmtId="4" fontId="6" fillId="11" borderId="2" xfId="88" applyNumberFormat="1" applyFont="1" applyFill="1" applyBorder="1" applyProtection="1">
      <alignment horizontal="right" vertical="center"/>
      <protection locked="0"/>
    </xf>
    <xf numFmtId="0" fontId="13" fillId="0" borderId="0" xfId="0" applyNumberFormat="1" applyFont="1" applyAlignment="1">
      <alignment vertical="center"/>
    </xf>
    <xf numFmtId="169" fontId="3" fillId="11" borderId="2" xfId="89" applyNumberFormat="1" applyFont="1" applyFill="1" applyBorder="1" applyProtection="1">
      <alignment horizontal="right" vertical="center"/>
      <protection locked="0"/>
    </xf>
    <xf numFmtId="0" fontId="13" fillId="0" borderId="0" xfId="0" applyNumberFormat="1" applyFont="1" applyAlignment="1">
      <alignment vertical="center"/>
    </xf>
    <xf numFmtId="0" fontId="13" fillId="0" borderId="0" xfId="0" applyNumberFormat="1" applyFont="1" applyAlignment="1">
      <alignment vertical="center"/>
    </xf>
    <xf numFmtId="169" fontId="3" fillId="11" borderId="9" xfId="90" applyNumberFormat="1" applyFont="1" applyFill="1" applyBorder="1" applyProtection="1">
      <alignment horizontal="right" vertical="center"/>
      <protection locked="0"/>
    </xf>
    <xf numFmtId="0" fontId="0" fillId="37" borderId="0" xfId="0" applyNumberFormat="1" applyFont="1" applyFill="1" applyAlignment="1">
      <alignment horizontal="left" vertical="top"/>
    </xf>
    <xf numFmtId="0" fontId="0" fillId="37" borderId="0" xfId="0" applyNumberFormat="1" applyFont="1" applyFill="1" applyAlignment="1">
      <alignment horizontal="left" vertical="top"/>
    </xf>
    <xf numFmtId="0" fontId="0" fillId="37" borderId="0" xfId="0" applyNumberFormat="1" applyFont="1" applyFill="1" applyAlignment="1">
      <alignment horizontal="left" vertical="top"/>
    </xf>
    <xf numFmtId="0" fontId="0" fillId="37" borderId="0" xfId="0" applyNumberFormat="1" applyFont="1" applyFill="1" applyAlignment="1">
      <alignment horizontal="left" vertical="top"/>
    </xf>
    <xf numFmtId="0" fontId="0" fillId="0" borderId="0" xfId="0" applyNumberFormat="1" applyFont="1" applyAlignment="1"/>
    <xf numFmtId="0" fontId="60" fillId="0" borderId="0" xfId="0" applyNumberFormat="1" applyFont="1" applyAlignment="1">
      <alignment vertical="center"/>
    </xf>
    <xf numFmtId="4" fontId="3" fillId="11" borderId="16" xfId="91" applyNumberFormat="1" applyFont="1" applyFill="1" applyBorder="1" applyProtection="1">
      <alignment horizontal="right" vertical="center"/>
      <protection locked="0"/>
    </xf>
    <xf numFmtId="2" fontId="3" fillId="11" borderId="16" xfId="92" applyNumberFormat="1" applyFont="1" applyFill="1" applyBorder="1" applyProtection="1">
      <alignment horizontal="right" vertical="center"/>
      <protection locked="0"/>
    </xf>
    <xf numFmtId="0" fontId="60" fillId="0" borderId="0" xfId="0" applyNumberFormat="1" applyFont="1" applyAlignment="1">
      <alignment vertical="center"/>
    </xf>
    <xf numFmtId="2" fontId="1" fillId="11" borderId="2" xfId="94" applyNumberFormat="1" applyFont="1" applyFill="1" applyBorder="1" applyProtection="1">
      <alignment horizontal="right" vertical="center"/>
      <protection locked="0"/>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49" fontId="1" fillId="11" borderId="51" xfId="0" applyNumberFormat="1" applyFont="1" applyFill="1" applyBorder="1" applyAlignment="1">
      <alignment horizontal="left" vertical="center" wrapText="1"/>
    </xf>
    <xf numFmtId="0" fontId="27" fillId="21" borderId="44" xfId="0" applyNumberFormat="1" applyFont="1" applyFill="1" applyBorder="1" applyAlignment="1">
      <alignment horizontal="right" vertical="center" wrapText="1" indent="1"/>
    </xf>
    <xf numFmtId="0" fontId="27" fillId="21" borderId="14" xfId="0" applyNumberFormat="1" applyFont="1" applyFill="1" applyBorder="1" applyAlignment="1">
      <alignment horizontal="right" vertical="center" wrapText="1" indent="1"/>
    </xf>
    <xf numFmtId="0" fontId="27" fillId="21" borderId="31" xfId="0" applyNumberFormat="1" applyFont="1" applyFill="1" applyBorder="1" applyAlignment="1">
      <alignment horizontal="right" vertical="center" wrapText="1" indent="1"/>
    </xf>
    <xf numFmtId="0" fontId="27" fillId="21" borderId="0" xfId="0" applyNumberFormat="1" applyFont="1" applyFill="1" applyAlignment="1">
      <alignment horizontal="right" vertical="center" wrapText="1" indent="1"/>
    </xf>
    <xf numFmtId="0" fontId="53" fillId="0" borderId="0" xfId="0" applyNumberFormat="1" applyFont="1" applyAlignment="1">
      <alignment vertical="center" wrapText="1"/>
    </xf>
    <xf numFmtId="0" fontId="27" fillId="21" borderId="60" xfId="0" applyNumberFormat="1" applyFont="1" applyFill="1" applyBorder="1" applyAlignment="1">
      <alignment horizontal="right" vertical="center" wrapText="1" indent="1"/>
    </xf>
    <xf numFmtId="0" fontId="27" fillId="21" borderId="29" xfId="0" applyNumberFormat="1" applyFont="1" applyFill="1" applyBorder="1" applyAlignment="1">
      <alignment horizontal="right" vertical="center" wrapText="1" indent="1"/>
    </xf>
    <xf numFmtId="0" fontId="27" fillId="21" borderId="30" xfId="0" applyNumberFormat="1" applyFont="1" applyFill="1" applyBorder="1" applyAlignment="1">
      <alignment horizontal="right" vertical="center" wrapText="1" indent="1"/>
    </xf>
    <xf numFmtId="0" fontId="53" fillId="0" borderId="0" xfId="0" applyNumberFormat="1" applyFont="1" applyAlignment="1">
      <alignment vertical="top" wrapText="1"/>
    </xf>
    <xf numFmtId="0" fontId="10" fillId="0" borderId="0" xfId="0" applyNumberFormat="1" applyFont="1" applyAlignment="1">
      <alignment vertical="center"/>
    </xf>
    <xf numFmtId="0" fontId="53" fillId="32" borderId="61" xfId="0" applyNumberFormat="1" applyFont="1" applyFill="1" applyBorder="1" applyAlignment="1">
      <alignment horizontal="center" vertical="center" wrapText="1"/>
    </xf>
    <xf numFmtId="0" fontId="53" fillId="32" borderId="62" xfId="0" applyNumberFormat="1" applyFont="1" applyFill="1" applyBorder="1" applyAlignment="1">
      <alignment horizontal="center" vertical="center" wrapText="1"/>
    </xf>
    <xf numFmtId="0" fontId="53" fillId="32" borderId="63" xfId="0" applyNumberFormat="1" applyFont="1" applyFill="1" applyBorder="1" applyAlignment="1">
      <alignment horizontal="center" vertical="center" wrapText="1"/>
    </xf>
    <xf numFmtId="0" fontId="53" fillId="0" borderId="31" xfId="0" applyNumberFormat="1" applyFont="1" applyBorder="1" applyAlignment="1">
      <alignment vertical="center" wrapText="1"/>
    </xf>
    <xf numFmtId="0" fontId="53" fillId="0" borderId="31" xfId="0" applyNumberFormat="1" applyFont="1" applyBorder="1" applyAlignment="1">
      <alignment horizontal="left" vertical="center" wrapText="1"/>
    </xf>
    <xf numFmtId="0" fontId="53" fillId="0" borderId="0" xfId="0" applyNumberFormat="1" applyFont="1" applyAlignment="1">
      <alignment horizontal="left" vertical="center" wrapText="1"/>
    </xf>
    <xf numFmtId="0" fontId="63" fillId="0" borderId="0" xfId="0" applyNumberFormat="1" applyFont="1" applyAlignment="1">
      <alignment vertical="top" wrapText="1"/>
    </xf>
    <xf numFmtId="0" fontId="1" fillId="0" borderId="2" xfId="0" applyNumberFormat="1" applyFont="1" applyBorder="1" applyAlignment="1">
      <alignment horizontal="center" vertical="center" textRotation="90" wrapText="1"/>
    </xf>
    <xf numFmtId="0" fontId="1" fillId="0" borderId="2" xfId="0" applyNumberFormat="1" applyFont="1" applyBorder="1" applyAlignment="1">
      <alignment horizontal="right" vertical="center" wrapText="1" indent="1"/>
    </xf>
    <xf numFmtId="0" fontId="45" fillId="0" borderId="64" xfId="0" applyNumberFormat="1" applyFont="1" applyBorder="1" applyAlignment="1">
      <alignment horizontal="center" vertical="top" wrapText="1"/>
    </xf>
    <xf numFmtId="0" fontId="9" fillId="0" borderId="2" xfId="0" applyNumberFormat="1" applyFont="1" applyBorder="1" applyAlignment="1">
      <alignment vertical="center" wrapText="1"/>
    </xf>
    <xf numFmtId="0" fontId="1" fillId="10" borderId="1" xfId="0" applyNumberFormat="1" applyFont="1" applyFill="1" applyBorder="1" applyAlignment="1" applyProtection="1">
      <alignment horizontal="right" vertical="center" wrapText="1" indent="1"/>
      <protection locked="0"/>
    </xf>
    <xf numFmtId="0" fontId="3" fillId="10" borderId="1" xfId="0" applyNumberFormat="1" applyFont="1" applyFill="1" applyBorder="1" applyAlignment="1" applyProtection="1">
      <alignment horizontal="right" vertical="center" wrapText="1" indent="1"/>
      <protection locked="0"/>
    </xf>
    <xf numFmtId="0" fontId="1" fillId="10" borderId="1" xfId="1" applyFont="1" applyFill="1" applyBorder="1">
      <alignment horizontal="right" vertical="center" wrapText="1" indent="1"/>
    </xf>
    <xf numFmtId="0" fontId="3" fillId="10" borderId="1" xfId="2" applyFont="1" applyFill="1" applyBorder="1">
      <alignment horizontal="right" vertical="center" wrapText="1" indent="1"/>
    </xf>
    <xf numFmtId="0" fontId="1" fillId="10" borderId="1" xfId="1" applyFont="1" applyFill="1" applyBorder="1" applyProtection="1">
      <alignment horizontal="right" vertical="center" wrapText="1" indent="1"/>
      <protection locked="0"/>
    </xf>
    <xf numFmtId="0" fontId="3" fillId="10" borderId="1" xfId="2" applyFont="1" applyFill="1" applyBorder="1" applyProtection="1">
      <alignment horizontal="right" vertical="center" wrapText="1" indent="1"/>
      <protection locked="0"/>
    </xf>
    <xf numFmtId="0" fontId="9" fillId="0" borderId="13" xfId="0" applyNumberFormat="1" applyFont="1" applyBorder="1" applyAlignment="1">
      <alignment horizontal="left" vertical="center" wrapText="1"/>
    </xf>
    <xf numFmtId="0" fontId="9" fillId="0" borderId="17" xfId="0" applyNumberFormat="1" applyFont="1" applyBorder="1" applyAlignment="1">
      <alignment horizontal="left" vertical="center" wrapText="1"/>
    </xf>
    <xf numFmtId="0" fontId="9" fillId="0" borderId="7" xfId="0" applyNumberFormat="1" applyFont="1" applyBorder="1" applyAlignment="1">
      <alignment horizontal="left" vertical="center" wrapText="1"/>
    </xf>
    <xf numFmtId="0" fontId="9" fillId="11" borderId="1" xfId="0" applyNumberFormat="1" applyFont="1" applyFill="1" applyBorder="1" applyAlignment="1" applyProtection="1">
      <alignment horizontal="left" vertical="center" wrapText="1"/>
      <protection locked="0"/>
    </xf>
    <xf numFmtId="0" fontId="1" fillId="0" borderId="31" xfId="0" applyNumberFormat="1" applyFont="1" applyBorder="1" applyAlignment="1">
      <alignment horizontal="center" vertical="center" wrapText="1"/>
    </xf>
    <xf numFmtId="0" fontId="1" fillId="0" borderId="60" xfId="0" applyNumberFormat="1" applyFont="1" applyBorder="1" applyAlignment="1">
      <alignment horizontal="center" vertical="center" wrapText="1"/>
    </xf>
    <xf numFmtId="0" fontId="1" fillId="0" borderId="29"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49" fontId="1" fillId="0" borderId="1" xfId="0" applyNumberFormat="1" applyFont="1" applyBorder="1" applyAlignment="1">
      <alignment horizontal="right" vertical="center" wrapText="1"/>
    </xf>
    <xf numFmtId="0" fontId="9" fillId="0" borderId="0" xfId="0" applyNumberFormat="1" applyFont="1" applyAlignment="1">
      <alignment horizontal="center" vertical="center"/>
    </xf>
    <xf numFmtId="49" fontId="5" fillId="33" borderId="2" xfId="0" applyNumberFormat="1" applyFont="1" applyFill="1" applyBorder="1" applyAlignment="1">
      <alignment horizontal="left" vertical="center" wrapText="1" indent="4"/>
    </xf>
    <xf numFmtId="0" fontId="1" fillId="0" borderId="13" xfId="0" applyNumberFormat="1" applyFont="1" applyBorder="1" applyAlignment="1">
      <alignment horizontal="right" vertical="center" wrapText="1" indent="1"/>
    </xf>
    <xf numFmtId="0" fontId="1" fillId="0" borderId="17" xfId="0" applyNumberFormat="1" applyFont="1" applyBorder="1" applyAlignment="1">
      <alignment horizontal="right" vertical="center" wrapText="1" indent="1"/>
    </xf>
    <xf numFmtId="0" fontId="1" fillId="0" borderId="7" xfId="0" applyNumberFormat="1" applyFont="1" applyBorder="1" applyAlignment="1">
      <alignment horizontal="right" vertical="center" wrapText="1" indent="1"/>
    </xf>
    <xf numFmtId="49" fontId="6" fillId="33" borderId="2" xfId="0" applyNumberFormat="1" applyFont="1" applyFill="1" applyBorder="1" applyAlignment="1">
      <alignment horizontal="center" vertical="center" wrapText="1"/>
    </xf>
    <xf numFmtId="0" fontId="5" fillId="10" borderId="2" xfId="0" applyNumberFormat="1" applyFont="1" applyFill="1" applyBorder="1" applyAlignment="1" applyProtection="1">
      <alignment horizontal="center" vertical="center"/>
      <protection locked="0"/>
    </xf>
    <xf numFmtId="0" fontId="5" fillId="30" borderId="2" xfId="0" applyNumberFormat="1" applyFont="1" applyFill="1" applyBorder="1" applyAlignment="1">
      <alignment horizontal="center" vertical="center" wrapText="1"/>
    </xf>
    <xf numFmtId="0" fontId="5" fillId="30" borderId="2" xfId="0" applyNumberFormat="1" applyFont="1" applyFill="1" applyBorder="1" applyAlignment="1">
      <alignment horizontal="center" vertical="center"/>
    </xf>
    <xf numFmtId="0" fontId="6" fillId="33" borderId="2" xfId="0" applyNumberFormat="1" applyFont="1" applyFill="1" applyBorder="1" applyAlignment="1">
      <alignment horizontal="center" vertical="center" wrapText="1"/>
    </xf>
    <xf numFmtId="0" fontId="5" fillId="33" borderId="2" xfId="0" applyNumberFormat="1" applyFont="1" applyFill="1" applyBorder="1" applyAlignment="1">
      <alignment horizontal="center" vertical="center" wrapText="1"/>
    </xf>
    <xf numFmtId="0" fontId="1" fillId="0" borderId="36" xfId="0" applyNumberFormat="1" applyFont="1" applyBorder="1" applyAlignment="1">
      <alignment vertical="center"/>
    </xf>
    <xf numFmtId="0" fontId="1" fillId="0" borderId="37" xfId="0" applyNumberFormat="1" applyFont="1" applyBorder="1" applyAlignment="1">
      <alignment vertical="center"/>
    </xf>
    <xf numFmtId="0" fontId="1" fillId="0" borderId="12" xfId="0" applyNumberFormat="1" applyFont="1" applyBorder="1" applyAlignment="1">
      <alignment vertical="center"/>
    </xf>
    <xf numFmtId="0" fontId="9" fillId="0" borderId="0" xfId="0" applyNumberFormat="1" applyFont="1" applyAlignment="1">
      <alignment horizontal="left" vertical="center" wrapText="1"/>
    </xf>
    <xf numFmtId="0" fontId="1" fillId="0" borderId="0" xfId="0" applyNumberFormat="1" applyFont="1" applyAlignment="1">
      <alignment horizontal="center" vertical="center"/>
    </xf>
    <xf numFmtId="49" fontId="45" fillId="0" borderId="55" xfId="0" applyNumberFormat="1" applyFont="1" applyBorder="1" applyAlignment="1">
      <alignment horizontal="center" vertical="top" wrapText="1"/>
    </xf>
    <xf numFmtId="0" fontId="1" fillId="0" borderId="36" xfId="0" applyNumberFormat="1" applyFont="1" applyBorder="1" applyAlignment="1">
      <alignment horizontal="right" vertical="center" wrapText="1" indent="1"/>
    </xf>
    <xf numFmtId="0" fontId="1" fillId="0" borderId="37" xfId="0" applyNumberFormat="1" applyFont="1" applyBorder="1" applyAlignment="1">
      <alignment horizontal="right" vertical="center" wrapText="1" indent="1"/>
    </xf>
    <xf numFmtId="0" fontId="1" fillId="0" borderId="12" xfId="0" applyNumberFormat="1" applyFont="1" applyBorder="1" applyAlignment="1">
      <alignment horizontal="right" vertical="center" wrapText="1" indent="1"/>
    </xf>
    <xf numFmtId="0" fontId="5" fillId="0" borderId="0" xfId="0" applyNumberFormat="1" applyFont="1" applyAlignment="1">
      <alignment vertical="center" wrapText="1"/>
    </xf>
    <xf numFmtId="0" fontId="1" fillId="23" borderId="2" xfId="0" applyNumberFormat="1" applyFont="1" applyFill="1" applyBorder="1" applyAlignment="1">
      <alignment horizontal="right" vertical="center" wrapText="1" indent="1"/>
    </xf>
    <xf numFmtId="0" fontId="1" fillId="0" borderId="55" xfId="0" applyNumberFormat="1" applyFont="1" applyBorder="1" applyAlignment="1">
      <alignment horizontal="right" vertical="center" wrapText="1" indent="1"/>
    </xf>
    <xf numFmtId="0" fontId="1" fillId="0" borderId="64" xfId="0" applyNumberFormat="1" applyFont="1" applyBorder="1" applyAlignment="1">
      <alignment horizontal="right" vertical="center" wrapText="1" indent="1"/>
    </xf>
    <xf numFmtId="0" fontId="1" fillId="0" borderId="40" xfId="0" applyNumberFormat="1" applyFont="1" applyBorder="1" applyAlignment="1">
      <alignment horizontal="right" vertical="center" wrapText="1" indent="1"/>
    </xf>
    <xf numFmtId="0" fontId="1" fillId="0" borderId="11" xfId="0" applyNumberFormat="1" applyFont="1" applyBorder="1" applyAlignment="1">
      <alignment horizontal="right" vertical="center" wrapText="1" indent="1"/>
    </xf>
    <xf numFmtId="0" fontId="9" fillId="0" borderId="1" xfId="0" applyNumberFormat="1" applyFont="1" applyBorder="1" applyAlignment="1">
      <alignment vertical="center" wrapText="1"/>
    </xf>
    <xf numFmtId="0" fontId="9" fillId="0" borderId="5" xfId="0" applyNumberFormat="1" applyFont="1" applyBorder="1" applyAlignment="1">
      <alignment vertical="center" wrapText="1"/>
    </xf>
    <xf numFmtId="0" fontId="6" fillId="33" borderId="9" xfId="0" applyNumberFormat="1" applyFont="1" applyFill="1" applyBorder="1" applyAlignment="1">
      <alignment horizontal="left" vertical="center" wrapText="1" indent="4"/>
    </xf>
    <xf numFmtId="0" fontId="6" fillId="33" borderId="2" xfId="0" applyNumberFormat="1" applyFont="1" applyFill="1" applyBorder="1" applyAlignment="1">
      <alignment horizontal="left" vertical="center" wrapText="1" indent="4"/>
    </xf>
    <xf numFmtId="0" fontId="9" fillId="0" borderId="9" xfId="0" applyNumberFormat="1" applyFont="1" applyBorder="1" applyAlignment="1">
      <alignment vertical="center" wrapText="1"/>
    </xf>
    <xf numFmtId="0" fontId="5" fillId="0" borderId="18" xfId="0" quotePrefix="1" applyNumberFormat="1" applyFont="1" applyBorder="1" applyAlignment="1">
      <alignment horizontal="left" vertical="center" wrapText="1" indent="1"/>
    </xf>
    <xf numFmtId="0" fontId="5" fillId="0" borderId="18" xfId="0" applyNumberFormat="1" applyFont="1" applyBorder="1" applyAlignment="1">
      <alignment horizontal="left" vertical="center" wrapText="1" indent="1"/>
    </xf>
    <xf numFmtId="0" fontId="3" fillId="0" borderId="0" xfId="0" applyNumberFormat="1" applyFont="1" applyAlignment="1">
      <alignment horizontal="center" vertical="center" wrapText="1"/>
    </xf>
    <xf numFmtId="49" fontId="1" fillId="0" borderId="0" xfId="0" applyNumberFormat="1" applyFont="1">
      <alignment vertical="top"/>
    </xf>
    <xf numFmtId="49" fontId="5" fillId="0" borderId="0" xfId="0" applyNumberFormat="1" applyFont="1" applyAlignment="1">
      <alignment horizontal="center" vertical="center" wrapText="1" shrinkToFit="1"/>
    </xf>
    <xf numFmtId="0" fontId="3" fillId="0" borderId="0" xfId="0" applyNumberFormat="1" applyFont="1" applyAlignment="1"/>
    <xf numFmtId="0" fontId="1" fillId="0" borderId="0" xfId="0" applyNumberFormat="1" applyFont="1" applyAlignment="1"/>
    <xf numFmtId="0" fontId="3" fillId="0" borderId="0" xfId="0" applyNumberFormat="1" applyFont="1" applyAlignment="1">
      <alignment horizontal="center" vertical="center"/>
    </xf>
    <xf numFmtId="0" fontId="3" fillId="0" borderId="9"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9" xfId="0" applyNumberFormat="1" applyFont="1" applyBorder="1" applyAlignment="1">
      <alignment horizontal="center" vertical="center" wrapText="1"/>
    </xf>
    <xf numFmtId="0" fontId="1" fillId="0" borderId="36" xfId="0" applyNumberFormat="1" applyFont="1" applyBorder="1" applyAlignment="1">
      <alignment horizontal="center" vertical="center" wrapText="1"/>
    </xf>
    <xf numFmtId="0" fontId="3" fillId="0" borderId="0" xfId="0" applyNumberFormat="1" applyFont="1" applyAlignment="1">
      <alignment vertical="center" wrapText="1"/>
    </xf>
    <xf numFmtId="49" fontId="1" fillId="0" borderId="1" xfId="0" applyNumberFormat="1" applyFont="1" applyBorder="1" applyAlignment="1">
      <alignment horizontal="left" vertical="center" wrapText="1"/>
    </xf>
    <xf numFmtId="0" fontId="1" fillId="0" borderId="10" xfId="0" applyNumberFormat="1" applyFont="1" applyBorder="1" applyAlignment="1">
      <alignment horizontal="center" vertical="center" wrapText="1"/>
    </xf>
    <xf numFmtId="0" fontId="6" fillId="22" borderId="2" xfId="0" applyNumberFormat="1" applyFont="1" applyFill="1" applyBorder="1" applyAlignment="1">
      <alignment vertical="center" wrapText="1"/>
    </xf>
    <xf numFmtId="0" fontId="3" fillId="0" borderId="2"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1" fillId="13" borderId="11" xfId="0" applyNumberFormat="1" applyFont="1" applyFill="1" applyBorder="1" applyAlignment="1">
      <alignment horizontal="center" vertical="center" wrapText="1"/>
    </xf>
    <xf numFmtId="0" fontId="1" fillId="13" borderId="12" xfId="0" applyNumberFormat="1" applyFont="1" applyFill="1" applyBorder="1" applyAlignment="1">
      <alignment horizontal="center" vertical="center" wrapText="1"/>
    </xf>
    <xf numFmtId="49" fontId="22" fillId="18" borderId="13" xfId="0" applyNumberFormat="1" applyFont="1" applyFill="1" applyBorder="1" applyAlignment="1">
      <alignment horizontal="left" vertical="center" indent="1"/>
    </xf>
    <xf numFmtId="49" fontId="22" fillId="18" borderId="17" xfId="0" applyNumberFormat="1" applyFont="1" applyFill="1" applyBorder="1" applyAlignment="1">
      <alignment horizontal="left" vertical="center" indent="1"/>
    </xf>
    <xf numFmtId="0" fontId="1" fillId="0" borderId="16" xfId="0" applyNumberFormat="1" applyFont="1" applyBorder="1" applyAlignment="1">
      <alignment horizontal="center" vertical="center" wrapText="1"/>
    </xf>
    <xf numFmtId="0" fontId="38" fillId="0" borderId="16" xfId="0" applyNumberFormat="1" applyFont="1" applyBorder="1" applyAlignment="1">
      <alignment vertical="center"/>
    </xf>
    <xf numFmtId="0" fontId="1" fillId="11" borderId="65" xfId="0" applyNumberFormat="1" applyFont="1" applyFill="1" applyBorder="1" applyAlignment="1" applyProtection="1">
      <alignment horizontal="left" vertical="center" wrapText="1"/>
      <protection locked="0"/>
    </xf>
    <xf numFmtId="0" fontId="1" fillId="11" borderId="26" xfId="0" applyNumberFormat="1" applyFont="1" applyFill="1" applyBorder="1" applyAlignment="1" applyProtection="1">
      <alignment horizontal="left" vertical="center" wrapText="1"/>
      <protection locked="0"/>
    </xf>
    <xf numFmtId="0" fontId="1" fillId="11" borderId="26" xfId="0" applyNumberFormat="1" applyFont="1" applyFill="1" applyBorder="1" applyAlignment="1">
      <alignment horizontal="left" vertical="center" wrapText="1"/>
    </xf>
    <xf numFmtId="0" fontId="1" fillId="11" borderId="66" xfId="0" applyNumberFormat="1" applyFont="1" applyFill="1" applyBorder="1" applyAlignment="1" applyProtection="1">
      <alignment horizontal="left" vertical="center" wrapText="1"/>
      <protection locked="0"/>
    </xf>
    <xf numFmtId="0" fontId="1" fillId="11" borderId="65" xfId="0" applyNumberFormat="1" applyFont="1" applyFill="1" applyBorder="1" applyAlignment="1">
      <alignment horizontal="left" vertical="center" wrapText="1"/>
    </xf>
    <xf numFmtId="0" fontId="1" fillId="11" borderId="66" xfId="0" applyNumberFormat="1" applyFont="1" applyFill="1" applyBorder="1" applyAlignment="1">
      <alignment horizontal="left" vertical="center" wrapText="1"/>
    </xf>
    <xf numFmtId="49" fontId="1" fillId="3" borderId="67" xfId="0" applyNumberFormat="1" applyFont="1" applyFill="1" applyBorder="1" applyAlignment="1">
      <alignment horizontal="center" vertical="center" textRotation="90"/>
    </xf>
    <xf numFmtId="49" fontId="1" fillId="3" borderId="68" xfId="0" applyNumberFormat="1" applyFont="1" applyFill="1" applyBorder="1" applyAlignment="1">
      <alignment horizontal="center" vertical="center" textRotation="90"/>
    </xf>
    <xf numFmtId="49" fontId="1" fillId="3" borderId="69" xfId="0" applyNumberFormat="1" applyFont="1" applyFill="1" applyBorder="1" applyAlignment="1">
      <alignment horizontal="center" vertical="center" textRotation="90"/>
    </xf>
    <xf numFmtId="49" fontId="1" fillId="4" borderId="67" xfId="0" applyNumberFormat="1" applyFont="1" applyFill="1" applyBorder="1" applyAlignment="1">
      <alignment horizontal="center" vertical="center" textRotation="90"/>
    </xf>
    <xf numFmtId="49" fontId="1" fillId="4" borderId="68" xfId="0" applyNumberFormat="1" applyFont="1" applyFill="1" applyBorder="1" applyAlignment="1">
      <alignment horizontal="center" vertical="center" textRotation="90"/>
    </xf>
    <xf numFmtId="49" fontId="1" fillId="4" borderId="69" xfId="0" applyNumberFormat="1" applyFont="1" applyFill="1" applyBorder="1" applyAlignment="1">
      <alignment horizontal="center" vertical="center" textRotation="90"/>
    </xf>
    <xf numFmtId="49" fontId="1" fillId="5" borderId="67" xfId="0" applyNumberFormat="1" applyFont="1" applyFill="1" applyBorder="1" applyAlignment="1">
      <alignment horizontal="center" vertical="center" textRotation="90"/>
    </xf>
    <xf numFmtId="49" fontId="1" fillId="5" borderId="68" xfId="0" applyNumberFormat="1" applyFont="1" applyFill="1" applyBorder="1" applyAlignment="1">
      <alignment horizontal="center" vertical="center" textRotation="90"/>
    </xf>
    <xf numFmtId="49" fontId="1" fillId="5" borderId="69" xfId="0" applyNumberFormat="1" applyFont="1" applyFill="1" applyBorder="1" applyAlignment="1">
      <alignment horizontal="center" vertical="center" textRotation="90"/>
    </xf>
    <xf numFmtId="49" fontId="1" fillId="36" borderId="67" xfId="0" applyNumberFormat="1" applyFont="1" applyFill="1" applyBorder="1" applyAlignment="1">
      <alignment horizontal="center" vertical="center" textRotation="90"/>
    </xf>
    <xf numFmtId="49" fontId="1" fillId="36" borderId="68" xfId="0" applyNumberFormat="1" applyFont="1" applyFill="1" applyBorder="1" applyAlignment="1">
      <alignment horizontal="center" vertical="center" textRotation="90"/>
    </xf>
    <xf numFmtId="49" fontId="1" fillId="36" borderId="69" xfId="0" applyNumberFormat="1" applyFont="1" applyFill="1" applyBorder="1" applyAlignment="1">
      <alignment horizontal="center" vertical="center" textRotation="90"/>
    </xf>
    <xf numFmtId="49" fontId="1" fillId="0" borderId="7" xfId="0" applyNumberFormat="1" applyFont="1" applyBorder="1" applyAlignment="1">
      <alignment horizontal="left" vertical="center" wrapText="1"/>
    </xf>
    <xf numFmtId="49" fontId="4" fillId="13" borderId="7" xfId="0" applyNumberFormat="1" applyFont="1" applyFill="1" applyBorder="1" applyAlignment="1">
      <alignment horizontal="left" vertical="center" wrapText="1"/>
    </xf>
    <xf numFmtId="49" fontId="4" fillId="13" borderId="1" xfId="0" applyNumberFormat="1" applyFont="1" applyFill="1" applyBorder="1" applyAlignment="1">
      <alignment horizontal="left" vertical="center" wrapText="1"/>
    </xf>
    <xf numFmtId="49" fontId="1" fillId="0" borderId="7" xfId="0" applyNumberFormat="1" applyFont="1" applyBorder="1" applyAlignment="1">
      <alignment horizontal="left" vertical="center" wrapText="1" indent="1"/>
    </xf>
    <xf numFmtId="49" fontId="1" fillId="0" borderId="1" xfId="0" applyNumberFormat="1" applyFont="1" applyBorder="1" applyAlignment="1">
      <alignment horizontal="left" vertical="center" wrapText="1" indent="1"/>
    </xf>
    <xf numFmtId="49" fontId="5" fillId="0" borderId="7"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5" fillId="0" borderId="7" xfId="0" applyNumberFormat="1" applyFont="1" applyBorder="1" applyAlignment="1">
      <alignment horizontal="left" vertical="center" wrapText="1" indent="1"/>
    </xf>
    <xf numFmtId="49" fontId="5" fillId="0" borderId="1" xfId="0" applyNumberFormat="1" applyFont="1" applyBorder="1" applyAlignment="1">
      <alignment horizontal="left" vertical="center" wrapText="1" indent="1"/>
    </xf>
    <xf numFmtId="49" fontId="5" fillId="21" borderId="17" xfId="0" applyNumberFormat="1" applyFont="1" applyFill="1" applyBorder="1" applyAlignment="1">
      <alignment horizontal="left" vertical="center" wrapText="1" indent="2"/>
    </xf>
    <xf numFmtId="49" fontId="5" fillId="21" borderId="7" xfId="0" applyNumberFormat="1" applyFont="1" applyFill="1" applyBorder="1" applyAlignment="1">
      <alignment horizontal="left" vertical="center" wrapText="1" indent="2"/>
    </xf>
    <xf numFmtId="49" fontId="7" fillId="13" borderId="7" xfId="0" applyNumberFormat="1" applyFont="1" applyFill="1" applyBorder="1" applyAlignment="1">
      <alignment horizontal="left" vertical="center" wrapText="1"/>
    </xf>
    <xf numFmtId="49" fontId="7" fillId="13" borderId="1" xfId="0" applyNumberFormat="1" applyFont="1" applyFill="1" applyBorder="1" applyAlignment="1">
      <alignment horizontal="left" vertical="center" wrapText="1"/>
    </xf>
    <xf numFmtId="49" fontId="4" fillId="13" borderId="7" xfId="0" applyNumberFormat="1" applyFont="1" applyFill="1" applyBorder="1" applyAlignment="1">
      <alignment horizontal="left" vertical="center" wrapText="1" indent="1"/>
    </xf>
    <xf numFmtId="49" fontId="4" fillId="13" borderId="1" xfId="0" applyNumberFormat="1" applyFont="1" applyFill="1" applyBorder="1" applyAlignment="1">
      <alignment horizontal="left" vertical="center" wrapText="1" indent="1"/>
    </xf>
    <xf numFmtId="49" fontId="7" fillId="13" borderId="1" xfId="0"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13" borderId="7" xfId="0" applyNumberFormat="1" applyFont="1" applyFill="1" applyBorder="1" applyAlignment="1">
      <alignment horizontal="left" vertical="center" wrapText="1" indent="2"/>
    </xf>
    <xf numFmtId="49" fontId="4" fillId="13" borderId="1" xfId="0" applyNumberFormat="1" applyFont="1" applyFill="1" applyBorder="1" applyAlignment="1">
      <alignment horizontal="left" vertical="center" wrapText="1" indent="2"/>
    </xf>
    <xf numFmtId="49" fontId="4" fillId="13" borderId="14" xfId="0" applyNumberFormat="1" applyFont="1" applyFill="1" applyBorder="1" applyAlignment="1">
      <alignment horizontal="left" vertical="center" wrapText="1"/>
    </xf>
    <xf numFmtId="49" fontId="4" fillId="13" borderId="5" xfId="0" applyNumberFormat="1" applyFont="1" applyFill="1" applyBorder="1" applyAlignment="1">
      <alignment horizontal="left" vertical="center" wrapText="1"/>
    </xf>
    <xf numFmtId="49" fontId="4" fillId="13" borderId="6" xfId="0" applyNumberFormat="1" applyFont="1" applyFill="1" applyBorder="1" applyAlignment="1">
      <alignment horizontal="left" vertical="center" wrapText="1" indent="1"/>
    </xf>
    <xf numFmtId="49" fontId="4" fillId="13" borderId="8" xfId="0" applyNumberFormat="1" applyFont="1" applyFill="1" applyBorder="1" applyAlignment="1">
      <alignment horizontal="left" vertical="center" wrapText="1" indent="1"/>
    </xf>
    <xf numFmtId="49" fontId="4" fillId="13" borderId="1" xfId="0" applyNumberFormat="1" applyFont="1" applyFill="1" applyBorder="1" applyAlignment="1">
      <alignment horizontal="center" vertical="center" wrapText="1"/>
    </xf>
    <xf numFmtId="0" fontId="1" fillId="0" borderId="0" xfId="0" applyNumberFormat="1" applyFont="1" applyAlignment="1">
      <alignment horizontal="center" vertical="top"/>
    </xf>
    <xf numFmtId="49" fontId="1" fillId="34" borderId="67" xfId="0" applyNumberFormat="1" applyFont="1" applyFill="1" applyBorder="1" applyAlignment="1">
      <alignment horizontal="center" vertical="center" textRotation="90"/>
    </xf>
    <xf numFmtId="49" fontId="1" fillId="34" borderId="68" xfId="0" applyNumberFormat="1" applyFont="1" applyFill="1" applyBorder="1" applyAlignment="1">
      <alignment horizontal="center" vertical="center" textRotation="90"/>
    </xf>
    <xf numFmtId="49" fontId="4" fillId="13" borderId="6" xfId="0" applyNumberFormat="1" applyFont="1" applyFill="1" applyBorder="1" applyAlignment="1">
      <alignment horizontal="left" vertical="center" wrapText="1"/>
    </xf>
    <xf numFmtId="49" fontId="4" fillId="13" borderId="8" xfId="0" applyNumberFormat="1" applyFont="1" applyFill="1" applyBorder="1" applyAlignment="1">
      <alignment horizontal="left" vertical="center" wrapText="1"/>
    </xf>
    <xf numFmtId="49" fontId="1" fillId="35" borderId="67" xfId="0" applyNumberFormat="1" applyFont="1" applyFill="1" applyBorder="1" applyAlignment="1">
      <alignment horizontal="center" vertical="center" textRotation="90"/>
    </xf>
    <xf numFmtId="49" fontId="1" fillId="35" borderId="68" xfId="0" applyNumberFormat="1" applyFont="1" applyFill="1" applyBorder="1" applyAlignment="1">
      <alignment horizontal="center" vertical="center" textRotation="90"/>
    </xf>
    <xf numFmtId="49" fontId="1" fillId="35" borderId="69" xfId="0" applyNumberFormat="1" applyFont="1" applyFill="1" applyBorder="1" applyAlignment="1">
      <alignment horizontal="center" vertical="center" textRotation="90"/>
    </xf>
    <xf numFmtId="0" fontId="1" fillId="13" borderId="0" xfId="0" applyNumberFormat="1" applyFont="1" applyFill="1" applyAlignment="1">
      <alignment vertical="center" wrapText="1"/>
    </xf>
    <xf numFmtId="0" fontId="1" fillId="0" borderId="1" xfId="0" applyNumberFormat="1" applyFont="1" applyBorder="1" applyAlignment="1">
      <alignment horizontal="center" vertical="center" wrapText="1"/>
    </xf>
    <xf numFmtId="0" fontId="2" fillId="0" borderId="1" xfId="0" applyNumberFormat="1" applyFont="1" applyBorder="1" applyAlignment="1">
      <alignment vertical="center"/>
    </xf>
    <xf numFmtId="49" fontId="1" fillId="11" borderId="8" xfId="0" applyNumberFormat="1" applyFont="1" applyFill="1" applyBorder="1" applyAlignment="1" applyProtection="1">
      <alignment horizontal="left" vertical="top" wrapText="1"/>
      <protection locked="0"/>
    </xf>
    <xf numFmtId="49" fontId="65" fillId="11" borderId="8" xfId="0" applyNumberFormat="1" applyFont="1" applyFill="1" applyBorder="1" applyAlignment="1" applyProtection="1">
      <alignment horizontal="left" vertical="top" wrapText="1"/>
      <protection locked="0"/>
    </xf>
    <xf numFmtId="49" fontId="65" fillId="11" borderId="8" xfId="0" applyNumberFormat="1" applyFont="1" applyFill="1" applyBorder="1" applyAlignment="1">
      <alignment horizontal="left" vertical="top" wrapText="1"/>
    </xf>
    <xf numFmtId="0" fontId="1" fillId="13" borderId="2" xfId="0" applyNumberFormat="1" applyFont="1" applyFill="1" applyBorder="1" applyAlignment="1">
      <alignment horizontal="center" vertical="center" wrapText="1"/>
    </xf>
    <xf numFmtId="0" fontId="9" fillId="0" borderId="0" xfId="0" applyNumberFormat="1" applyFont="1" applyAlignment="1"/>
    <xf numFmtId="0" fontId="45" fillId="0" borderId="60" xfId="0" applyNumberFormat="1" applyFont="1" applyBorder="1" applyAlignment="1">
      <alignment horizontal="center" vertical="top" wrapText="1"/>
    </xf>
    <xf numFmtId="49" fontId="1" fillId="11" borderId="8" xfId="0" applyNumberFormat="1" applyFont="1" applyFill="1" applyBorder="1" applyAlignment="1">
      <alignment horizontal="left" vertical="top" wrapText="1"/>
    </xf>
    <xf numFmtId="0" fontId="1" fillId="0" borderId="0" xfId="0" applyNumberFormat="1" applyFont="1" applyAlignment="1">
      <alignment vertical="center"/>
    </xf>
    <xf numFmtId="0" fontId="38" fillId="0" borderId="1" xfId="0" applyNumberFormat="1" applyFont="1" applyBorder="1" applyAlignment="1"/>
    <xf numFmtId="0" fontId="1" fillId="0" borderId="1" xfId="0" applyNumberFormat="1" applyFont="1" applyBorder="1" applyAlignment="1">
      <alignment horizontal="center" vertical="center"/>
    </xf>
    <xf numFmtId="0" fontId="5" fillId="0" borderId="0" xfId="0" applyNumberFormat="1" applyFont="1" applyAlignment="1">
      <alignment horizontal="center"/>
    </xf>
    <xf numFmtId="0" fontId="3" fillId="0" borderId="5"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5" fillId="0" borderId="0" xfId="0" applyNumberFormat="1" applyFont="1" applyAlignment="1"/>
    <xf numFmtId="0" fontId="3" fillId="12" borderId="1" xfId="0" applyNumberFormat="1" applyFont="1" applyFill="1" applyBorder="1" applyAlignment="1">
      <alignment horizontal="center" vertical="center" wrapText="1"/>
    </xf>
    <xf numFmtId="0" fontId="15" fillId="0" borderId="1" xfId="0" applyNumberFormat="1" applyFont="1" applyBorder="1" applyAlignment="1">
      <alignment horizontal="center" vertical="center" wrapText="1"/>
    </xf>
    <xf numFmtId="49" fontId="1" fillId="11" borderId="1" xfId="0" applyNumberFormat="1" applyFont="1" applyFill="1" applyBorder="1" applyAlignment="1">
      <alignment horizontal="left" vertical="top" wrapText="1"/>
    </xf>
    <xf numFmtId="49" fontId="1" fillId="9" borderId="1" xfId="0" applyNumberFormat="1" applyFont="1" applyFill="1" applyBorder="1" applyAlignment="1">
      <alignment horizontal="left" vertical="top" wrapText="1"/>
    </xf>
    <xf numFmtId="0" fontId="9" fillId="13" borderId="1" xfId="0" applyNumberFormat="1" applyFont="1" applyFill="1" applyBorder="1" applyAlignment="1">
      <alignment horizontal="center" vertical="center" wrapText="1"/>
    </xf>
    <xf numFmtId="0" fontId="16" fillId="0" borderId="0" xfId="0" applyNumberFormat="1" applyFont="1" applyAlignment="1">
      <alignment vertical="center" wrapText="1"/>
    </xf>
    <xf numFmtId="0" fontId="16" fillId="0" borderId="0" xfId="0" applyNumberFormat="1" applyFont="1" applyAlignment="1">
      <alignment horizontal="center" vertical="center" wrapText="1"/>
    </xf>
    <xf numFmtId="0" fontId="16" fillId="0" borderId="0" xfId="0" applyNumberFormat="1" applyFont="1" applyAlignment="1">
      <alignment vertical="center"/>
    </xf>
    <xf numFmtId="49" fontId="1" fillId="11" borderId="1" xfId="0" applyNumberFormat="1" applyFont="1" applyFill="1" applyBorder="1" applyAlignment="1" applyProtection="1">
      <alignment horizontal="left" vertical="top" wrapText="1"/>
      <protection locked="0"/>
    </xf>
    <xf numFmtId="0" fontId="5" fillId="0" borderId="13" xfId="0" applyNumberFormat="1" applyFont="1" applyBorder="1" applyAlignment="1">
      <alignment horizontal="left" vertical="center" wrapText="1"/>
    </xf>
    <xf numFmtId="0" fontId="5" fillId="0" borderId="7" xfId="0" applyNumberFormat="1" applyFont="1" applyBorder="1" applyAlignment="1">
      <alignment horizontal="left" vertical="center" wrapText="1"/>
    </xf>
    <xf numFmtId="0" fontId="1" fillId="13" borderId="1" xfId="0" applyNumberFormat="1" applyFont="1" applyFill="1" applyBorder="1" applyAlignment="1">
      <alignment horizontal="center" vertical="center" wrapText="1"/>
    </xf>
    <xf numFmtId="0" fontId="15" fillId="12" borderId="0" xfId="0" applyNumberFormat="1" applyFont="1" applyFill="1" applyAlignment="1">
      <alignment vertical="center"/>
    </xf>
    <xf numFmtId="0" fontId="15" fillId="0" borderId="0" xfId="0" applyNumberFormat="1" applyFont="1" applyAlignment="1">
      <alignment horizontal="center" vertical="center"/>
    </xf>
    <xf numFmtId="49" fontId="1" fillId="0" borderId="5"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1" fillId="0" borderId="13" xfId="0" applyNumberFormat="1" applyFont="1" applyBorder="1" applyAlignment="1">
      <alignment horizontal="left" vertical="center" wrapText="1"/>
    </xf>
    <xf numFmtId="0" fontId="1" fillId="0" borderId="17" xfId="0" applyNumberFormat="1" applyFont="1" applyBorder="1" applyAlignment="1">
      <alignment horizontal="left" vertical="center" wrapText="1"/>
    </xf>
    <xf numFmtId="0" fontId="1" fillId="0" borderId="7"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3" fillId="0" borderId="17"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1" fillId="0" borderId="13" xfId="0" applyNumberFormat="1" applyFont="1" applyBorder="1" applyAlignment="1">
      <alignment horizontal="left" vertical="center" wrapText="1"/>
    </xf>
    <xf numFmtId="49" fontId="1" fillId="0" borderId="17" xfId="0"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2" fontId="5" fillId="9" borderId="1" xfId="65" applyNumberFormat="1" applyFont="1" applyFill="1" applyBorder="1">
      <alignment horizontal="center" vertical="center" wrapText="1"/>
    </xf>
    <xf numFmtId="49" fontId="5" fillId="0" borderId="44" xfId="0"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29"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3" fillId="0" borderId="0" xfId="0" applyNumberFormat="1" applyFont="1" applyAlignment="1">
      <alignment horizontal="center" vertical="top"/>
    </xf>
    <xf numFmtId="0" fontId="15" fillId="0" borderId="18" xfId="0" applyNumberFormat="1" applyFont="1" applyBorder="1" applyAlignment="1">
      <alignment vertical="center"/>
    </xf>
    <xf numFmtId="49" fontId="6" fillId="0" borderId="18" xfId="0" quotePrefix="1" applyNumberFormat="1" applyFont="1" applyBorder="1" applyAlignment="1">
      <alignment horizontal="left" vertical="center" wrapText="1"/>
    </xf>
    <xf numFmtId="0" fontId="9" fillId="13" borderId="44" xfId="0" applyNumberFormat="1" applyFont="1" applyFill="1" applyBorder="1" applyAlignment="1">
      <alignment horizontal="center" vertical="center" wrapText="1"/>
    </xf>
    <xf numFmtId="0" fontId="9" fillId="13" borderId="29" xfId="0" applyNumberFormat="1" applyFont="1" applyFill="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17" xfId="0" applyNumberFormat="1" applyFont="1" applyBorder="1" applyAlignment="1">
      <alignment horizontal="center" vertical="center" wrapText="1"/>
    </xf>
    <xf numFmtId="0" fontId="1" fillId="0" borderId="7" xfId="0" applyNumberFormat="1" applyFont="1" applyBorder="1" applyAlignment="1">
      <alignment horizontal="center" vertical="center" wrapText="1"/>
    </xf>
    <xf numFmtId="49" fontId="1" fillId="11" borderId="13" xfId="0" applyNumberFormat="1" applyFont="1" applyFill="1" applyBorder="1" applyAlignment="1" applyProtection="1">
      <alignment horizontal="left" vertical="top" wrapText="1"/>
      <protection locked="0"/>
    </xf>
    <xf numFmtId="49" fontId="1" fillId="11" borderId="17" xfId="0" applyNumberFormat="1" applyFont="1" applyFill="1" applyBorder="1" applyAlignment="1" applyProtection="1">
      <alignment horizontal="left" vertical="top" wrapText="1"/>
      <protection locked="0"/>
    </xf>
    <xf numFmtId="49" fontId="1" fillId="11" borderId="7" xfId="0" applyNumberFormat="1" applyFont="1" applyFill="1" applyBorder="1" applyAlignment="1" applyProtection="1">
      <alignment horizontal="left" vertical="top" wrapText="1"/>
      <protection locked="0"/>
    </xf>
    <xf numFmtId="49" fontId="1" fillId="11" borderId="13" xfId="0" applyNumberFormat="1" applyFont="1" applyFill="1" applyBorder="1" applyAlignment="1">
      <alignment horizontal="left" vertical="top" wrapText="1"/>
    </xf>
    <xf numFmtId="49" fontId="1" fillId="11" borderId="17" xfId="0" applyNumberFormat="1" applyFont="1" applyFill="1" applyBorder="1" applyAlignment="1">
      <alignment horizontal="left" vertical="top" wrapText="1"/>
    </xf>
    <xf numFmtId="49" fontId="1" fillId="11" borderId="7" xfId="0" applyNumberFormat="1" applyFont="1" applyFill="1" applyBorder="1" applyAlignment="1">
      <alignment horizontal="left" vertical="top" wrapText="1"/>
    </xf>
    <xf numFmtId="0" fontId="1" fillId="0" borderId="37"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11" borderId="1" xfId="0" applyNumberFormat="1" applyFont="1" applyFill="1" applyBorder="1" applyAlignment="1" applyProtection="1">
      <alignment horizontal="left" vertical="center" wrapText="1"/>
      <protection locked="0"/>
    </xf>
    <xf numFmtId="0" fontId="1" fillId="11" borderId="1" xfId="0" applyNumberFormat="1" applyFont="1" applyFill="1" applyBorder="1" applyAlignment="1">
      <alignment horizontal="left" vertical="center" wrapText="1"/>
    </xf>
    <xf numFmtId="0" fontId="6" fillId="0" borderId="0" xfId="0" applyNumberFormat="1" applyFont="1" applyAlignment="1">
      <alignment vertical="center"/>
    </xf>
    <xf numFmtId="0" fontId="1" fillId="0" borderId="70" xfId="0" applyNumberFormat="1" applyFont="1" applyBorder="1" applyAlignment="1">
      <alignment horizontal="right" vertical="center" wrapText="1"/>
    </xf>
    <xf numFmtId="0" fontId="1" fillId="0" borderId="71" xfId="0" applyNumberFormat="1" applyFont="1" applyBorder="1" applyAlignment="1">
      <alignment horizontal="right" vertical="center" wrapText="1"/>
    </xf>
    <xf numFmtId="0" fontId="15" fillId="0" borderId="0" xfId="0" applyNumberFormat="1" applyFont="1" applyAlignment="1">
      <alignment vertical="center"/>
    </xf>
    <xf numFmtId="49" fontId="1" fillId="11" borderId="16" xfId="0" applyNumberFormat="1" applyFont="1" applyFill="1" applyBorder="1" applyAlignment="1">
      <alignment horizontal="left" vertical="center" wrapText="1"/>
    </xf>
    <xf numFmtId="0" fontId="3" fillId="0" borderId="1" xfId="0" applyNumberFormat="1" applyFont="1" applyBorder="1" applyAlignment="1">
      <alignment vertical="center" wrapText="1"/>
    </xf>
    <xf numFmtId="49" fontId="1" fillId="11" borderId="16" xfId="0" applyNumberFormat="1" applyFont="1" applyFill="1" applyBorder="1" applyAlignment="1" applyProtection="1">
      <alignment horizontal="left" vertical="center" wrapText="1"/>
      <protection locked="0"/>
    </xf>
    <xf numFmtId="49" fontId="1" fillId="0" borderId="13" xfId="0" applyNumberFormat="1" applyFont="1" applyBorder="1" applyAlignment="1">
      <alignment horizontal="center" vertical="center" wrapText="1"/>
    </xf>
    <xf numFmtId="49" fontId="1" fillId="0" borderId="17"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cellXfs>
  <cellStyles count="95">
    <cellStyle name="s1" xfId="1"/>
    <cellStyle name="s10" xfId="10"/>
    <cellStyle name="s11" xfId="11"/>
    <cellStyle name="s12" xfId="12"/>
    <cellStyle name="s13" xfId="13"/>
    <cellStyle name="s14" xfId="14"/>
    <cellStyle name="s15" xfId="15"/>
    <cellStyle name="s16" xfId="16"/>
    <cellStyle name="s17" xfId="17"/>
    <cellStyle name="s18" xfId="18"/>
    <cellStyle name="s19" xfId="19"/>
    <cellStyle name="s2" xfId="2"/>
    <cellStyle name="s20" xfId="20"/>
    <cellStyle name="s21" xfId="21"/>
    <cellStyle name="s22" xfId="22"/>
    <cellStyle name="s23" xfId="23"/>
    <cellStyle name="s24" xfId="24"/>
    <cellStyle name="s25" xfId="25"/>
    <cellStyle name="s26" xfId="26"/>
    <cellStyle name="s27" xfId="27"/>
    <cellStyle name="s28" xfId="28"/>
    <cellStyle name="s29" xfId="29"/>
    <cellStyle name="s3" xfId="3"/>
    <cellStyle name="s30" xfId="30"/>
    <cellStyle name="s31" xfId="31"/>
    <cellStyle name="s32" xfId="32"/>
    <cellStyle name="s33" xfId="33"/>
    <cellStyle name="s34" xfId="34"/>
    <cellStyle name="s35" xfId="35"/>
    <cellStyle name="s36" xfId="36"/>
    <cellStyle name="s37" xfId="37"/>
    <cellStyle name="s38" xfId="38"/>
    <cellStyle name="s39" xfId="39"/>
    <cellStyle name="s4" xfId="4"/>
    <cellStyle name="s40" xfId="40"/>
    <cellStyle name="s41" xfId="41"/>
    <cellStyle name="s42" xfId="42"/>
    <cellStyle name="s43" xfId="43"/>
    <cellStyle name="s44" xfId="44"/>
    <cellStyle name="s45" xfId="45"/>
    <cellStyle name="s46" xfId="46"/>
    <cellStyle name="s47" xfId="47"/>
    <cellStyle name="s48" xfId="48"/>
    <cellStyle name="s49" xfId="49"/>
    <cellStyle name="s5" xfId="5"/>
    <cellStyle name="s50" xfId="50"/>
    <cellStyle name="s51" xfId="51"/>
    <cellStyle name="s52" xfId="52"/>
    <cellStyle name="s53" xfId="53"/>
    <cellStyle name="s54" xfId="54"/>
    <cellStyle name="s55" xfId="55"/>
    <cellStyle name="s56" xfId="56"/>
    <cellStyle name="s57" xfId="57"/>
    <cellStyle name="s58" xfId="58"/>
    <cellStyle name="s59" xfId="59"/>
    <cellStyle name="s6" xfId="6"/>
    <cellStyle name="s60" xfId="60"/>
    <cellStyle name="s61" xfId="61"/>
    <cellStyle name="s62" xfId="62"/>
    <cellStyle name="s63" xfId="63"/>
    <cellStyle name="s64" xfId="64"/>
    <cellStyle name="s65" xfId="65"/>
    <cellStyle name="s66" xfId="66"/>
    <cellStyle name="s67" xfId="67"/>
    <cellStyle name="s68" xfId="68"/>
    <cellStyle name="s69" xfId="69"/>
    <cellStyle name="s7" xfId="7"/>
    <cellStyle name="s70" xfId="70"/>
    <cellStyle name="s71" xfId="71"/>
    <cellStyle name="s72" xfId="72"/>
    <cellStyle name="s73" xfId="73"/>
    <cellStyle name="s74" xfId="74"/>
    <cellStyle name="s75" xfId="75"/>
    <cellStyle name="s76" xfId="76"/>
    <cellStyle name="s77" xfId="77"/>
    <cellStyle name="s78" xfId="78"/>
    <cellStyle name="s79" xfId="79"/>
    <cellStyle name="s8" xfId="8"/>
    <cellStyle name="s80" xfId="80"/>
    <cellStyle name="s81" xfId="81"/>
    <cellStyle name="s82" xfId="82"/>
    <cellStyle name="s83" xfId="83"/>
    <cellStyle name="s84" xfId="84"/>
    <cellStyle name="s85" xfId="85"/>
    <cellStyle name="s86" xfId="86"/>
    <cellStyle name="s87" xfId="87"/>
    <cellStyle name="s88" xfId="88"/>
    <cellStyle name="s89" xfId="89"/>
    <cellStyle name="s9" xfId="9"/>
    <cellStyle name="s90" xfId="90"/>
    <cellStyle name="s91" xfId="91"/>
    <cellStyle name="s92" xfId="92"/>
    <cellStyle name="s93" xfId="93"/>
    <cellStyle name="s94" xfId="94"/>
    <cellStyle name="Обычный" xfId="0" builtinId="0"/>
  </cellStyles>
  <dxfs count="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Тема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leninsk.kemobl.ru/infrastructure/gkh/aktualizatsiya-skhemy-teplosnabzheniya-na-2026-go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A16"/>
  <sheetViews>
    <sheetView showGridLines="0" showRowColHeaders="0" workbookViewId="0"/>
  </sheetViews>
  <sheetFormatPr defaultColWidth="10.42578125" defaultRowHeight="12.6" customHeight="1"/>
  <cols>
    <col min="1" max="1" width="5.140625" style="579" customWidth="1"/>
    <col min="2" max="2" width="8.5703125" style="630" customWidth="1"/>
    <col min="3" max="3" width="15.5703125" style="579" customWidth="1"/>
    <col min="4" max="4" width="6" style="579" customWidth="1"/>
    <col min="5" max="5" width="6" style="621" customWidth="1"/>
    <col min="6" max="25" width="6" style="579" customWidth="1"/>
    <col min="26" max="27" width="10.42578125" style="579"/>
  </cols>
  <sheetData>
    <row r="1" spans="1:27" ht="15.75" customHeight="1">
      <c r="A1" s="580"/>
      <c r="B1" s="625"/>
      <c r="C1" s="581"/>
      <c r="D1" s="581"/>
      <c r="E1" s="617"/>
      <c r="F1" s="581"/>
      <c r="G1" s="581"/>
      <c r="H1" s="581"/>
      <c r="I1" s="581"/>
      <c r="J1" s="581"/>
      <c r="K1" s="581"/>
      <c r="L1" s="581"/>
      <c r="M1" s="581"/>
      <c r="N1" s="581"/>
      <c r="O1" s="581"/>
      <c r="P1" s="581"/>
      <c r="Q1" s="581"/>
      <c r="R1" s="581"/>
      <c r="S1" s="581"/>
      <c r="T1" s="581"/>
      <c r="U1" s="581"/>
      <c r="V1" s="581"/>
      <c r="W1" s="581"/>
      <c r="X1" s="581"/>
      <c r="Y1" s="582"/>
      <c r="Z1" s="581"/>
      <c r="AA1" s="583" t="s">
        <v>0</v>
      </c>
    </row>
    <row r="2" spans="1:27" s="630" customFormat="1" ht="17.25" customHeight="1">
      <c r="A2" s="625"/>
      <c r="B2" s="1340" t="s">
        <v>1</v>
      </c>
      <c r="C2" s="1340"/>
      <c r="D2" s="1340"/>
      <c r="E2" s="1340"/>
      <c r="F2" s="1340"/>
      <c r="G2" s="1340"/>
      <c r="H2" s="1340"/>
      <c r="I2" s="1340"/>
      <c r="J2" s="1340"/>
      <c r="K2" s="1340"/>
      <c r="L2" s="1340"/>
      <c r="M2" s="1340"/>
      <c r="N2" s="1340"/>
      <c r="O2" s="1340"/>
      <c r="P2" s="1340"/>
      <c r="Q2" s="631"/>
      <c r="R2" s="631"/>
      <c r="S2" s="631"/>
      <c r="T2" s="631"/>
      <c r="U2" s="631"/>
      <c r="V2" s="632"/>
      <c r="W2" s="631"/>
      <c r="X2" s="631"/>
      <c r="Y2" s="625"/>
      <c r="Z2" s="625"/>
      <c r="AA2" s="625"/>
    </row>
    <row r="3" spans="1:27" ht="15.75" customHeight="1">
      <c r="A3" s="581"/>
      <c r="B3" s="1340" t="s">
        <v>2</v>
      </c>
      <c r="C3" s="1340"/>
      <c r="D3" s="1340"/>
      <c r="E3" s="1340"/>
      <c r="F3" s="1340"/>
      <c r="G3" s="1340"/>
      <c r="H3" s="1340"/>
      <c r="I3" s="1340"/>
      <c r="J3" s="1340"/>
      <c r="K3" s="1340"/>
      <c r="L3" s="1340"/>
      <c r="M3" s="1340"/>
      <c r="N3" s="1340"/>
      <c r="O3" s="1340"/>
      <c r="P3" s="1340"/>
      <c r="Q3" s="585"/>
      <c r="R3" s="585"/>
      <c r="S3" s="584"/>
      <c r="T3" s="584"/>
      <c r="U3" s="584"/>
      <c r="V3" s="585"/>
      <c r="W3" s="585"/>
      <c r="X3" s="585"/>
      <c r="Y3" s="585"/>
      <c r="Z3" s="581"/>
      <c r="AA3" s="583"/>
    </row>
    <row r="4" spans="1:27" ht="16.5" customHeight="1">
      <c r="A4" s="581"/>
      <c r="B4" s="618"/>
      <c r="C4" s="581"/>
      <c r="D4" s="585"/>
      <c r="E4" s="622"/>
      <c r="F4" s="585"/>
      <c r="G4" s="585"/>
      <c r="H4" s="585"/>
      <c r="I4" s="585"/>
      <c r="J4" s="585"/>
      <c r="K4" s="585"/>
      <c r="L4" s="585"/>
      <c r="M4" s="585"/>
      <c r="N4" s="585"/>
      <c r="O4" s="585"/>
      <c r="P4" s="585"/>
      <c r="Q4" s="585"/>
      <c r="R4" s="585"/>
      <c r="S4" s="585"/>
      <c r="T4" s="585"/>
      <c r="U4" s="585"/>
      <c r="V4" s="585"/>
      <c r="W4" s="585"/>
      <c r="X4" s="585"/>
      <c r="Y4" s="585"/>
      <c r="Z4" s="581"/>
      <c r="AA4" s="583"/>
    </row>
    <row r="5" spans="1:27" s="621" customFormat="1" ht="22.5" customHeight="1">
      <c r="A5" s="625"/>
      <c r="B5" s="1341"/>
      <c r="C5" s="1342"/>
      <c r="D5" s="1342"/>
      <c r="E5" s="1342"/>
      <c r="F5" s="1342"/>
      <c r="G5" s="1342"/>
      <c r="H5" s="1342"/>
      <c r="I5" s="1342"/>
      <c r="J5" s="1342"/>
      <c r="K5" s="1342"/>
      <c r="L5" s="1342"/>
      <c r="M5" s="1342"/>
      <c r="N5" s="1342"/>
      <c r="O5" s="1342"/>
      <c r="P5" s="1342"/>
      <c r="Q5" s="1342"/>
      <c r="R5" s="1342"/>
      <c r="S5" s="1342"/>
      <c r="T5" s="1342"/>
      <c r="U5" s="1342"/>
      <c r="V5" s="1342"/>
      <c r="W5" s="1342"/>
      <c r="X5" s="1342"/>
      <c r="Y5" s="1343"/>
      <c r="Z5" s="625"/>
      <c r="AA5" s="617"/>
    </row>
    <row r="6" spans="1:27" ht="13.5" customHeight="1">
      <c r="A6" s="586"/>
      <c r="B6" s="1333" t="s">
        <v>3</v>
      </c>
      <c r="C6" s="1336"/>
      <c r="D6" s="587"/>
      <c r="E6" s="616"/>
      <c r="F6" s="587"/>
      <c r="G6" s="587"/>
      <c r="H6" s="587"/>
      <c r="I6" s="587"/>
      <c r="J6" s="587"/>
      <c r="K6" s="587"/>
      <c r="L6" s="587"/>
      <c r="M6" s="587"/>
      <c r="N6" s="587"/>
      <c r="O6" s="587"/>
      <c r="P6" s="587"/>
      <c r="Q6" s="587"/>
      <c r="R6" s="587"/>
      <c r="S6" s="587"/>
      <c r="T6" s="587"/>
      <c r="U6" s="587"/>
      <c r="V6" s="587"/>
      <c r="W6" s="587"/>
      <c r="X6" s="587"/>
      <c r="Y6" s="588"/>
      <c r="Z6" s="589"/>
      <c r="AA6" s="590"/>
    </row>
    <row r="7" spans="1:27" ht="13.5" customHeight="1">
      <c r="A7" s="586"/>
      <c r="B7" s="1333"/>
      <c r="C7" s="1336"/>
      <c r="D7" s="587"/>
      <c r="E7" s="616"/>
      <c r="F7" s="591"/>
      <c r="G7" s="591"/>
      <c r="H7" s="591"/>
      <c r="I7" s="591"/>
      <c r="J7" s="591"/>
      <c r="K7" s="591"/>
      <c r="L7" s="591"/>
      <c r="M7" s="591"/>
      <c r="N7" s="591"/>
      <c r="O7" s="587"/>
      <c r="P7" s="591"/>
      <c r="Q7" s="591"/>
      <c r="R7" s="591"/>
      <c r="S7" s="591"/>
      <c r="T7" s="591"/>
      <c r="U7" s="591"/>
      <c r="V7" s="591"/>
      <c r="W7" s="591"/>
      <c r="X7" s="591"/>
      <c r="Y7" s="588"/>
      <c r="Z7" s="589"/>
      <c r="AA7" s="590"/>
    </row>
    <row r="8" spans="1:27" ht="13.5" customHeight="1">
      <c r="A8" s="586"/>
      <c r="B8" s="1333"/>
      <c r="C8" s="1336"/>
      <c r="D8" s="592"/>
      <c r="E8" s="593" t="s">
        <v>4</v>
      </c>
      <c r="F8" s="1344" t="s">
        <v>5</v>
      </c>
      <c r="G8" s="1335"/>
      <c r="H8" s="1335"/>
      <c r="I8" s="1335"/>
      <c r="J8" s="1335"/>
      <c r="K8" s="1335"/>
      <c r="L8" s="1335"/>
      <c r="M8" s="1335"/>
      <c r="N8" s="592"/>
      <c r="O8" s="594" t="s">
        <v>4</v>
      </c>
      <c r="P8" s="1345" t="s">
        <v>6</v>
      </c>
      <c r="Q8" s="1346"/>
      <c r="R8" s="1346"/>
      <c r="S8" s="1346"/>
      <c r="T8" s="1346"/>
      <c r="U8" s="1346"/>
      <c r="V8" s="1346"/>
      <c r="W8" s="1346"/>
      <c r="X8" s="1346"/>
      <c r="Y8" s="588"/>
      <c r="Z8" s="589"/>
      <c r="AA8" s="590"/>
    </row>
    <row r="9" spans="1:27" ht="13.5" customHeight="1">
      <c r="A9" s="586"/>
      <c r="B9" s="1333"/>
      <c r="C9" s="1336"/>
      <c r="D9" s="592"/>
      <c r="E9" s="595" t="s">
        <v>4</v>
      </c>
      <c r="F9" s="1344" t="s">
        <v>7</v>
      </c>
      <c r="G9" s="1335"/>
      <c r="H9" s="1335"/>
      <c r="I9" s="1335"/>
      <c r="J9" s="1335"/>
      <c r="K9" s="1335"/>
      <c r="L9" s="1335"/>
      <c r="M9" s="1335"/>
      <c r="N9" s="592"/>
      <c r="O9" s="596" t="s">
        <v>4</v>
      </c>
      <c r="P9" s="1345" t="s">
        <v>8</v>
      </c>
      <c r="Q9" s="1346"/>
      <c r="R9" s="1346"/>
      <c r="S9" s="1346"/>
      <c r="T9" s="1346"/>
      <c r="U9" s="1346"/>
      <c r="V9" s="1346"/>
      <c r="W9" s="1346"/>
      <c r="X9" s="1346"/>
      <c r="Y9" s="588"/>
      <c r="Z9" s="589"/>
      <c r="AA9" s="590"/>
    </row>
    <row r="10" spans="1:27" ht="13.5" customHeight="1">
      <c r="B10" s="1333"/>
      <c r="C10" s="1336"/>
      <c r="D10" s="858"/>
      <c r="E10" s="859" t="s">
        <v>4</v>
      </c>
      <c r="F10" s="1346" t="s">
        <v>9</v>
      </c>
      <c r="G10" s="1347"/>
      <c r="H10" s="1347"/>
      <c r="I10" s="1347"/>
      <c r="J10" s="1347"/>
      <c r="K10" s="1347"/>
      <c r="L10" s="1347"/>
      <c r="M10" s="1347"/>
      <c r="N10" s="1347"/>
      <c r="O10" s="861" t="s">
        <v>4</v>
      </c>
      <c r="P10" s="1346" t="s">
        <v>10</v>
      </c>
      <c r="Q10" s="1347"/>
      <c r="R10" s="1347"/>
      <c r="S10" s="1347"/>
      <c r="T10" s="1347"/>
      <c r="U10" s="1347"/>
      <c r="V10" s="1347"/>
      <c r="W10" s="1347"/>
      <c r="X10" s="1347"/>
      <c r="Y10" s="860"/>
      <c r="Z10" s="862"/>
      <c r="AA10" s="860"/>
    </row>
    <row r="11" spans="1:27" ht="30" customHeight="1">
      <c r="A11" s="586"/>
      <c r="B11" s="1333"/>
      <c r="C11" s="1334"/>
      <c r="D11" s="597"/>
      <c r="E11" s="626"/>
      <c r="F11" s="591"/>
      <c r="G11" s="591"/>
      <c r="H11" s="591"/>
      <c r="I11" s="591"/>
      <c r="J11" s="591"/>
      <c r="K11" s="591"/>
      <c r="L11" s="591"/>
      <c r="M11" s="591"/>
      <c r="N11" s="591"/>
      <c r="O11" s="598"/>
      <c r="P11" s="591"/>
      <c r="Q11" s="591"/>
      <c r="R11" s="591"/>
      <c r="S11" s="591"/>
      <c r="T11" s="591"/>
      <c r="U11" s="591"/>
      <c r="V11" s="591"/>
      <c r="W11" s="591"/>
      <c r="X11" s="591"/>
      <c r="Y11" s="588"/>
      <c r="Z11" s="589"/>
      <c r="AA11" s="590"/>
    </row>
    <row r="12" spans="1:27" ht="19.5" customHeight="1">
      <c r="A12" s="586"/>
      <c r="B12" s="1331" t="s">
        <v>11</v>
      </c>
      <c r="C12" s="1332"/>
      <c r="D12" s="592"/>
      <c r="E12" s="627"/>
      <c r="F12" s="599"/>
      <c r="G12" s="599"/>
      <c r="H12" s="599"/>
      <c r="I12" s="599"/>
      <c r="J12" s="599"/>
      <c r="K12" s="599"/>
      <c r="L12" s="599"/>
      <c r="M12" s="599"/>
      <c r="N12" s="599"/>
      <c r="O12" s="599"/>
      <c r="P12" s="599"/>
      <c r="Q12" s="599"/>
      <c r="R12" s="599"/>
      <c r="S12" s="599"/>
      <c r="T12" s="599"/>
      <c r="U12" s="599"/>
      <c r="V12" s="599"/>
      <c r="W12" s="599"/>
      <c r="X12" s="599"/>
      <c r="Y12" s="588"/>
      <c r="Z12" s="589"/>
      <c r="AA12" s="590"/>
    </row>
    <row r="13" spans="1:27" ht="68.25" customHeight="1">
      <c r="A13" s="586"/>
      <c r="B13" s="1333"/>
      <c r="C13" s="1334"/>
      <c r="D13" s="600"/>
      <c r="E13" s="1335" t="s">
        <v>12</v>
      </c>
      <c r="F13" s="1335"/>
      <c r="G13" s="1335"/>
      <c r="H13" s="1335"/>
      <c r="I13" s="1335"/>
      <c r="J13" s="1335"/>
      <c r="K13" s="1335"/>
      <c r="L13" s="1335"/>
      <c r="M13" s="1335"/>
      <c r="N13" s="1335"/>
      <c r="O13" s="1335"/>
      <c r="P13" s="1335"/>
      <c r="Q13" s="1335"/>
      <c r="R13" s="1335"/>
      <c r="S13" s="1335"/>
      <c r="T13" s="1335"/>
      <c r="U13" s="1335"/>
      <c r="V13" s="1335"/>
      <c r="W13" s="1335"/>
      <c r="X13" s="1335"/>
      <c r="Y13" s="588"/>
      <c r="Z13" s="589"/>
      <c r="AA13" s="590"/>
    </row>
    <row r="14" spans="1:27" ht="13.5" customHeight="1">
      <c r="A14" s="586"/>
      <c r="B14" s="1331" t="s">
        <v>13</v>
      </c>
      <c r="C14" s="1332"/>
      <c r="D14" s="587"/>
      <c r="E14" s="627"/>
      <c r="F14" s="599"/>
      <c r="G14" s="599"/>
      <c r="H14" s="599"/>
      <c r="I14" s="599"/>
      <c r="J14" s="599"/>
      <c r="K14" s="599"/>
      <c r="L14" s="599"/>
      <c r="M14" s="599"/>
      <c r="N14" s="599"/>
      <c r="O14" s="599"/>
      <c r="P14" s="599"/>
      <c r="Q14" s="599"/>
      <c r="R14" s="599"/>
      <c r="S14" s="599"/>
      <c r="T14" s="599"/>
      <c r="U14" s="599"/>
      <c r="V14" s="599"/>
      <c r="W14" s="599"/>
      <c r="X14" s="599"/>
      <c r="Y14" s="588"/>
      <c r="Z14" s="589"/>
      <c r="AA14" s="590"/>
    </row>
    <row r="15" spans="1:27" ht="65.25" customHeight="1">
      <c r="A15" s="586"/>
      <c r="B15" s="1333"/>
      <c r="C15" s="1336"/>
      <c r="D15" s="592"/>
      <c r="E15" s="1339" t="s">
        <v>14</v>
      </c>
      <c r="F15" s="1339"/>
      <c r="G15" s="1339"/>
      <c r="H15" s="1339"/>
      <c r="I15" s="1339"/>
      <c r="J15" s="1339"/>
      <c r="K15" s="1339"/>
      <c r="L15" s="1339"/>
      <c r="M15" s="1339"/>
      <c r="N15" s="1339"/>
      <c r="O15" s="1339"/>
      <c r="P15" s="1339"/>
      <c r="Q15" s="1339"/>
      <c r="R15" s="1339"/>
      <c r="S15" s="1339"/>
      <c r="T15" s="1339"/>
      <c r="U15" s="1339"/>
      <c r="V15" s="1339"/>
      <c r="W15" s="1339"/>
      <c r="X15" s="1339"/>
      <c r="Y15" s="588"/>
      <c r="Z15" s="589"/>
      <c r="AA15" s="590"/>
    </row>
    <row r="16" spans="1:27" ht="16.5" customHeight="1">
      <c r="A16" s="586"/>
      <c r="B16" s="1337"/>
      <c r="C16" s="1338"/>
      <c r="D16" s="601"/>
      <c r="E16" s="628"/>
      <c r="F16" s="602"/>
      <c r="G16" s="602"/>
      <c r="H16" s="602"/>
      <c r="I16" s="602"/>
      <c r="J16" s="602"/>
      <c r="K16" s="602"/>
      <c r="L16" s="602"/>
      <c r="M16" s="602"/>
      <c r="N16" s="602"/>
      <c r="O16" s="602"/>
      <c r="P16" s="602"/>
      <c r="Q16" s="602"/>
      <c r="R16" s="602"/>
      <c r="S16" s="602"/>
      <c r="T16" s="602"/>
      <c r="U16" s="602"/>
      <c r="V16" s="602"/>
      <c r="W16" s="602"/>
      <c r="X16" s="602"/>
      <c r="Y16" s="603"/>
      <c r="Z16" s="589"/>
      <c r="AA16" s="604"/>
    </row>
  </sheetData>
  <sheetProtection insertRows="0" deleteColumns="0" deleteRows="0" sort="0" autoFilter="0"/>
  <mergeCells count="14">
    <mergeCell ref="B12:C13"/>
    <mergeCell ref="E13:X13"/>
    <mergeCell ref="B14:C16"/>
    <mergeCell ref="E15:X15"/>
    <mergeCell ref="B2:P2"/>
    <mergeCell ref="B3:P3"/>
    <mergeCell ref="B5:Y5"/>
    <mergeCell ref="B6:C11"/>
    <mergeCell ref="F8:M8"/>
    <mergeCell ref="P8:X8"/>
    <mergeCell ref="F9:M9"/>
    <mergeCell ref="P9:X9"/>
    <mergeCell ref="F10:N10"/>
    <mergeCell ref="P10:X10"/>
  </mergeCells>
  <pageMargins left="0.7" right="0.7" top="0.75" bottom="0.75" header="0.3" footer="0.3"/>
  <pageSetup paperSize="9"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outlinePr summaryBelow="0" summaryRight="0"/>
    <pageSetUpPr fitToPage="1"/>
  </sheetPr>
  <dimension ref="A1:BJ106"/>
  <sheetViews>
    <sheetView showGridLines="0" workbookViewId="0">
      <pane xSplit="30" ySplit="27" topLeftCell="AE84" activePane="bottomRight" state="frozen"/>
      <selection pane="topRight" activeCell="AE1" sqref="AE1"/>
      <selection pane="bottomLeft" activeCell="A28" sqref="A28"/>
      <selection pane="bottomRight" activeCell="AH70" sqref="AH70"/>
    </sheetView>
  </sheetViews>
  <sheetFormatPr defaultColWidth="9.140625" defaultRowHeight="11.25" customHeight="1"/>
  <cols>
    <col min="1" max="1" width="3.5703125" style="988" hidden="1" customWidth="1"/>
    <col min="2" max="2" width="8.5703125" style="718" hidden="1" customWidth="1"/>
    <col min="3" max="4" width="3.5703125" style="1012" hidden="1" customWidth="1"/>
    <col min="5" max="5" width="8.42578125" style="717" hidden="1" customWidth="1"/>
    <col min="6" max="6" width="3.5703125" style="1012" hidden="1" customWidth="1"/>
    <col min="7" max="19" width="3.5703125" style="394" hidden="1" customWidth="1"/>
    <col min="20" max="20" width="8.42578125" style="1012" hidden="1" customWidth="1"/>
    <col min="21" max="21" width="6" style="1012" hidden="1" customWidth="1"/>
    <col min="22" max="23" width="6.28515625" style="1012" hidden="1" customWidth="1"/>
    <col min="24" max="25" width="5.7109375" style="1012" hidden="1" customWidth="1"/>
    <col min="26" max="26" width="5.42578125" style="1012" hidden="1" customWidth="1"/>
    <col min="27" max="27" width="3" style="394" customWidth="1"/>
    <col min="28" max="28" width="9.140625" style="152" customWidth="1"/>
    <col min="29" max="29" width="61.28515625" style="152" customWidth="1"/>
    <col min="30" max="30" width="10.42578125" style="152" customWidth="1"/>
    <col min="31" max="35" width="13.140625" style="394" customWidth="1"/>
    <col min="36" max="44" width="13.140625" style="394" hidden="1" customWidth="1"/>
    <col min="45" max="45" width="13.140625" style="394" customWidth="1"/>
    <col min="46" max="54" width="13.140625" style="394" hidden="1" customWidth="1"/>
    <col min="55" max="55" width="20.140625" style="152" customWidth="1"/>
    <col min="56" max="56" width="3" style="394" customWidth="1"/>
    <col min="57" max="57" width="9.140625" style="394" hidden="1"/>
    <col min="58" max="60" width="9.140625" style="931" hidden="1"/>
    <col min="61" max="62" width="9.140625" style="960" hidden="1"/>
  </cols>
  <sheetData>
    <row r="1" spans="1:62" s="1012" customFormat="1" ht="12" hidden="1" customHeight="1">
      <c r="A1" s="988"/>
      <c r="B1" s="614"/>
      <c r="E1" s="614"/>
      <c r="F1" s="634" t="s">
        <v>77</v>
      </c>
      <c r="G1" s="150"/>
      <c r="H1" s="150"/>
      <c r="I1" s="150"/>
      <c r="J1" s="150"/>
      <c r="K1" s="150"/>
      <c r="L1" s="150"/>
      <c r="M1" s="150"/>
      <c r="N1" s="150"/>
      <c r="O1" s="150"/>
      <c r="P1" s="150"/>
      <c r="Q1" s="150"/>
      <c r="R1" s="150"/>
      <c r="S1" s="150"/>
      <c r="T1" s="634" t="s">
        <v>78</v>
      </c>
      <c r="U1" s="634" t="s">
        <v>83</v>
      </c>
      <c r="V1" s="634" t="s">
        <v>79</v>
      </c>
      <c r="W1" s="634" t="s">
        <v>80</v>
      </c>
      <c r="X1" s="634" t="s">
        <v>81</v>
      </c>
      <c r="Y1" s="645" t="s">
        <v>274</v>
      </c>
      <c r="Z1" s="634" t="s">
        <v>85</v>
      </c>
      <c r="AA1" s="645" t="s">
        <v>82</v>
      </c>
      <c r="AB1" s="645" t="s">
        <v>84</v>
      </c>
      <c r="AC1" s="645" t="s">
        <v>84</v>
      </c>
      <c r="AD1" s="109"/>
      <c r="BC1" s="109"/>
      <c r="BF1" s="891" t="s">
        <v>275</v>
      </c>
      <c r="BG1" s="891" t="s">
        <v>276</v>
      </c>
      <c r="BH1" s="891" t="s">
        <v>277</v>
      </c>
      <c r="BI1" s="633" t="s">
        <v>280</v>
      </c>
      <c r="BJ1" s="633" t="s">
        <v>281</v>
      </c>
    </row>
    <row r="2" spans="1:62" s="718" customFormat="1" ht="12" hidden="1" customHeight="1">
      <c r="A2" s="990"/>
      <c r="B2" s="703" t="s">
        <v>15</v>
      </c>
      <c r="G2" s="721"/>
      <c r="H2" s="721"/>
      <c r="I2" s="721"/>
      <c r="J2" s="721"/>
      <c r="K2" s="721"/>
      <c r="L2" s="721"/>
      <c r="M2" s="721"/>
      <c r="N2" s="721"/>
      <c r="O2" s="721"/>
      <c r="P2" s="721"/>
      <c r="Q2" s="721"/>
      <c r="R2" s="721"/>
      <c r="S2" s="721"/>
      <c r="AB2" s="618"/>
      <c r="AC2" s="618"/>
      <c r="AD2" s="618"/>
      <c r="AI2" s="635" t="b">
        <f t="shared" ref="AI2:BB2" si="0">AI6&lt;=last_year_vis</f>
        <v>1</v>
      </c>
      <c r="AJ2" s="635" t="b">
        <f t="shared" si="0"/>
        <v>0</v>
      </c>
      <c r="AK2" s="635" t="b">
        <f t="shared" si="0"/>
        <v>0</v>
      </c>
      <c r="AL2" s="635" t="b">
        <f t="shared" si="0"/>
        <v>0</v>
      </c>
      <c r="AM2" s="635" t="b">
        <f t="shared" si="0"/>
        <v>0</v>
      </c>
      <c r="AN2" s="635" t="b">
        <f t="shared" si="0"/>
        <v>0</v>
      </c>
      <c r="AO2" s="635" t="b">
        <f t="shared" si="0"/>
        <v>0</v>
      </c>
      <c r="AP2" s="635" t="b">
        <f t="shared" si="0"/>
        <v>0</v>
      </c>
      <c r="AQ2" s="635" t="b">
        <f t="shared" si="0"/>
        <v>0</v>
      </c>
      <c r="AR2" s="635" t="b">
        <f t="shared" si="0"/>
        <v>0</v>
      </c>
      <c r="AS2" s="635" t="b">
        <f t="shared" si="0"/>
        <v>1</v>
      </c>
      <c r="AT2" s="635" t="b">
        <f t="shared" si="0"/>
        <v>0</v>
      </c>
      <c r="AU2" s="635" t="b">
        <f t="shared" si="0"/>
        <v>0</v>
      </c>
      <c r="AV2" s="635" t="b">
        <f t="shared" si="0"/>
        <v>0</v>
      </c>
      <c r="AW2" s="635" t="b">
        <f t="shared" si="0"/>
        <v>0</v>
      </c>
      <c r="AX2" s="635" t="b">
        <f t="shared" si="0"/>
        <v>0</v>
      </c>
      <c r="AY2" s="635" t="b">
        <f t="shared" si="0"/>
        <v>0</v>
      </c>
      <c r="AZ2" s="635" t="b">
        <f t="shared" si="0"/>
        <v>0</v>
      </c>
      <c r="BA2" s="635" t="b">
        <f t="shared" si="0"/>
        <v>0</v>
      </c>
      <c r="BB2" s="635" t="b">
        <f t="shared" si="0"/>
        <v>0</v>
      </c>
      <c r="BC2" s="618"/>
      <c r="BF2" s="878"/>
      <c r="BG2" s="878"/>
      <c r="BH2" s="878"/>
      <c r="BI2" s="623"/>
      <c r="BJ2" s="623"/>
    </row>
    <row r="3" spans="1:62" s="1012" customFormat="1" ht="12" hidden="1" customHeight="1">
      <c r="A3" s="988"/>
      <c r="B3" s="614"/>
      <c r="E3" s="614"/>
      <c r="G3" s="150"/>
      <c r="H3" s="150"/>
      <c r="I3" s="150"/>
      <c r="J3" s="150"/>
      <c r="K3" s="150"/>
      <c r="L3" s="150"/>
      <c r="M3" s="150"/>
      <c r="N3" s="150"/>
      <c r="O3" s="150"/>
      <c r="P3" s="150"/>
      <c r="Q3" s="150"/>
      <c r="R3" s="150"/>
      <c r="S3" s="150"/>
      <c r="AB3" s="109"/>
      <c r="AC3" s="109"/>
      <c r="AD3" s="109"/>
      <c r="BC3" s="109"/>
      <c r="BF3" s="891"/>
      <c r="BG3" s="891"/>
      <c r="BH3" s="891"/>
      <c r="BI3" s="633"/>
      <c r="BJ3" s="633"/>
    </row>
    <row r="4" spans="1:62" s="1012" customFormat="1" ht="12" hidden="1" customHeight="1">
      <c r="A4" s="988"/>
      <c r="B4" s="614"/>
      <c r="E4" s="614"/>
      <c r="G4" s="150"/>
      <c r="H4" s="150"/>
      <c r="I4" s="150"/>
      <c r="J4" s="150"/>
      <c r="K4" s="150"/>
      <c r="L4" s="150"/>
      <c r="M4" s="150"/>
      <c r="N4" s="150"/>
      <c r="O4" s="150"/>
      <c r="P4" s="150"/>
      <c r="Q4" s="150"/>
      <c r="R4" s="150"/>
      <c r="S4" s="150"/>
      <c r="AB4" s="109"/>
      <c r="AC4" s="109"/>
      <c r="AD4" s="109"/>
      <c r="BC4" s="109"/>
      <c r="BF4" s="891"/>
      <c r="BG4" s="891"/>
      <c r="BH4" s="891"/>
      <c r="BI4" s="633"/>
      <c r="BJ4" s="633"/>
    </row>
    <row r="5" spans="1:62" s="717" customFormat="1" ht="12" hidden="1" customHeight="1">
      <c r="A5" s="990"/>
      <c r="B5" s="614"/>
      <c r="C5" s="614"/>
      <c r="D5" s="614"/>
      <c r="E5" s="623" t="s">
        <v>16</v>
      </c>
      <c r="G5" s="722"/>
      <c r="H5" s="722"/>
      <c r="I5" s="722"/>
      <c r="J5" s="722"/>
      <c r="K5" s="722"/>
      <c r="L5" s="722"/>
      <c r="M5" s="722"/>
      <c r="N5" s="722"/>
      <c r="O5" s="722"/>
      <c r="P5" s="722"/>
      <c r="Q5" s="722"/>
      <c r="R5" s="722"/>
      <c r="S5" s="722"/>
      <c r="AA5" s="623">
        <v>3</v>
      </c>
      <c r="AB5" s="629">
        <v>9.1300000000000008</v>
      </c>
      <c r="AC5" s="629">
        <v>61.25</v>
      </c>
      <c r="AD5" s="629">
        <v>10.38</v>
      </c>
      <c r="AE5" s="623">
        <v>13.13</v>
      </c>
      <c r="AF5" s="623">
        <v>13.13</v>
      </c>
      <c r="AG5" s="623">
        <v>13.13</v>
      </c>
      <c r="AH5" s="623">
        <v>13.13</v>
      </c>
      <c r="AI5" s="623">
        <v>13.13</v>
      </c>
      <c r="AJ5" s="623">
        <v>13.13</v>
      </c>
      <c r="AK5" s="623">
        <v>13.13</v>
      </c>
      <c r="AL5" s="623">
        <v>13.13</v>
      </c>
      <c r="AM5" s="623">
        <v>13.13</v>
      </c>
      <c r="AN5" s="623">
        <v>13.13</v>
      </c>
      <c r="AO5" s="623">
        <v>13.13</v>
      </c>
      <c r="AP5" s="623">
        <v>13.13</v>
      </c>
      <c r="AQ5" s="623">
        <v>13.13</v>
      </c>
      <c r="AR5" s="623">
        <v>13.13</v>
      </c>
      <c r="AS5" s="623">
        <v>13.13</v>
      </c>
      <c r="AT5" s="623">
        <v>13.13</v>
      </c>
      <c r="AU5" s="623">
        <v>13.13</v>
      </c>
      <c r="AV5" s="623">
        <v>13.13</v>
      </c>
      <c r="AW5" s="623">
        <v>13.13</v>
      </c>
      <c r="AX5" s="623">
        <v>13.13</v>
      </c>
      <c r="AY5" s="623">
        <v>13.13</v>
      </c>
      <c r="AZ5" s="623">
        <v>13.13</v>
      </c>
      <c r="BA5" s="623">
        <v>13.13</v>
      </c>
      <c r="BB5" s="623">
        <v>13.13</v>
      </c>
      <c r="BC5" s="629">
        <v>20.13</v>
      </c>
      <c r="BD5" s="623">
        <v>3</v>
      </c>
      <c r="BF5" s="878"/>
      <c r="BG5" s="878"/>
      <c r="BH5" s="878"/>
    </row>
    <row r="6" spans="1:62" s="1012" customFormat="1" ht="12" hidden="1" customHeight="1">
      <c r="A6" s="988"/>
      <c r="B6" s="614"/>
      <c r="E6" s="623"/>
      <c r="G6" s="150"/>
      <c r="H6" s="150"/>
      <c r="I6" s="150"/>
      <c r="J6" s="150"/>
      <c r="K6" s="150"/>
      <c r="L6" s="150"/>
      <c r="M6" s="150"/>
      <c r="N6" s="150"/>
      <c r="O6" s="150"/>
      <c r="P6" s="150"/>
      <c r="Q6" s="150"/>
      <c r="R6" s="150"/>
      <c r="S6" s="150"/>
      <c r="AB6" s="109"/>
      <c r="AC6" s="109"/>
      <c r="AD6" s="109"/>
      <c r="AE6" s="113">
        <f>god-2</f>
        <v>2024</v>
      </c>
      <c r="AF6" s="113">
        <f>god-2</f>
        <v>2024</v>
      </c>
      <c r="AG6" s="113">
        <f>god-2</f>
        <v>2024</v>
      </c>
      <c r="AH6" s="113">
        <f>god-1</f>
        <v>2025</v>
      </c>
      <c r="AI6" s="113">
        <f>god</f>
        <v>2026</v>
      </c>
      <c r="AJ6" s="113">
        <f>god+1</f>
        <v>2027</v>
      </c>
      <c r="AK6" s="113">
        <f>god+2</f>
        <v>2028</v>
      </c>
      <c r="AL6" s="113">
        <f>god+3</f>
        <v>2029</v>
      </c>
      <c r="AM6" s="113">
        <f>god+4</f>
        <v>2030</v>
      </c>
      <c r="AN6" s="113">
        <f>god+5</f>
        <v>2031</v>
      </c>
      <c r="AO6" s="113">
        <f>god+6</f>
        <v>2032</v>
      </c>
      <c r="AP6" s="113">
        <f>god+7</f>
        <v>2033</v>
      </c>
      <c r="AQ6" s="113">
        <f>god+8</f>
        <v>2034</v>
      </c>
      <c r="AR6" s="113">
        <f>god+9</f>
        <v>2035</v>
      </c>
      <c r="AS6" s="113">
        <f>god</f>
        <v>2026</v>
      </c>
      <c r="AT6" s="113">
        <f>god+1</f>
        <v>2027</v>
      </c>
      <c r="AU6" s="113">
        <f>god+2</f>
        <v>2028</v>
      </c>
      <c r="AV6" s="113">
        <f>god+3</f>
        <v>2029</v>
      </c>
      <c r="AW6" s="113">
        <f>god+4</f>
        <v>2030</v>
      </c>
      <c r="AX6" s="113">
        <f>god+5</f>
        <v>2031</v>
      </c>
      <c r="AY6" s="113">
        <f>god+6</f>
        <v>2032</v>
      </c>
      <c r="AZ6" s="113">
        <f>god+7</f>
        <v>2033</v>
      </c>
      <c r="BA6" s="113">
        <f>god+8</f>
        <v>2034</v>
      </c>
      <c r="BB6" s="113">
        <f>god+9</f>
        <v>2035</v>
      </c>
      <c r="BC6" s="109"/>
      <c r="BF6" s="891"/>
      <c r="BG6" s="891"/>
      <c r="BH6" s="891"/>
      <c r="BI6" s="633"/>
      <c r="BJ6" s="633"/>
    </row>
    <row r="7" spans="1:62" ht="12" hidden="1" customHeight="1">
      <c r="F7" s="150"/>
      <c r="T7" s="150"/>
      <c r="U7" s="150"/>
      <c r="V7" s="150"/>
      <c r="W7" s="150"/>
      <c r="X7" s="150"/>
      <c r="Y7" s="150"/>
      <c r="Z7" s="150"/>
      <c r="AE7" s="150" t="str">
        <f t="shared" ref="AE7:BB7" si="1">AE26</f>
        <v>Принято органом регулирования</v>
      </c>
      <c r="AF7" s="150" t="str">
        <f t="shared" si="1"/>
        <v>Факт по данным организации</v>
      </c>
      <c r="AG7" s="150" t="str">
        <f t="shared" si="1"/>
        <v>Факт, принятый органом регулирования</v>
      </c>
      <c r="AH7" s="150" t="str">
        <f t="shared" si="1"/>
        <v>Принято органом регулирования</v>
      </c>
      <c r="AI7" s="150" t="str">
        <f t="shared" si="1"/>
        <v>Предложение организации</v>
      </c>
      <c r="AJ7" s="150" t="str">
        <f t="shared" si="1"/>
        <v>Предложение организации</v>
      </c>
      <c r="AK7" s="150" t="str">
        <f t="shared" si="1"/>
        <v>Предложение организации</v>
      </c>
      <c r="AL7" s="150" t="str">
        <f t="shared" si="1"/>
        <v>Предложение организации</v>
      </c>
      <c r="AM7" s="150" t="str">
        <f t="shared" si="1"/>
        <v>Предложение организации</v>
      </c>
      <c r="AN7" s="150" t="str">
        <f t="shared" si="1"/>
        <v>Предложение организации</v>
      </c>
      <c r="AO7" s="150" t="str">
        <f t="shared" si="1"/>
        <v>Предложение организации</v>
      </c>
      <c r="AP7" s="150" t="str">
        <f t="shared" si="1"/>
        <v>Предложение организации</v>
      </c>
      <c r="AQ7" s="150" t="str">
        <f t="shared" si="1"/>
        <v>Предложение организации</v>
      </c>
      <c r="AR7" s="150" t="str">
        <f t="shared" si="1"/>
        <v>Предложение организации</v>
      </c>
      <c r="AS7" s="150" t="str">
        <f t="shared" si="1"/>
        <v>Принято органом регулирования</v>
      </c>
      <c r="AT7" s="150" t="str">
        <f t="shared" si="1"/>
        <v>Принято органом регулирования</v>
      </c>
      <c r="AU7" s="150" t="str">
        <f t="shared" si="1"/>
        <v>Принято органом регулирования</v>
      </c>
      <c r="AV7" s="150" t="str">
        <f t="shared" si="1"/>
        <v>Принято органом регулирования</v>
      </c>
      <c r="AW7" s="150" t="str">
        <f t="shared" si="1"/>
        <v>Принято органом регулирования</v>
      </c>
      <c r="AX7" s="150" t="str">
        <f t="shared" si="1"/>
        <v>Принято органом регулирования</v>
      </c>
      <c r="AY7" s="150" t="str">
        <f t="shared" si="1"/>
        <v>Принято органом регулирования</v>
      </c>
      <c r="AZ7" s="150" t="str">
        <f t="shared" si="1"/>
        <v>Принято органом регулирования</v>
      </c>
      <c r="BA7" s="150" t="str">
        <f t="shared" si="1"/>
        <v>Принято органом регулирования</v>
      </c>
      <c r="BB7" s="150" t="str">
        <f t="shared" si="1"/>
        <v>Принято органом регулирования</v>
      </c>
    </row>
    <row r="8" spans="1:62" ht="12" hidden="1" customHeight="1">
      <c r="F8" s="150"/>
      <c r="T8" s="150"/>
      <c r="U8" s="150"/>
      <c r="V8" s="150"/>
      <c r="W8" s="150"/>
      <c r="X8" s="150"/>
      <c r="Y8" s="150"/>
      <c r="Z8" s="150"/>
      <c r="AE8" s="150" t="str">
        <f t="shared" ref="AE8:BB8" si="2">AE6&amp;AE7</f>
        <v>2024Принято органом регулирования</v>
      </c>
      <c r="AF8" s="150" t="str">
        <f t="shared" si="2"/>
        <v>2024Факт по данным организации</v>
      </c>
      <c r="AG8" s="150" t="str">
        <f t="shared" si="2"/>
        <v>2024Факт, принятый органом регулирования</v>
      </c>
      <c r="AH8" s="150" t="str">
        <f t="shared" si="2"/>
        <v>2025Принято органом регулирования</v>
      </c>
      <c r="AI8" s="150" t="str">
        <f t="shared" si="2"/>
        <v>2026Предложение организации</v>
      </c>
      <c r="AJ8" s="150" t="str">
        <f t="shared" si="2"/>
        <v>2027Предложение организации</v>
      </c>
      <c r="AK8" s="150" t="str">
        <f t="shared" si="2"/>
        <v>2028Предложение организации</v>
      </c>
      <c r="AL8" s="150" t="str">
        <f t="shared" si="2"/>
        <v>2029Предложение организации</v>
      </c>
      <c r="AM8" s="150" t="str">
        <f t="shared" si="2"/>
        <v>2030Предложение организации</v>
      </c>
      <c r="AN8" s="150" t="str">
        <f t="shared" si="2"/>
        <v>2031Предложение организации</v>
      </c>
      <c r="AO8" s="150" t="str">
        <f t="shared" si="2"/>
        <v>2032Предложение организации</v>
      </c>
      <c r="AP8" s="150" t="str">
        <f t="shared" si="2"/>
        <v>2033Предложение организации</v>
      </c>
      <c r="AQ8" s="150" t="str">
        <f t="shared" si="2"/>
        <v>2034Предложение организации</v>
      </c>
      <c r="AR8" s="150" t="str">
        <f t="shared" si="2"/>
        <v>2035Предложение организации</v>
      </c>
      <c r="AS8" s="150" t="str">
        <f t="shared" si="2"/>
        <v>2026Принято органом регулирования</v>
      </c>
      <c r="AT8" s="150" t="str">
        <f t="shared" si="2"/>
        <v>2027Принято органом регулирования</v>
      </c>
      <c r="AU8" s="150" t="str">
        <f t="shared" si="2"/>
        <v>2028Принято органом регулирования</v>
      </c>
      <c r="AV8" s="150" t="str">
        <f t="shared" si="2"/>
        <v>2029Принято органом регулирования</v>
      </c>
      <c r="AW8" s="150" t="str">
        <f t="shared" si="2"/>
        <v>2030Принято органом регулирования</v>
      </c>
      <c r="AX8" s="150" t="str">
        <f t="shared" si="2"/>
        <v>2031Принято органом регулирования</v>
      </c>
      <c r="AY8" s="150" t="str">
        <f t="shared" si="2"/>
        <v>2032Принято органом регулирования</v>
      </c>
      <c r="AZ8" s="150" t="str">
        <f t="shared" si="2"/>
        <v>2033Принято органом регулирования</v>
      </c>
      <c r="BA8" s="150" t="str">
        <f t="shared" si="2"/>
        <v>2034Принято органом регулирования</v>
      </c>
      <c r="BB8" s="150" t="str">
        <f t="shared" si="2"/>
        <v>2035Принято органом регулирования</v>
      </c>
    </row>
    <row r="9" spans="1:62" s="928" customFormat="1" ht="12" hidden="1" customHeight="1">
      <c r="A9" s="890" t="s">
        <v>327</v>
      </c>
      <c r="B9" s="878"/>
      <c r="E9" s="878"/>
      <c r="G9" s="913"/>
      <c r="H9" s="913"/>
      <c r="I9" s="913"/>
      <c r="J9" s="913"/>
      <c r="K9" s="913"/>
      <c r="L9" s="913"/>
      <c r="M9" s="913"/>
      <c r="N9" s="913"/>
      <c r="O9" s="913"/>
      <c r="P9" s="913"/>
      <c r="Q9" s="913"/>
      <c r="R9" s="913"/>
      <c r="S9" s="913"/>
      <c r="AB9" s="893"/>
      <c r="AC9" s="893"/>
      <c r="AD9" s="893"/>
      <c r="AE9" s="891">
        <f>god-2</f>
        <v>2024</v>
      </c>
      <c r="AF9" s="891">
        <f>god-2</f>
        <v>2024</v>
      </c>
      <c r="AG9" s="891">
        <f>god-2</f>
        <v>2024</v>
      </c>
      <c r="AH9" s="891">
        <f>god-1</f>
        <v>2025</v>
      </c>
      <c r="AI9" s="891">
        <f>god</f>
        <v>2026</v>
      </c>
      <c r="AJ9" s="891">
        <f>god+1</f>
        <v>2027</v>
      </c>
      <c r="AK9" s="891">
        <f>god+2</f>
        <v>2028</v>
      </c>
      <c r="AL9" s="891">
        <f>god+3</f>
        <v>2029</v>
      </c>
      <c r="AM9" s="891">
        <f>god+4</f>
        <v>2030</v>
      </c>
      <c r="AN9" s="891">
        <f>god+5</f>
        <v>2031</v>
      </c>
      <c r="AO9" s="891">
        <f>god+6</f>
        <v>2032</v>
      </c>
      <c r="AP9" s="891">
        <f>god+7</f>
        <v>2033</v>
      </c>
      <c r="AQ9" s="891">
        <f>god+8</f>
        <v>2034</v>
      </c>
      <c r="AR9" s="891">
        <f>god+9</f>
        <v>2035</v>
      </c>
      <c r="AS9" s="891">
        <f>god</f>
        <v>2026</v>
      </c>
      <c r="AT9" s="891">
        <f>god+1</f>
        <v>2027</v>
      </c>
      <c r="AU9" s="891">
        <f>god+2</f>
        <v>2028</v>
      </c>
      <c r="AV9" s="891">
        <f>god+3</f>
        <v>2029</v>
      </c>
      <c r="AW9" s="891">
        <f>god+4</f>
        <v>2030</v>
      </c>
      <c r="AX9" s="891">
        <f>god+5</f>
        <v>2031</v>
      </c>
      <c r="AY9" s="891">
        <f>god+6</f>
        <v>2032</v>
      </c>
      <c r="AZ9" s="891">
        <f>god+7</f>
        <v>2033</v>
      </c>
      <c r="BA9" s="891">
        <f>god+8</f>
        <v>2034</v>
      </c>
      <c r="BB9" s="891">
        <f>god+9</f>
        <v>2035</v>
      </c>
      <c r="BC9" s="893"/>
    </row>
    <row r="10" spans="1:62" s="928" customFormat="1" ht="12" hidden="1" customHeight="1">
      <c r="A10" s="890" t="s">
        <v>328</v>
      </c>
      <c r="B10" s="878"/>
      <c r="E10" s="878"/>
      <c r="G10" s="913"/>
      <c r="H10" s="913"/>
      <c r="I10" s="913"/>
      <c r="J10" s="913"/>
      <c r="K10" s="913"/>
      <c r="L10" s="913"/>
      <c r="M10" s="913"/>
      <c r="N10" s="913"/>
      <c r="O10" s="913"/>
      <c r="P10" s="913"/>
      <c r="Q10" s="913"/>
      <c r="R10" s="913"/>
      <c r="S10" s="913"/>
      <c r="AB10" s="893"/>
      <c r="AC10" s="893"/>
      <c r="AD10" s="893"/>
      <c r="AE10" s="891" t="str">
        <f t="shared" ref="AE10:BB10" si="3">AE26</f>
        <v>Принято органом регулирования</v>
      </c>
      <c r="AF10" s="891" t="str">
        <f t="shared" si="3"/>
        <v>Факт по данным организации</v>
      </c>
      <c r="AG10" s="891" t="str">
        <f t="shared" si="3"/>
        <v>Факт, принятый органом регулирования</v>
      </c>
      <c r="AH10" s="891" t="str">
        <f t="shared" si="3"/>
        <v>Принято органом регулирования</v>
      </c>
      <c r="AI10" s="891" t="str">
        <f t="shared" si="3"/>
        <v>Предложение организации</v>
      </c>
      <c r="AJ10" s="891" t="str">
        <f t="shared" si="3"/>
        <v>Предложение организации</v>
      </c>
      <c r="AK10" s="891" t="str">
        <f t="shared" si="3"/>
        <v>Предложение организации</v>
      </c>
      <c r="AL10" s="891" t="str">
        <f t="shared" si="3"/>
        <v>Предложение организации</v>
      </c>
      <c r="AM10" s="891" t="str">
        <f t="shared" si="3"/>
        <v>Предложение организации</v>
      </c>
      <c r="AN10" s="891" t="str">
        <f t="shared" si="3"/>
        <v>Предложение организации</v>
      </c>
      <c r="AO10" s="891" t="str">
        <f t="shared" si="3"/>
        <v>Предложение организации</v>
      </c>
      <c r="AP10" s="891" t="str">
        <f t="shared" si="3"/>
        <v>Предложение организации</v>
      </c>
      <c r="AQ10" s="891" t="str">
        <f t="shared" si="3"/>
        <v>Предложение организации</v>
      </c>
      <c r="AR10" s="891" t="str">
        <f t="shared" si="3"/>
        <v>Предложение организации</v>
      </c>
      <c r="AS10" s="891" t="str">
        <f t="shared" si="3"/>
        <v>Принято органом регулирования</v>
      </c>
      <c r="AT10" s="891" t="str">
        <f t="shared" si="3"/>
        <v>Принято органом регулирования</v>
      </c>
      <c r="AU10" s="891" t="str">
        <f t="shared" si="3"/>
        <v>Принято органом регулирования</v>
      </c>
      <c r="AV10" s="891" t="str">
        <f t="shared" si="3"/>
        <v>Принято органом регулирования</v>
      </c>
      <c r="AW10" s="891" t="str">
        <f t="shared" si="3"/>
        <v>Принято органом регулирования</v>
      </c>
      <c r="AX10" s="891" t="str">
        <f t="shared" si="3"/>
        <v>Принято органом регулирования</v>
      </c>
      <c r="AY10" s="891" t="str">
        <f t="shared" si="3"/>
        <v>Принято органом регулирования</v>
      </c>
      <c r="AZ10" s="891" t="str">
        <f t="shared" si="3"/>
        <v>Принято органом регулирования</v>
      </c>
      <c r="BA10" s="891" t="str">
        <f t="shared" si="3"/>
        <v>Принято органом регулирования</v>
      </c>
      <c r="BB10" s="891" t="str">
        <f t="shared" si="3"/>
        <v>Принято органом регулирования</v>
      </c>
      <c r="BC10" s="893"/>
    </row>
    <row r="11" spans="1:62" s="928" customFormat="1" ht="12" hidden="1" customHeight="1">
      <c r="A11" s="890" t="s">
        <v>329</v>
      </c>
      <c r="B11" s="878"/>
      <c r="E11" s="878"/>
      <c r="G11" s="913"/>
      <c r="H11" s="913"/>
      <c r="I11" s="913"/>
      <c r="J11" s="913"/>
      <c r="K11" s="913"/>
      <c r="L11" s="913"/>
      <c r="M11" s="913"/>
      <c r="N11" s="913"/>
      <c r="O11" s="913"/>
      <c r="P11" s="913"/>
      <c r="Q11" s="913"/>
      <c r="R11" s="913"/>
      <c r="S11" s="913"/>
      <c r="AB11" s="893"/>
      <c r="AC11" s="893"/>
      <c r="AD11" s="893"/>
      <c r="BC11" s="893" t="str">
        <f>BC25</f>
        <v>Ссылка на правовую норму (основание для принятия показателя в расчет тарифа)</v>
      </c>
    </row>
    <row r="12" spans="1:62" s="928" customFormat="1" ht="12" hidden="1" customHeight="1">
      <c r="A12" s="890" t="s">
        <v>286</v>
      </c>
      <c r="B12" s="878"/>
      <c r="E12" s="878"/>
      <c r="G12" s="913"/>
      <c r="H12" s="913"/>
      <c r="I12" s="913"/>
      <c r="J12" s="913"/>
      <c r="K12" s="913"/>
      <c r="L12" s="913"/>
      <c r="M12" s="913"/>
      <c r="N12" s="913"/>
      <c r="O12" s="913"/>
      <c r="P12" s="913"/>
      <c r="Q12" s="913"/>
      <c r="R12" s="913"/>
      <c r="S12" s="913"/>
      <c r="AB12" s="893"/>
      <c r="AC12" s="893" t="s">
        <v>277</v>
      </c>
      <c r="AD12" s="893"/>
      <c r="BC12" s="893"/>
    </row>
    <row r="13" spans="1:62" s="1012" customFormat="1" ht="12" hidden="1" customHeight="1">
      <c r="A13" s="988"/>
      <c r="B13" s="614"/>
      <c r="E13" s="623"/>
      <c r="G13" s="150"/>
      <c r="H13" s="150"/>
      <c r="I13" s="150"/>
      <c r="J13" s="150"/>
      <c r="K13" s="150"/>
      <c r="L13" s="150"/>
      <c r="M13" s="150"/>
      <c r="N13" s="150"/>
      <c r="O13" s="150"/>
      <c r="P13" s="150"/>
      <c r="Q13" s="150"/>
      <c r="R13" s="150"/>
      <c r="S13" s="150"/>
      <c r="AB13" s="109"/>
      <c r="AC13" s="109"/>
      <c r="AD13" s="109"/>
      <c r="BC13" s="109"/>
      <c r="BF13" s="891"/>
      <c r="BG13" s="891"/>
      <c r="BH13" s="891"/>
      <c r="BI13" s="633"/>
      <c r="BJ13" s="633"/>
    </row>
    <row r="14" spans="1:62" s="1012" customFormat="1" ht="12" hidden="1" customHeight="1">
      <c r="A14" s="988"/>
      <c r="B14" s="614"/>
      <c r="E14" s="623"/>
      <c r="G14" s="150"/>
      <c r="H14" s="150"/>
      <c r="I14" s="150"/>
      <c r="J14" s="150"/>
      <c r="K14" s="150"/>
      <c r="L14" s="150"/>
      <c r="M14" s="150"/>
      <c r="N14" s="150"/>
      <c r="O14" s="150"/>
      <c r="P14" s="150"/>
      <c r="Q14" s="150"/>
      <c r="R14" s="150"/>
      <c r="S14" s="150"/>
      <c r="AB14" s="109"/>
      <c r="AC14" s="109"/>
      <c r="BC14" s="109"/>
      <c r="BF14" s="891"/>
      <c r="BG14" s="891"/>
      <c r="BH14" s="891"/>
      <c r="BI14" s="633"/>
      <c r="BJ14" s="633"/>
    </row>
    <row r="15" spans="1:62" s="1012" customFormat="1" ht="12" hidden="1" customHeight="1">
      <c r="A15" s="988"/>
      <c r="B15" s="614"/>
      <c r="E15" s="623"/>
      <c r="G15" s="150"/>
      <c r="H15" s="150"/>
      <c r="I15" s="150"/>
      <c r="J15" s="150"/>
      <c r="K15" s="150"/>
      <c r="L15" s="150"/>
      <c r="M15" s="150"/>
      <c r="N15" s="150"/>
      <c r="O15" s="150"/>
      <c r="P15" s="150"/>
      <c r="Q15" s="150"/>
      <c r="R15" s="150"/>
      <c r="S15" s="150"/>
      <c r="AB15" s="109"/>
      <c r="AC15" s="109"/>
      <c r="AD15" s="109"/>
      <c r="BC15" s="109"/>
      <c r="BF15" s="891"/>
      <c r="BG15" s="891"/>
      <c r="BH15" s="891"/>
      <c r="BI15" s="633"/>
      <c r="BJ15" s="633"/>
    </row>
    <row r="16" spans="1:62" s="1012" customFormat="1" ht="12" hidden="1" customHeight="1">
      <c r="A16" s="988"/>
      <c r="B16" s="614"/>
      <c r="E16" s="623"/>
      <c r="G16" s="150"/>
      <c r="H16" s="150"/>
      <c r="I16" s="150"/>
      <c r="J16" s="150"/>
      <c r="K16" s="150"/>
      <c r="L16" s="150"/>
      <c r="M16" s="150"/>
      <c r="N16" s="150"/>
      <c r="O16" s="150"/>
      <c r="P16" s="150"/>
      <c r="Q16" s="150"/>
      <c r="R16" s="150"/>
      <c r="S16" s="150"/>
      <c r="AB16" s="109"/>
      <c r="AC16" s="109"/>
      <c r="AD16" s="109"/>
      <c r="BC16" s="109"/>
      <c r="BF16" s="891"/>
      <c r="BG16" s="891"/>
      <c r="BH16" s="891"/>
      <c r="BI16" s="633"/>
      <c r="BJ16" s="633"/>
    </row>
    <row r="17" spans="1:62" s="1012" customFormat="1" ht="12" hidden="1" customHeight="1">
      <c r="A17" s="988"/>
      <c r="B17" s="614"/>
      <c r="E17" s="623"/>
      <c r="G17" s="150"/>
      <c r="H17" s="150"/>
      <c r="I17" s="150"/>
      <c r="J17" s="150"/>
      <c r="K17" s="150"/>
      <c r="L17" s="150"/>
      <c r="M17" s="150"/>
      <c r="N17" s="150"/>
      <c r="O17" s="150"/>
      <c r="P17" s="150"/>
      <c r="Q17" s="150"/>
      <c r="R17" s="150"/>
      <c r="S17" s="150"/>
      <c r="AB17" s="109"/>
      <c r="AC17" s="109"/>
      <c r="AD17" s="109"/>
      <c r="BC17" s="109"/>
      <c r="BF17" s="891"/>
      <c r="BG17" s="891"/>
      <c r="BH17" s="891"/>
      <c r="BI17" s="633"/>
      <c r="BJ17" s="633"/>
    </row>
    <row r="18" spans="1:62" s="1012" customFormat="1" ht="12" hidden="1" customHeight="1">
      <c r="A18" s="997" t="s">
        <v>385</v>
      </c>
      <c r="B18" s="614"/>
      <c r="E18" s="623"/>
      <c r="G18" s="150"/>
      <c r="H18" s="150"/>
      <c r="I18" s="150"/>
      <c r="J18" s="150"/>
      <c r="K18" s="150"/>
      <c r="L18" s="150"/>
      <c r="M18" s="150"/>
      <c r="N18" s="150"/>
      <c r="O18" s="150"/>
      <c r="P18" s="150"/>
      <c r="Q18" s="150"/>
      <c r="R18" s="150"/>
      <c r="S18" s="150"/>
      <c r="AB18" s="109"/>
      <c r="AC18" s="109" t="s">
        <v>330</v>
      </c>
      <c r="AD18" s="109"/>
      <c r="BC18" s="109"/>
      <c r="BF18" s="891"/>
      <c r="BG18" s="891"/>
      <c r="BH18" s="891"/>
      <c r="BI18" s="633"/>
      <c r="BJ18" s="633"/>
    </row>
    <row r="19" spans="1:62" s="1012" customFormat="1" ht="12" hidden="1" customHeight="1">
      <c r="A19" s="988"/>
      <c r="B19" s="614"/>
      <c r="E19" s="623"/>
      <c r="G19" s="150"/>
      <c r="H19" s="150"/>
      <c r="I19" s="150"/>
      <c r="J19" s="150"/>
      <c r="K19" s="150"/>
      <c r="L19" s="150"/>
      <c r="M19" s="150"/>
      <c r="N19" s="150"/>
      <c r="O19" s="150"/>
      <c r="P19" s="150"/>
      <c r="Q19" s="150"/>
      <c r="R19" s="150"/>
      <c r="S19" s="150"/>
      <c r="AB19" s="109"/>
      <c r="AC19" s="109"/>
      <c r="AD19" s="109"/>
      <c r="BC19" s="109"/>
      <c r="BF19" s="891"/>
      <c r="BG19" s="891"/>
      <c r="BH19" s="891"/>
      <c r="BI19" s="633"/>
      <c r="BJ19" s="633"/>
    </row>
    <row r="20" spans="1:62" s="1012" customFormat="1" ht="12" hidden="1" customHeight="1">
      <c r="A20" s="988"/>
      <c r="B20" s="614"/>
      <c r="E20" s="623"/>
      <c r="G20" s="150"/>
      <c r="H20" s="150"/>
      <c r="I20" s="150"/>
      <c r="J20" s="150"/>
      <c r="K20" s="150"/>
      <c r="L20" s="150"/>
      <c r="M20" s="150"/>
      <c r="N20" s="150"/>
      <c r="O20" s="150"/>
      <c r="P20" s="150"/>
      <c r="Q20" s="150"/>
      <c r="R20" s="150"/>
      <c r="S20" s="150"/>
      <c r="AB20" s="109"/>
      <c r="AC20" s="109"/>
      <c r="AD20" s="109"/>
      <c r="BC20" s="109"/>
      <c r="BF20" s="891"/>
      <c r="BG20" s="891"/>
      <c r="BH20" s="891"/>
      <c r="BI20" s="633"/>
      <c r="BJ20" s="633"/>
    </row>
    <row r="21" spans="1:62" ht="14.65" customHeight="1">
      <c r="E21" s="623">
        <v>15</v>
      </c>
      <c r="AA21" s="646"/>
      <c r="AC21" s="315" t="str">
        <f>tpl_title</f>
        <v>Кемеровская область / 2026 / АО "СУЭК-Кузбасс" (ИНН:4212024138, КПП:421201001) / ДПР: 2024-2028</v>
      </c>
    </row>
    <row r="22" spans="1:62" s="750" customFormat="1" ht="19.5" customHeight="1">
      <c r="A22" s="315"/>
      <c r="B22" s="614"/>
      <c r="C22" s="116"/>
      <c r="D22" s="116"/>
      <c r="E22" s="623">
        <v>20.100000000000001</v>
      </c>
      <c r="F22" s="116"/>
      <c r="T22" s="116"/>
      <c r="U22" s="116"/>
      <c r="V22" s="116"/>
      <c r="W22" s="116"/>
      <c r="X22" s="116"/>
      <c r="Y22" s="116"/>
      <c r="Z22" s="116"/>
      <c r="AB22" s="305" t="s">
        <v>484</v>
      </c>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F22" s="888"/>
      <c r="BG22" s="888"/>
      <c r="BH22" s="888"/>
      <c r="BI22" s="910"/>
      <c r="BJ22" s="910"/>
    </row>
    <row r="23" spans="1:62" ht="11.1" customHeight="1">
      <c r="E23" s="623">
        <v>11.3</v>
      </c>
    </row>
    <row r="24" spans="1:62" s="750" customFormat="1" ht="14.65" customHeight="1">
      <c r="A24" s="315"/>
      <c r="B24" s="614"/>
      <c r="C24" s="116"/>
      <c r="D24" s="116"/>
      <c r="E24" s="623">
        <v>15</v>
      </c>
      <c r="F24" s="116"/>
      <c r="T24" s="116"/>
      <c r="U24" s="116"/>
      <c r="V24" s="116"/>
      <c r="W24" s="116"/>
      <c r="X24" s="116"/>
      <c r="Y24" s="116"/>
      <c r="Z24" s="116"/>
      <c r="AB24" s="1415" t="s">
        <v>485</v>
      </c>
      <c r="AC24" s="1415"/>
      <c r="AD24" s="1415"/>
      <c r="AE24" s="1415"/>
      <c r="AF24" s="1415"/>
      <c r="AG24" s="1415"/>
      <c r="AH24" s="1415"/>
      <c r="AI24" s="1415"/>
      <c r="AJ24" s="1415"/>
      <c r="AK24" s="1415"/>
      <c r="AL24" s="1415"/>
      <c r="AM24" s="1415"/>
      <c r="AN24" s="1415"/>
      <c r="AO24" s="1415"/>
      <c r="AP24" s="1415"/>
      <c r="AQ24" s="1415"/>
      <c r="AR24" s="1415"/>
      <c r="AS24" s="1415"/>
      <c r="AT24" s="1415"/>
      <c r="AU24" s="1415"/>
      <c r="AV24" s="1415"/>
      <c r="AW24" s="1415"/>
      <c r="AX24" s="1415"/>
      <c r="AY24" s="1415"/>
      <c r="AZ24" s="1415"/>
      <c r="BA24" s="1415"/>
      <c r="BB24" s="1415"/>
      <c r="BC24" s="1415"/>
      <c r="BF24" s="888"/>
      <c r="BG24" s="888"/>
      <c r="BH24" s="888"/>
      <c r="BI24" s="910"/>
      <c r="BJ24" s="910"/>
    </row>
    <row r="25" spans="1:62" s="152" customFormat="1" ht="14.65" customHeight="1">
      <c r="A25" s="254"/>
      <c r="B25" s="618"/>
      <c r="C25" s="109"/>
      <c r="D25" s="109"/>
      <c r="E25" s="629">
        <v>15</v>
      </c>
      <c r="F25" s="109"/>
      <c r="T25" s="109"/>
      <c r="U25" s="109"/>
      <c r="V25" s="116"/>
      <c r="W25" s="109"/>
      <c r="X25" s="109"/>
      <c r="Y25" s="109"/>
      <c r="Z25" s="109"/>
      <c r="AB25" s="1417" t="s">
        <v>288</v>
      </c>
      <c r="AC25" s="1418" t="s">
        <v>330</v>
      </c>
      <c r="AD25" s="1409" t="s">
        <v>331</v>
      </c>
      <c r="AE25" s="323" t="str">
        <f>god-2&amp;" год"</f>
        <v>2024 год</v>
      </c>
      <c r="AF25" s="1006" t="str">
        <f>god-2&amp;" год"</f>
        <v>2024 год</v>
      </c>
      <c r="AG25" s="323" t="str">
        <f>god-2&amp;" год"</f>
        <v>2024 год</v>
      </c>
      <c r="AH25" s="112" t="str">
        <f>god-1&amp;" год"</f>
        <v>2025 год</v>
      </c>
      <c r="AI25" s="1001" t="str">
        <f>god&amp;" год"</f>
        <v>2026 год</v>
      </c>
      <c r="AJ25" s="1001" t="str">
        <f>god+1&amp;" год"</f>
        <v>2027 год</v>
      </c>
      <c r="AK25" s="1001" t="str">
        <f>god+2&amp;" год"</f>
        <v>2028 год</v>
      </c>
      <c r="AL25" s="1001" t="str">
        <f>god+3&amp;" год"</f>
        <v>2029 год</v>
      </c>
      <c r="AM25" s="1001" t="str">
        <f>god+4&amp;" год"</f>
        <v>2030 год</v>
      </c>
      <c r="AN25" s="1001" t="str">
        <f>god+5&amp;" год"</f>
        <v>2031 год</v>
      </c>
      <c r="AO25" s="1001" t="str">
        <f>god+6&amp;" год"</f>
        <v>2032 год</v>
      </c>
      <c r="AP25" s="1001" t="str">
        <f>god+7&amp;" год"</f>
        <v>2033 год</v>
      </c>
      <c r="AQ25" s="1001" t="str">
        <f>god+8&amp;" год"</f>
        <v>2034 год</v>
      </c>
      <c r="AR25" s="1001" t="str">
        <f>god+9&amp;" год"</f>
        <v>2035 год</v>
      </c>
      <c r="AS25" s="108" t="str">
        <f>god&amp;" год"</f>
        <v>2026 год</v>
      </c>
      <c r="AT25" s="108" t="str">
        <f>god+1&amp;" год"</f>
        <v>2027 год</v>
      </c>
      <c r="AU25" s="108" t="str">
        <f>god+2&amp;" год"</f>
        <v>2028 год</v>
      </c>
      <c r="AV25" s="108" t="str">
        <f>god+3&amp;" год"</f>
        <v>2029 год</v>
      </c>
      <c r="AW25" s="108" t="str">
        <f>god+4&amp;" год"</f>
        <v>2030 год</v>
      </c>
      <c r="AX25" s="108" t="str">
        <f>god+5&amp;" год"</f>
        <v>2031 год</v>
      </c>
      <c r="AY25" s="108" t="str">
        <f>god+6&amp;" год"</f>
        <v>2032 год</v>
      </c>
      <c r="AZ25" s="108" t="str">
        <f>god+7&amp;" год"</f>
        <v>2033 год</v>
      </c>
      <c r="BA25" s="108" t="str">
        <f>god+8&amp;" год"</f>
        <v>2034 год</v>
      </c>
      <c r="BB25" s="108" t="str">
        <f>god+9&amp;" год"</f>
        <v>2035 год</v>
      </c>
      <c r="BC25" s="1416" t="s">
        <v>486</v>
      </c>
      <c r="BF25" s="962"/>
      <c r="BG25" s="962"/>
      <c r="BH25" s="962"/>
      <c r="BI25" s="961"/>
      <c r="BJ25" s="961"/>
    </row>
    <row r="26" spans="1:62" s="152" customFormat="1" ht="68.099999999999994" customHeight="1">
      <c r="A26" s="254"/>
      <c r="B26" s="618"/>
      <c r="C26" s="109"/>
      <c r="D26" s="109"/>
      <c r="E26" s="629">
        <v>69.900000000000006</v>
      </c>
      <c r="F26" s="109"/>
      <c r="T26" s="109"/>
      <c r="U26" s="109"/>
      <c r="V26" s="116"/>
      <c r="W26" s="109"/>
      <c r="X26" s="109"/>
      <c r="Y26" s="109"/>
      <c r="Z26" s="109"/>
      <c r="AB26" s="1417"/>
      <c r="AC26" s="1419"/>
      <c r="AD26" s="1409"/>
      <c r="AE26" s="108" t="s">
        <v>304</v>
      </c>
      <c r="AF26" s="1001" t="s">
        <v>487</v>
      </c>
      <c r="AG26" s="108" t="s">
        <v>488</v>
      </c>
      <c r="AH26" s="108" t="s">
        <v>304</v>
      </c>
      <c r="AI26" s="1002" t="s">
        <v>305</v>
      </c>
      <c r="AJ26" s="1002" t="s">
        <v>305</v>
      </c>
      <c r="AK26" s="1002" t="s">
        <v>305</v>
      </c>
      <c r="AL26" s="1002" t="s">
        <v>305</v>
      </c>
      <c r="AM26" s="1002" t="s">
        <v>305</v>
      </c>
      <c r="AN26" s="1002" t="s">
        <v>305</v>
      </c>
      <c r="AO26" s="1002" t="s">
        <v>305</v>
      </c>
      <c r="AP26" s="1002" t="s">
        <v>305</v>
      </c>
      <c r="AQ26" s="1002" t="s">
        <v>305</v>
      </c>
      <c r="AR26" s="1002" t="s">
        <v>305</v>
      </c>
      <c r="AS26" s="324" t="s">
        <v>304</v>
      </c>
      <c r="AT26" s="324" t="s">
        <v>304</v>
      </c>
      <c r="AU26" s="324" t="s">
        <v>304</v>
      </c>
      <c r="AV26" s="324" t="s">
        <v>304</v>
      </c>
      <c r="AW26" s="324" t="s">
        <v>304</v>
      </c>
      <c r="AX26" s="324" t="s">
        <v>304</v>
      </c>
      <c r="AY26" s="324" t="s">
        <v>304</v>
      </c>
      <c r="AZ26" s="324" t="s">
        <v>304</v>
      </c>
      <c r="BA26" s="324" t="s">
        <v>304</v>
      </c>
      <c r="BB26" s="324" t="s">
        <v>304</v>
      </c>
      <c r="BC26" s="1416"/>
      <c r="BF26" s="962"/>
      <c r="BG26" s="962"/>
      <c r="BH26" s="962"/>
      <c r="BI26" s="961"/>
      <c r="BJ26" s="961"/>
    </row>
    <row r="27" spans="1:62" s="152" customFormat="1" ht="69.75" hidden="1" customHeight="1">
      <c r="A27" s="254"/>
      <c r="B27" s="618"/>
      <c r="C27" s="109"/>
      <c r="D27" s="109"/>
      <c r="E27" s="629">
        <v>0</v>
      </c>
      <c r="F27" s="109"/>
      <c r="T27" s="109"/>
      <c r="U27" s="109"/>
      <c r="V27" s="116"/>
      <c r="W27" s="109"/>
      <c r="X27" s="109"/>
      <c r="Y27" s="109"/>
      <c r="Z27" s="109"/>
      <c r="AB27" s="416"/>
      <c r="AC27" s="415"/>
      <c r="AD27" s="291"/>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F27" s="962"/>
      <c r="BG27" s="962"/>
      <c r="BH27" s="962"/>
      <c r="BI27" s="961"/>
      <c r="BJ27" s="961"/>
    </row>
    <row r="28" spans="1:62" ht="11.1" hidden="1" customHeight="1">
      <c r="E28" s="623">
        <v>11.4</v>
      </c>
      <c r="F28" s="714">
        <f>X28</f>
        <v>0</v>
      </c>
      <c r="G28" s="150" t="str">
        <f>INDEX('Общие сведения'!$AH$169:$AH$202,MATCH($F28,'Общие сведения'!$Z$169:$Z$202,0))</f>
        <v>Производство</v>
      </c>
      <c r="H28" s="150" t="str">
        <f>INDEX('Общие сведения'!$AK$169:$AK$202,MATCH($F28,'Общие сведения'!$Z$169:$Z$202,0))</f>
        <v>одноставочный</v>
      </c>
      <c r="T28" s="634" t="b">
        <f>AND(X28&gt;0,G28&lt;&gt;"Передача")</f>
        <v>0</v>
      </c>
      <c r="V28" s="113" t="s">
        <v>228</v>
      </c>
      <c r="X28" s="1405">
        <v>0</v>
      </c>
      <c r="Z28" s="1405"/>
      <c r="AB28" s="371" t="str">
        <f>INDEX('Общие сведения'!$AG$169:$AG$202,MATCH($F28,'Общие сведения'!$Z$169:$Z$202,0))</f>
        <v>Тариф 0 (Теплоснабжение) - Тарифы на теплоноситель</v>
      </c>
      <c r="AC28" s="200"/>
      <c r="AD28" s="200"/>
      <c r="AE28" s="200"/>
      <c r="AF28" s="200"/>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row>
    <row r="29" spans="1:62" ht="16.7" hidden="1" customHeight="1">
      <c r="E29" s="623">
        <v>17.100000000000001</v>
      </c>
      <c r="F29" s="714">
        <f t="shared" ref="F29:F63" ca="1" si="4">OFFSET(G29,-1,-1)</f>
        <v>0</v>
      </c>
      <c r="G29" s="150" t="s">
        <v>489</v>
      </c>
      <c r="T29" s="634" t="b">
        <f t="shared" ref="T29:T41" si="5">T28</f>
        <v>0</v>
      </c>
      <c r="X29" s="1405"/>
      <c r="Z29" s="1405"/>
      <c r="AB29" s="387" t="s">
        <v>247</v>
      </c>
      <c r="AC29" s="770" t="s">
        <v>490</v>
      </c>
      <c r="AD29" s="324" t="s">
        <v>491</v>
      </c>
      <c r="AE29" s="288">
        <f t="shared" ref="AE29:BB29" si="6">AE30+AE35</f>
        <v>0</v>
      </c>
      <c r="AF29" s="288">
        <f t="shared" si="6"/>
        <v>0</v>
      </c>
      <c r="AG29" s="288">
        <f t="shared" si="6"/>
        <v>0</v>
      </c>
      <c r="AH29" s="288">
        <f t="shared" si="6"/>
        <v>0</v>
      </c>
      <c r="AI29" s="288">
        <f t="shared" si="6"/>
        <v>0</v>
      </c>
      <c r="AJ29" s="288">
        <f t="shared" si="6"/>
        <v>0</v>
      </c>
      <c r="AK29" s="288">
        <f t="shared" si="6"/>
        <v>0</v>
      </c>
      <c r="AL29" s="288">
        <f t="shared" si="6"/>
        <v>0</v>
      </c>
      <c r="AM29" s="288">
        <f t="shared" si="6"/>
        <v>0</v>
      </c>
      <c r="AN29" s="288">
        <f t="shared" si="6"/>
        <v>0</v>
      </c>
      <c r="AO29" s="288">
        <f t="shared" si="6"/>
        <v>0</v>
      </c>
      <c r="AP29" s="288">
        <f t="shared" si="6"/>
        <v>0</v>
      </c>
      <c r="AQ29" s="288">
        <f t="shared" si="6"/>
        <v>0</v>
      </c>
      <c r="AR29" s="288">
        <f t="shared" si="6"/>
        <v>0</v>
      </c>
      <c r="AS29" s="288">
        <f t="shared" si="6"/>
        <v>0</v>
      </c>
      <c r="AT29" s="288">
        <f t="shared" si="6"/>
        <v>0</v>
      </c>
      <c r="AU29" s="288">
        <f t="shared" si="6"/>
        <v>0</v>
      </c>
      <c r="AV29" s="288">
        <f t="shared" si="6"/>
        <v>0</v>
      </c>
      <c r="AW29" s="288">
        <f t="shared" si="6"/>
        <v>0</v>
      </c>
      <c r="AX29" s="288">
        <f t="shared" si="6"/>
        <v>0</v>
      </c>
      <c r="AY29" s="288">
        <f t="shared" si="6"/>
        <v>0</v>
      </c>
      <c r="AZ29" s="288">
        <f t="shared" si="6"/>
        <v>0</v>
      </c>
      <c r="BA29" s="288">
        <f t="shared" si="6"/>
        <v>0</v>
      </c>
      <c r="BB29" s="288">
        <f t="shared" si="6"/>
        <v>0</v>
      </c>
      <c r="BC29" s="22"/>
      <c r="BF29" s="913" t="s">
        <v>492</v>
      </c>
    </row>
    <row r="30" spans="1:62" ht="16.7" hidden="1" customHeight="1">
      <c r="E30" s="623">
        <v>17.100000000000001</v>
      </c>
      <c r="F30" s="714">
        <f t="shared" ca="1" si="4"/>
        <v>0</v>
      </c>
      <c r="T30" s="634" t="b">
        <f t="shared" si="5"/>
        <v>0</v>
      </c>
      <c r="X30" s="1405"/>
      <c r="Z30" s="1405"/>
      <c r="AB30" s="387" t="s">
        <v>339</v>
      </c>
      <c r="AC30" s="808" t="s">
        <v>493</v>
      </c>
      <c r="AD30" s="324" t="s">
        <v>491</v>
      </c>
      <c r="AE30" s="288">
        <f t="shared" ref="AE30:BB30" si="7">SUM(AE31:AE34)</f>
        <v>0</v>
      </c>
      <c r="AF30" s="288">
        <f t="shared" si="7"/>
        <v>0</v>
      </c>
      <c r="AG30" s="288">
        <f t="shared" si="7"/>
        <v>0</v>
      </c>
      <c r="AH30" s="288">
        <f t="shared" si="7"/>
        <v>0</v>
      </c>
      <c r="AI30" s="288">
        <f t="shared" si="7"/>
        <v>0</v>
      </c>
      <c r="AJ30" s="288">
        <f t="shared" si="7"/>
        <v>0</v>
      </c>
      <c r="AK30" s="288">
        <f t="shared" si="7"/>
        <v>0</v>
      </c>
      <c r="AL30" s="288">
        <f t="shared" si="7"/>
        <v>0</v>
      </c>
      <c r="AM30" s="288">
        <f t="shared" si="7"/>
        <v>0</v>
      </c>
      <c r="AN30" s="288">
        <f t="shared" si="7"/>
        <v>0</v>
      </c>
      <c r="AO30" s="288">
        <f t="shared" si="7"/>
        <v>0</v>
      </c>
      <c r="AP30" s="288">
        <f t="shared" si="7"/>
        <v>0</v>
      </c>
      <c r="AQ30" s="288">
        <f t="shared" si="7"/>
        <v>0</v>
      </c>
      <c r="AR30" s="288">
        <f t="shared" si="7"/>
        <v>0</v>
      </c>
      <c r="AS30" s="288">
        <f t="shared" si="7"/>
        <v>0</v>
      </c>
      <c r="AT30" s="288">
        <f t="shared" si="7"/>
        <v>0</v>
      </c>
      <c r="AU30" s="288">
        <f t="shared" si="7"/>
        <v>0</v>
      </c>
      <c r="AV30" s="288">
        <f t="shared" si="7"/>
        <v>0</v>
      </c>
      <c r="AW30" s="288">
        <f t="shared" si="7"/>
        <v>0</v>
      </c>
      <c r="AX30" s="288">
        <f t="shared" si="7"/>
        <v>0</v>
      </c>
      <c r="AY30" s="288">
        <f t="shared" si="7"/>
        <v>0</v>
      </c>
      <c r="AZ30" s="288">
        <f t="shared" si="7"/>
        <v>0</v>
      </c>
      <c r="BA30" s="288">
        <f t="shared" si="7"/>
        <v>0</v>
      </c>
      <c r="BB30" s="288">
        <f t="shared" si="7"/>
        <v>0</v>
      </c>
      <c r="BC30" s="22"/>
      <c r="BF30" s="913" t="s">
        <v>494</v>
      </c>
    </row>
    <row r="31" spans="1:62" ht="16.7" hidden="1" customHeight="1">
      <c r="E31" s="623">
        <v>17.100000000000001</v>
      </c>
      <c r="F31" s="714">
        <f t="shared" ca="1" si="4"/>
        <v>0</v>
      </c>
      <c r="T31" s="634" t="b">
        <f t="shared" si="5"/>
        <v>0</v>
      </c>
      <c r="X31" s="1405"/>
      <c r="Z31" s="1405"/>
      <c r="AB31" s="110" t="str">
        <f>AB30&amp;".1"</f>
        <v>1.1.1</v>
      </c>
      <c r="AC31" s="417" t="s">
        <v>495</v>
      </c>
      <c r="AD31" s="324" t="s">
        <v>491</v>
      </c>
      <c r="AE31" s="23"/>
      <c r="AF31" s="23"/>
      <c r="AG31" s="23"/>
      <c r="AH31" s="23"/>
      <c r="AI31" s="233"/>
      <c r="AJ31" s="1103"/>
      <c r="AK31" s="1103"/>
      <c r="AL31" s="23"/>
      <c r="AM31" s="23"/>
      <c r="AN31" s="23"/>
      <c r="AO31" s="23"/>
      <c r="AP31" s="23"/>
      <c r="AQ31" s="23"/>
      <c r="AR31" s="23"/>
      <c r="AS31" s="233"/>
      <c r="AT31" s="1103"/>
      <c r="AU31" s="1103"/>
      <c r="AV31" s="23"/>
      <c r="AW31" s="23"/>
      <c r="AX31" s="23"/>
      <c r="AY31" s="23"/>
      <c r="AZ31" s="23"/>
      <c r="BA31" s="23"/>
      <c r="BB31" s="23"/>
      <c r="BC31" s="22"/>
      <c r="BF31" s="913" t="s">
        <v>496</v>
      </c>
    </row>
    <row r="32" spans="1:62" ht="16.7" hidden="1" customHeight="1">
      <c r="E32" s="623">
        <v>17.100000000000001</v>
      </c>
      <c r="F32" s="714">
        <f t="shared" ca="1" si="4"/>
        <v>0</v>
      </c>
      <c r="T32" s="634" t="b">
        <f t="shared" si="5"/>
        <v>0</v>
      </c>
      <c r="X32" s="1405"/>
      <c r="Z32" s="1405"/>
      <c r="AB32" s="110" t="str">
        <f>AB30&amp;".2"</f>
        <v>1.1.2</v>
      </c>
      <c r="AC32" s="417" t="s">
        <v>497</v>
      </c>
      <c r="AD32" s="324" t="s">
        <v>491</v>
      </c>
      <c r="AE32" s="23"/>
      <c r="AF32" s="23"/>
      <c r="AG32" s="23"/>
      <c r="AH32" s="23"/>
      <c r="AI32" s="233"/>
      <c r="AJ32" s="1103"/>
      <c r="AK32" s="1103"/>
      <c r="AL32" s="23"/>
      <c r="AM32" s="23"/>
      <c r="AN32" s="23"/>
      <c r="AO32" s="23"/>
      <c r="AP32" s="23"/>
      <c r="AQ32" s="23"/>
      <c r="AR32" s="23"/>
      <c r="AS32" s="233"/>
      <c r="AT32" s="1103"/>
      <c r="AU32" s="1103"/>
      <c r="AV32" s="23"/>
      <c r="AW32" s="23"/>
      <c r="AX32" s="23"/>
      <c r="AY32" s="23"/>
      <c r="AZ32" s="23"/>
      <c r="BA32" s="23"/>
      <c r="BB32" s="23"/>
      <c r="BC32" s="22"/>
      <c r="BF32" s="913" t="s">
        <v>498</v>
      </c>
    </row>
    <row r="33" spans="5:62" ht="16.7" hidden="1" customHeight="1">
      <c r="E33" s="623">
        <v>17.100000000000001</v>
      </c>
      <c r="F33" s="714">
        <f t="shared" ca="1" si="4"/>
        <v>0</v>
      </c>
      <c r="T33" s="634" t="b">
        <f t="shared" si="5"/>
        <v>0</v>
      </c>
      <c r="X33" s="1405"/>
      <c r="Z33" s="1405"/>
      <c r="AB33" s="110" t="str">
        <f>AB30&amp;".3"</f>
        <v>1.1.3</v>
      </c>
      <c r="AC33" s="417" t="s">
        <v>499</v>
      </c>
      <c r="AD33" s="324" t="s">
        <v>491</v>
      </c>
      <c r="AE33" s="23"/>
      <c r="AF33" s="23"/>
      <c r="AG33" s="23"/>
      <c r="AH33" s="23"/>
      <c r="AI33" s="233"/>
      <c r="AJ33" s="1103"/>
      <c r="AK33" s="1103"/>
      <c r="AL33" s="23"/>
      <c r="AM33" s="23"/>
      <c r="AN33" s="23"/>
      <c r="AO33" s="23"/>
      <c r="AP33" s="23"/>
      <c r="AQ33" s="23"/>
      <c r="AR33" s="23"/>
      <c r="AS33" s="233"/>
      <c r="AT33" s="1103"/>
      <c r="AU33" s="1103"/>
      <c r="AV33" s="23"/>
      <c r="AW33" s="23"/>
      <c r="AX33" s="23"/>
      <c r="AY33" s="23"/>
      <c r="AZ33" s="23"/>
      <c r="BA33" s="23"/>
      <c r="BB33" s="23"/>
      <c r="BC33" s="22"/>
      <c r="BF33" s="913" t="s">
        <v>500</v>
      </c>
    </row>
    <row r="34" spans="5:62" ht="16.7" hidden="1" customHeight="1">
      <c r="E34" s="623">
        <v>17.100000000000001</v>
      </c>
      <c r="F34" s="714">
        <f t="shared" ca="1" si="4"/>
        <v>0</v>
      </c>
      <c r="T34" s="634" t="b">
        <f t="shared" si="5"/>
        <v>0</v>
      </c>
      <c r="X34" s="1405"/>
      <c r="Z34" s="1405"/>
      <c r="AB34" s="110" t="str">
        <f>AB30&amp;".4"</f>
        <v>1.1.4</v>
      </c>
      <c r="AC34" s="417" t="s">
        <v>501</v>
      </c>
      <c r="AD34" s="324" t="s">
        <v>491</v>
      </c>
      <c r="AE34" s="23"/>
      <c r="AF34" s="23"/>
      <c r="AG34" s="23"/>
      <c r="AH34" s="23"/>
      <c r="AI34" s="233"/>
      <c r="AJ34" s="1103"/>
      <c r="AK34" s="1103"/>
      <c r="AL34" s="23"/>
      <c r="AM34" s="23"/>
      <c r="AN34" s="23"/>
      <c r="AO34" s="23"/>
      <c r="AP34" s="23"/>
      <c r="AQ34" s="23"/>
      <c r="AR34" s="23"/>
      <c r="AS34" s="233"/>
      <c r="AT34" s="1103"/>
      <c r="AU34" s="1103"/>
      <c r="AV34" s="23"/>
      <c r="AW34" s="23"/>
      <c r="AX34" s="23"/>
      <c r="AY34" s="23"/>
      <c r="AZ34" s="23"/>
      <c r="BA34" s="23"/>
      <c r="BB34" s="23"/>
      <c r="BC34" s="22"/>
      <c r="BF34" s="913" t="s">
        <v>502</v>
      </c>
    </row>
    <row r="35" spans="5:62" ht="16.7" hidden="1" customHeight="1">
      <c r="E35" s="623">
        <v>17.100000000000001</v>
      </c>
      <c r="F35" s="714">
        <f t="shared" ca="1" si="4"/>
        <v>0</v>
      </c>
      <c r="T35" s="634" t="b">
        <f t="shared" si="5"/>
        <v>0</v>
      </c>
      <c r="X35" s="1405"/>
      <c r="Z35" s="1405"/>
      <c r="AB35" s="387" t="s">
        <v>503</v>
      </c>
      <c r="AC35" s="808" t="s">
        <v>504</v>
      </c>
      <c r="AD35" s="324" t="s">
        <v>491</v>
      </c>
      <c r="AE35" s="288">
        <f t="shared" ref="AE35:BB35" si="8">SUM(AE36:AE39)</f>
        <v>0</v>
      </c>
      <c r="AF35" s="288">
        <f t="shared" si="8"/>
        <v>0</v>
      </c>
      <c r="AG35" s="288">
        <f t="shared" si="8"/>
        <v>0</v>
      </c>
      <c r="AH35" s="288">
        <f t="shared" si="8"/>
        <v>0</v>
      </c>
      <c r="AI35" s="288">
        <f t="shared" si="8"/>
        <v>0</v>
      </c>
      <c r="AJ35" s="288">
        <f t="shared" si="8"/>
        <v>0</v>
      </c>
      <c r="AK35" s="288">
        <f t="shared" si="8"/>
        <v>0</v>
      </c>
      <c r="AL35" s="288">
        <f t="shared" si="8"/>
        <v>0</v>
      </c>
      <c r="AM35" s="288">
        <f t="shared" si="8"/>
        <v>0</v>
      </c>
      <c r="AN35" s="288">
        <f t="shared" si="8"/>
        <v>0</v>
      </c>
      <c r="AO35" s="288">
        <f t="shared" si="8"/>
        <v>0</v>
      </c>
      <c r="AP35" s="288">
        <f t="shared" si="8"/>
        <v>0</v>
      </c>
      <c r="AQ35" s="288">
        <f t="shared" si="8"/>
        <v>0</v>
      </c>
      <c r="AR35" s="288">
        <f t="shared" si="8"/>
        <v>0</v>
      </c>
      <c r="AS35" s="288">
        <f t="shared" si="8"/>
        <v>0</v>
      </c>
      <c r="AT35" s="288">
        <f t="shared" si="8"/>
        <v>0</v>
      </c>
      <c r="AU35" s="288">
        <f t="shared" si="8"/>
        <v>0</v>
      </c>
      <c r="AV35" s="288">
        <f t="shared" si="8"/>
        <v>0</v>
      </c>
      <c r="AW35" s="288">
        <f t="shared" si="8"/>
        <v>0</v>
      </c>
      <c r="AX35" s="288">
        <f t="shared" si="8"/>
        <v>0</v>
      </c>
      <c r="AY35" s="288">
        <f t="shared" si="8"/>
        <v>0</v>
      </c>
      <c r="AZ35" s="288">
        <f t="shared" si="8"/>
        <v>0</v>
      </c>
      <c r="BA35" s="288">
        <f t="shared" si="8"/>
        <v>0</v>
      </c>
      <c r="BB35" s="288">
        <f t="shared" si="8"/>
        <v>0</v>
      </c>
      <c r="BC35" s="22"/>
      <c r="BF35" s="913" t="s">
        <v>505</v>
      </c>
    </row>
    <row r="36" spans="5:62" ht="16.7" hidden="1" customHeight="1">
      <c r="E36" s="623">
        <v>17.100000000000001</v>
      </c>
      <c r="F36" s="714">
        <f t="shared" ca="1" si="4"/>
        <v>0</v>
      </c>
      <c r="T36" s="634" t="b">
        <f t="shared" si="5"/>
        <v>0</v>
      </c>
      <c r="X36" s="1405"/>
      <c r="Z36" s="1405"/>
      <c r="AB36" s="110" t="str">
        <f>AB35&amp;".1"</f>
        <v>1.2.1</v>
      </c>
      <c r="AC36" s="417" t="s">
        <v>495</v>
      </c>
      <c r="AD36" s="324" t="s">
        <v>491</v>
      </c>
      <c r="AE36" s="23"/>
      <c r="AF36" s="23"/>
      <c r="AG36" s="23"/>
      <c r="AH36" s="23"/>
      <c r="AI36" s="233"/>
      <c r="AJ36" s="1103"/>
      <c r="AK36" s="1103"/>
      <c r="AL36" s="23"/>
      <c r="AM36" s="23"/>
      <c r="AN36" s="23"/>
      <c r="AO36" s="23"/>
      <c r="AP36" s="23"/>
      <c r="AQ36" s="23"/>
      <c r="AR36" s="23"/>
      <c r="AS36" s="233"/>
      <c r="AT36" s="1103"/>
      <c r="AU36" s="1103"/>
      <c r="AV36" s="23"/>
      <c r="AW36" s="23"/>
      <c r="AX36" s="23"/>
      <c r="AY36" s="23"/>
      <c r="AZ36" s="23"/>
      <c r="BA36" s="23"/>
      <c r="BB36" s="23"/>
      <c r="BC36" s="22"/>
      <c r="BF36" s="913" t="s">
        <v>506</v>
      </c>
    </row>
    <row r="37" spans="5:62" ht="16.7" hidden="1" customHeight="1">
      <c r="E37" s="623">
        <v>17.100000000000001</v>
      </c>
      <c r="F37" s="714">
        <f t="shared" ca="1" si="4"/>
        <v>0</v>
      </c>
      <c r="T37" s="634" t="b">
        <f t="shared" si="5"/>
        <v>0</v>
      </c>
      <c r="X37" s="1405"/>
      <c r="Z37" s="1405"/>
      <c r="AB37" s="110" t="str">
        <f>AB35&amp;".2"</f>
        <v>1.2.2</v>
      </c>
      <c r="AC37" s="417" t="s">
        <v>497</v>
      </c>
      <c r="AD37" s="324" t="s">
        <v>491</v>
      </c>
      <c r="AE37" s="23"/>
      <c r="AF37" s="23"/>
      <c r="AG37" s="23"/>
      <c r="AH37" s="23"/>
      <c r="AI37" s="233"/>
      <c r="AJ37" s="1103"/>
      <c r="AK37" s="1103"/>
      <c r="AL37" s="23"/>
      <c r="AM37" s="23"/>
      <c r="AN37" s="23"/>
      <c r="AO37" s="23"/>
      <c r="AP37" s="23"/>
      <c r="AQ37" s="23"/>
      <c r="AR37" s="23"/>
      <c r="AS37" s="233"/>
      <c r="AT37" s="1103"/>
      <c r="AU37" s="1103"/>
      <c r="AV37" s="23"/>
      <c r="AW37" s="23"/>
      <c r="AX37" s="23"/>
      <c r="AY37" s="23"/>
      <c r="AZ37" s="23"/>
      <c r="BA37" s="23"/>
      <c r="BB37" s="23"/>
      <c r="BC37" s="22"/>
      <c r="BF37" s="913" t="s">
        <v>507</v>
      </c>
    </row>
    <row r="38" spans="5:62" ht="16.7" hidden="1" customHeight="1">
      <c r="E38" s="623">
        <v>17.100000000000001</v>
      </c>
      <c r="F38" s="714">
        <f t="shared" ca="1" si="4"/>
        <v>0</v>
      </c>
      <c r="T38" s="634" t="b">
        <f t="shared" si="5"/>
        <v>0</v>
      </c>
      <c r="X38" s="1405"/>
      <c r="Z38" s="1405"/>
      <c r="AB38" s="110" t="str">
        <f>AB35&amp;".3"</f>
        <v>1.2.3</v>
      </c>
      <c r="AC38" s="417" t="s">
        <v>499</v>
      </c>
      <c r="AD38" s="324" t="s">
        <v>491</v>
      </c>
      <c r="AE38" s="23"/>
      <c r="AF38" s="23"/>
      <c r="AG38" s="23"/>
      <c r="AH38" s="23"/>
      <c r="AI38" s="233"/>
      <c r="AJ38" s="1103"/>
      <c r="AK38" s="1103"/>
      <c r="AL38" s="23"/>
      <c r="AM38" s="23"/>
      <c r="AN38" s="23"/>
      <c r="AO38" s="23"/>
      <c r="AP38" s="23"/>
      <c r="AQ38" s="23"/>
      <c r="AR38" s="23"/>
      <c r="AS38" s="233"/>
      <c r="AT38" s="1103"/>
      <c r="AU38" s="1103"/>
      <c r="AV38" s="23"/>
      <c r="AW38" s="23"/>
      <c r="AX38" s="23"/>
      <c r="AY38" s="23"/>
      <c r="AZ38" s="23"/>
      <c r="BA38" s="23"/>
      <c r="BB38" s="23"/>
      <c r="BC38" s="22"/>
      <c r="BF38" s="913" t="s">
        <v>508</v>
      </c>
    </row>
    <row r="39" spans="5:62" ht="16.7" hidden="1" customHeight="1">
      <c r="E39" s="623">
        <v>17.100000000000001</v>
      </c>
      <c r="F39" s="714">
        <f t="shared" ca="1" si="4"/>
        <v>0</v>
      </c>
      <c r="T39" s="634" t="b">
        <f t="shared" si="5"/>
        <v>0</v>
      </c>
      <c r="X39" s="1405"/>
      <c r="Z39" s="1405"/>
      <c r="AB39" s="110" t="str">
        <f>AB35&amp;".4"</f>
        <v>1.2.4</v>
      </c>
      <c r="AC39" s="417" t="s">
        <v>501</v>
      </c>
      <c r="AD39" s="324" t="s">
        <v>491</v>
      </c>
      <c r="AE39" s="23"/>
      <c r="AF39" s="23"/>
      <c r="AG39" s="23"/>
      <c r="AH39" s="23"/>
      <c r="AI39" s="233"/>
      <c r="AJ39" s="1103"/>
      <c r="AK39" s="1103"/>
      <c r="AL39" s="23"/>
      <c r="AM39" s="23"/>
      <c r="AN39" s="23"/>
      <c r="AO39" s="23"/>
      <c r="AP39" s="23"/>
      <c r="AQ39" s="23"/>
      <c r="AR39" s="23"/>
      <c r="AS39" s="233"/>
      <c r="AT39" s="1103"/>
      <c r="AU39" s="1103"/>
      <c r="AV39" s="23"/>
      <c r="AW39" s="23"/>
      <c r="AX39" s="23"/>
      <c r="AY39" s="23"/>
      <c r="AZ39" s="23"/>
      <c r="BA39" s="23"/>
      <c r="BB39" s="23"/>
      <c r="BC39" s="22"/>
      <c r="BF39" s="913" t="s">
        <v>509</v>
      </c>
    </row>
    <row r="40" spans="5:62" ht="16.7" hidden="1" customHeight="1">
      <c r="E40" s="623">
        <v>17.100000000000001</v>
      </c>
      <c r="F40" s="714">
        <f t="shared" ca="1" si="4"/>
        <v>0</v>
      </c>
      <c r="G40" s="150" t="s">
        <v>510</v>
      </c>
      <c r="T40" s="634" t="b">
        <f t="shared" si="5"/>
        <v>0</v>
      </c>
      <c r="X40" s="1405"/>
      <c r="Z40" s="1405"/>
      <c r="AB40" s="387" t="s">
        <v>343</v>
      </c>
      <c r="AC40" s="809" t="s">
        <v>511</v>
      </c>
      <c r="AD40" s="324" t="s">
        <v>491</v>
      </c>
      <c r="AE40" s="288">
        <f t="shared" ref="AE40:BB40" si="9">AE41+AE45</f>
        <v>0</v>
      </c>
      <c r="AF40" s="288">
        <f t="shared" si="9"/>
        <v>0</v>
      </c>
      <c r="AG40" s="288">
        <f t="shared" si="9"/>
        <v>0</v>
      </c>
      <c r="AH40" s="288">
        <f t="shared" si="9"/>
        <v>0</v>
      </c>
      <c r="AI40" s="288">
        <f t="shared" si="9"/>
        <v>0</v>
      </c>
      <c r="AJ40" s="288">
        <f t="shared" si="9"/>
        <v>0</v>
      </c>
      <c r="AK40" s="288">
        <f t="shared" si="9"/>
        <v>0</v>
      </c>
      <c r="AL40" s="288">
        <f t="shared" si="9"/>
        <v>0</v>
      </c>
      <c r="AM40" s="288">
        <f t="shared" si="9"/>
        <v>0</v>
      </c>
      <c r="AN40" s="288">
        <f t="shared" si="9"/>
        <v>0</v>
      </c>
      <c r="AO40" s="288">
        <f t="shared" si="9"/>
        <v>0</v>
      </c>
      <c r="AP40" s="288">
        <f t="shared" si="9"/>
        <v>0</v>
      </c>
      <c r="AQ40" s="288">
        <f t="shared" si="9"/>
        <v>0</v>
      </c>
      <c r="AR40" s="288">
        <f t="shared" si="9"/>
        <v>0</v>
      </c>
      <c r="AS40" s="288">
        <f t="shared" si="9"/>
        <v>0</v>
      </c>
      <c r="AT40" s="288">
        <f t="shared" si="9"/>
        <v>0</v>
      </c>
      <c r="AU40" s="288">
        <f t="shared" si="9"/>
        <v>0</v>
      </c>
      <c r="AV40" s="288">
        <f t="shared" si="9"/>
        <v>0</v>
      </c>
      <c r="AW40" s="288">
        <f t="shared" si="9"/>
        <v>0</v>
      </c>
      <c r="AX40" s="288">
        <f t="shared" si="9"/>
        <v>0</v>
      </c>
      <c r="AY40" s="288">
        <f t="shared" si="9"/>
        <v>0</v>
      </c>
      <c r="AZ40" s="288">
        <f t="shared" si="9"/>
        <v>0</v>
      </c>
      <c r="BA40" s="288">
        <f t="shared" si="9"/>
        <v>0</v>
      </c>
      <c r="BB40" s="288">
        <f t="shared" si="9"/>
        <v>0</v>
      </c>
      <c r="BC40" s="22"/>
      <c r="BF40" s="913" t="s">
        <v>512</v>
      </c>
    </row>
    <row r="41" spans="5:62" ht="16.7" hidden="1" customHeight="1">
      <c r="E41" s="623">
        <v>17.100000000000001</v>
      </c>
      <c r="F41" s="714">
        <f t="shared" ca="1" si="4"/>
        <v>0</v>
      </c>
      <c r="T41" s="634" t="b">
        <f t="shared" si="5"/>
        <v>0</v>
      </c>
      <c r="X41" s="1405"/>
      <c r="Z41" s="1405"/>
      <c r="AB41" s="387" t="s">
        <v>346</v>
      </c>
      <c r="AC41" s="808" t="s">
        <v>493</v>
      </c>
      <c r="AD41" s="324" t="s">
        <v>491</v>
      </c>
      <c r="AE41" s="288">
        <f t="shared" ref="AE41:BB41" si="10">SUM(AE42:AE44)</f>
        <v>0</v>
      </c>
      <c r="AF41" s="288">
        <f t="shared" si="10"/>
        <v>0</v>
      </c>
      <c r="AG41" s="288">
        <f t="shared" si="10"/>
        <v>0</v>
      </c>
      <c r="AH41" s="288">
        <f t="shared" si="10"/>
        <v>0</v>
      </c>
      <c r="AI41" s="288">
        <f t="shared" si="10"/>
        <v>0</v>
      </c>
      <c r="AJ41" s="288">
        <f t="shared" si="10"/>
        <v>0</v>
      </c>
      <c r="AK41" s="288">
        <f t="shared" si="10"/>
        <v>0</v>
      </c>
      <c r="AL41" s="288">
        <f t="shared" si="10"/>
        <v>0</v>
      </c>
      <c r="AM41" s="288">
        <f t="shared" si="10"/>
        <v>0</v>
      </c>
      <c r="AN41" s="288">
        <f t="shared" si="10"/>
        <v>0</v>
      </c>
      <c r="AO41" s="288">
        <f t="shared" si="10"/>
        <v>0</v>
      </c>
      <c r="AP41" s="288">
        <f t="shared" si="10"/>
        <v>0</v>
      </c>
      <c r="AQ41" s="288">
        <f t="shared" si="10"/>
        <v>0</v>
      </c>
      <c r="AR41" s="288">
        <f t="shared" si="10"/>
        <v>0</v>
      </c>
      <c r="AS41" s="288">
        <f t="shared" si="10"/>
        <v>0</v>
      </c>
      <c r="AT41" s="288">
        <f t="shared" si="10"/>
        <v>0</v>
      </c>
      <c r="AU41" s="288">
        <f t="shared" si="10"/>
        <v>0</v>
      </c>
      <c r="AV41" s="288">
        <f t="shared" si="10"/>
        <v>0</v>
      </c>
      <c r="AW41" s="288">
        <f t="shared" si="10"/>
        <v>0</v>
      </c>
      <c r="AX41" s="288">
        <f t="shared" si="10"/>
        <v>0</v>
      </c>
      <c r="AY41" s="288">
        <f t="shared" si="10"/>
        <v>0</v>
      </c>
      <c r="AZ41" s="288">
        <f t="shared" si="10"/>
        <v>0</v>
      </c>
      <c r="BA41" s="288">
        <f t="shared" si="10"/>
        <v>0</v>
      </c>
      <c r="BB41" s="288">
        <f t="shared" si="10"/>
        <v>0</v>
      </c>
      <c r="BC41" s="22"/>
      <c r="BF41" s="913" t="s">
        <v>513</v>
      </c>
    </row>
    <row r="42" spans="5:62" ht="17.25" hidden="1" customHeight="1">
      <c r="E42" s="623">
        <v>0</v>
      </c>
      <c r="F42" s="714">
        <f t="shared" ca="1" si="4"/>
        <v>0</v>
      </c>
      <c r="T42" s="634" t="b">
        <v>0</v>
      </c>
      <c r="X42" s="1405"/>
      <c r="Z42" s="1405"/>
      <c r="AB42" s="393" t="s">
        <v>514</v>
      </c>
      <c r="AC42" s="810"/>
      <c r="AD42" s="323"/>
      <c r="AE42" s="838"/>
      <c r="AF42" s="838"/>
      <c r="AG42" s="838"/>
      <c r="AH42" s="838"/>
      <c r="AI42" s="838"/>
      <c r="AJ42" s="838"/>
      <c r="AK42" s="838"/>
      <c r="AL42" s="838"/>
      <c r="AM42" s="838"/>
      <c r="AN42" s="838"/>
      <c r="AO42" s="838"/>
      <c r="AP42" s="838"/>
      <c r="AQ42" s="838"/>
      <c r="AR42" s="838"/>
      <c r="AS42" s="838"/>
      <c r="AT42" s="838"/>
      <c r="AU42" s="838"/>
      <c r="AV42" s="838"/>
      <c r="AW42" s="838"/>
      <c r="AX42" s="838"/>
      <c r="AY42" s="838"/>
      <c r="AZ42" s="838"/>
      <c r="BA42" s="838"/>
      <c r="BB42" s="838"/>
      <c r="BC42" s="18"/>
    </row>
    <row r="43" spans="5:62" ht="16.7" hidden="1" customHeight="1">
      <c r="E43" s="623">
        <v>17.100000000000001</v>
      </c>
      <c r="F43" s="714">
        <f t="shared" ca="1" si="4"/>
        <v>0</v>
      </c>
      <c r="T43" s="634" t="b">
        <f ca="1">AND(F43&gt;0,Y43&gt;0)</f>
        <v>0</v>
      </c>
      <c r="W43" s="113" t="s">
        <v>170</v>
      </c>
      <c r="X43" s="1405"/>
      <c r="Y43" s="113">
        <v>0</v>
      </c>
      <c r="Z43" s="1405"/>
      <c r="AA43" s="709" t="s">
        <v>157</v>
      </c>
      <c r="AB43" s="110" t="str">
        <f>"2.1."&amp;Y43</f>
        <v>2.1.0</v>
      </c>
      <c r="AC43" s="24"/>
      <c r="AD43" s="108" t="s">
        <v>491</v>
      </c>
      <c r="AE43" s="25"/>
      <c r="AF43" s="25"/>
      <c r="AG43" s="25"/>
      <c r="AH43" s="25"/>
      <c r="AI43" s="386"/>
      <c r="AJ43" s="1104"/>
      <c r="AK43" s="1104"/>
      <c r="AL43" s="25"/>
      <c r="AM43" s="25"/>
      <c r="AN43" s="25"/>
      <c r="AO43" s="25"/>
      <c r="AP43" s="25"/>
      <c r="AQ43" s="25"/>
      <c r="AR43" s="25"/>
      <c r="AS43" s="386"/>
      <c r="AT43" s="1104"/>
      <c r="AU43" s="1104"/>
      <c r="AV43" s="25"/>
      <c r="AW43" s="25"/>
      <c r="AX43" s="25"/>
      <c r="AY43" s="25"/>
      <c r="AZ43" s="25"/>
      <c r="BA43" s="25"/>
      <c r="BB43" s="25"/>
      <c r="BC43" s="22"/>
      <c r="BF43" s="913" t="s">
        <v>513</v>
      </c>
      <c r="BG43" s="913" t="s">
        <v>515</v>
      </c>
      <c r="BH43" s="963">
        <f>AC43</f>
        <v>0</v>
      </c>
      <c r="BJ43" s="960" t="b">
        <v>1</v>
      </c>
    </row>
    <row r="44" spans="5:62" ht="16.7" hidden="1" customHeight="1">
      <c r="E44" s="623">
        <v>17.100000000000001</v>
      </c>
      <c r="F44" s="714">
        <f t="shared" ca="1" si="4"/>
        <v>0</v>
      </c>
      <c r="T44" s="634" t="b">
        <f ca="1">F44&gt;0</f>
        <v>0</v>
      </c>
      <c r="W44" s="109" t="s">
        <v>399</v>
      </c>
      <c r="X44" s="1405"/>
      <c r="Z44" s="1405"/>
      <c r="AB44" s="839"/>
      <c r="AC44" s="840" t="s">
        <v>172</v>
      </c>
      <c r="AD44" s="839"/>
      <c r="AE44" s="841"/>
      <c r="AF44" s="841"/>
      <c r="AG44" s="841"/>
      <c r="AH44" s="841"/>
      <c r="AI44" s="841"/>
      <c r="AJ44" s="841"/>
      <c r="AK44" s="841"/>
      <c r="AL44" s="841"/>
      <c r="AM44" s="841"/>
      <c r="AN44" s="841"/>
      <c r="AO44" s="841"/>
      <c r="AP44" s="841"/>
      <c r="AQ44" s="841"/>
      <c r="AR44" s="841"/>
      <c r="AS44" s="841"/>
      <c r="AT44" s="841"/>
      <c r="AU44" s="841"/>
      <c r="AV44" s="841"/>
      <c r="AW44" s="841"/>
      <c r="AX44" s="841"/>
      <c r="AY44" s="841"/>
      <c r="AZ44" s="841"/>
      <c r="BA44" s="841"/>
      <c r="BB44" s="841"/>
      <c r="BC44" s="26"/>
      <c r="BI44" s="960" t="s">
        <v>515</v>
      </c>
    </row>
    <row r="45" spans="5:62" ht="16.7" hidden="1" customHeight="1">
      <c r="E45" s="623">
        <v>17.100000000000001</v>
      </c>
      <c r="F45" s="714">
        <f t="shared" ca="1" si="4"/>
        <v>0</v>
      </c>
      <c r="T45" s="634" t="b">
        <f ca="1">T44</f>
        <v>0</v>
      </c>
      <c r="X45" s="1405"/>
      <c r="Z45" s="1405"/>
      <c r="AB45" s="387" t="s">
        <v>373</v>
      </c>
      <c r="AC45" s="808" t="s">
        <v>504</v>
      </c>
      <c r="AD45" s="324" t="s">
        <v>491</v>
      </c>
      <c r="AE45" s="288">
        <f t="shared" ref="AE45:BB45" si="11">SUM(AE46:AE48)</f>
        <v>0</v>
      </c>
      <c r="AF45" s="288">
        <f t="shared" si="11"/>
        <v>0</v>
      </c>
      <c r="AG45" s="288">
        <f t="shared" si="11"/>
        <v>0</v>
      </c>
      <c r="AH45" s="288">
        <f t="shared" si="11"/>
        <v>0</v>
      </c>
      <c r="AI45" s="288">
        <f t="shared" si="11"/>
        <v>0</v>
      </c>
      <c r="AJ45" s="288">
        <f t="shared" si="11"/>
        <v>0</v>
      </c>
      <c r="AK45" s="288">
        <f t="shared" si="11"/>
        <v>0</v>
      </c>
      <c r="AL45" s="288">
        <f t="shared" si="11"/>
        <v>0</v>
      </c>
      <c r="AM45" s="288">
        <f t="shared" si="11"/>
        <v>0</v>
      </c>
      <c r="AN45" s="288">
        <f t="shared" si="11"/>
        <v>0</v>
      </c>
      <c r="AO45" s="288">
        <f t="shared" si="11"/>
        <v>0</v>
      </c>
      <c r="AP45" s="288">
        <f t="shared" si="11"/>
        <v>0</v>
      </c>
      <c r="AQ45" s="288">
        <f t="shared" si="11"/>
        <v>0</v>
      </c>
      <c r="AR45" s="288">
        <f t="shared" si="11"/>
        <v>0</v>
      </c>
      <c r="AS45" s="288">
        <f t="shared" si="11"/>
        <v>0</v>
      </c>
      <c r="AT45" s="288">
        <f t="shared" si="11"/>
        <v>0</v>
      </c>
      <c r="AU45" s="288">
        <f t="shared" si="11"/>
        <v>0</v>
      </c>
      <c r="AV45" s="288">
        <f t="shared" si="11"/>
        <v>0</v>
      </c>
      <c r="AW45" s="288">
        <f t="shared" si="11"/>
        <v>0</v>
      </c>
      <c r="AX45" s="288">
        <f t="shared" si="11"/>
        <v>0</v>
      </c>
      <c r="AY45" s="288">
        <f t="shared" si="11"/>
        <v>0</v>
      </c>
      <c r="AZ45" s="288">
        <f t="shared" si="11"/>
        <v>0</v>
      </c>
      <c r="BA45" s="288">
        <f t="shared" si="11"/>
        <v>0</v>
      </c>
      <c r="BB45" s="288">
        <f t="shared" si="11"/>
        <v>0</v>
      </c>
      <c r="BC45" s="22"/>
      <c r="BF45" s="913" t="s">
        <v>516</v>
      </c>
    </row>
    <row r="46" spans="5:62" ht="17.25" hidden="1" customHeight="1">
      <c r="E46" s="623">
        <v>0</v>
      </c>
      <c r="F46" s="714">
        <f t="shared" ca="1" si="4"/>
        <v>0</v>
      </c>
      <c r="T46" s="634" t="b">
        <v>0</v>
      </c>
      <c r="X46" s="1405"/>
      <c r="Z46" s="1405"/>
      <c r="AB46" s="387" t="s">
        <v>517</v>
      </c>
      <c r="AC46" s="810"/>
      <c r="AD46" s="324"/>
      <c r="AE46" s="811"/>
      <c r="AF46" s="811"/>
      <c r="AG46" s="811"/>
      <c r="AH46" s="811"/>
      <c r="AI46" s="811"/>
      <c r="AJ46" s="811"/>
      <c r="AK46" s="811"/>
      <c r="AL46" s="811"/>
      <c r="AM46" s="811"/>
      <c r="AN46" s="811"/>
      <c r="AO46" s="811"/>
      <c r="AP46" s="811"/>
      <c r="AQ46" s="811"/>
      <c r="AR46" s="811"/>
      <c r="AS46" s="811"/>
      <c r="AT46" s="811"/>
      <c r="AU46" s="811"/>
      <c r="AV46" s="811"/>
      <c r="AW46" s="811"/>
      <c r="AX46" s="811"/>
      <c r="AY46" s="811"/>
      <c r="AZ46" s="811"/>
      <c r="BA46" s="811"/>
      <c r="BB46" s="811"/>
      <c r="BC46" s="22"/>
    </row>
    <row r="47" spans="5:62" ht="16.7" hidden="1" customHeight="1">
      <c r="E47" s="623">
        <v>17.100000000000001</v>
      </c>
      <c r="F47" s="714">
        <f t="shared" ca="1" si="4"/>
        <v>0</v>
      </c>
      <c r="T47" s="634" t="b">
        <f ca="1">AND(F47&gt;0,Y47&gt;0)</f>
        <v>0</v>
      </c>
      <c r="W47" s="113" t="s">
        <v>170</v>
      </c>
      <c r="X47" s="1405"/>
      <c r="Y47" s="113">
        <v>0</v>
      </c>
      <c r="Z47" s="1405"/>
      <c r="AA47" s="709" t="s">
        <v>157</v>
      </c>
      <c r="AB47" s="110" t="str">
        <f>"2.2."&amp;Y47</f>
        <v>2.2.0</v>
      </c>
      <c r="AC47" s="24"/>
      <c r="AD47" s="108" t="s">
        <v>491</v>
      </c>
      <c r="AE47" s="25"/>
      <c r="AF47" s="25"/>
      <c r="AG47" s="25"/>
      <c r="AH47" s="25"/>
      <c r="AI47" s="386"/>
      <c r="AJ47" s="1104"/>
      <c r="AK47" s="1104"/>
      <c r="AL47" s="25"/>
      <c r="AM47" s="25"/>
      <c r="AN47" s="25"/>
      <c r="AO47" s="25"/>
      <c r="AP47" s="25"/>
      <c r="AQ47" s="25"/>
      <c r="AR47" s="25"/>
      <c r="AS47" s="386"/>
      <c r="AT47" s="1104"/>
      <c r="AU47" s="1104"/>
      <c r="AV47" s="25"/>
      <c r="AW47" s="25"/>
      <c r="AX47" s="25"/>
      <c r="AY47" s="25"/>
      <c r="AZ47" s="25"/>
      <c r="BA47" s="25"/>
      <c r="BB47" s="25"/>
      <c r="BC47" s="22"/>
      <c r="BF47" s="913" t="s">
        <v>516</v>
      </c>
      <c r="BG47" s="913" t="s">
        <v>518</v>
      </c>
      <c r="BH47" s="963">
        <f>AC47</f>
        <v>0</v>
      </c>
    </row>
    <row r="48" spans="5:62" ht="16.7" hidden="1" customHeight="1">
      <c r="E48" s="623">
        <v>17.100000000000001</v>
      </c>
      <c r="F48" s="714">
        <f t="shared" ca="1" si="4"/>
        <v>0</v>
      </c>
      <c r="T48" s="634" t="b">
        <f ca="1">F48&gt;0</f>
        <v>0</v>
      </c>
      <c r="W48" s="109" t="s">
        <v>519</v>
      </c>
      <c r="X48" s="1405"/>
      <c r="Z48" s="1405"/>
      <c r="AB48" s="812"/>
      <c r="AC48" s="767" t="s">
        <v>172</v>
      </c>
      <c r="AD48" s="812"/>
      <c r="AE48" s="813"/>
      <c r="AF48" s="813"/>
      <c r="AG48" s="813"/>
      <c r="AH48" s="813"/>
      <c r="AI48" s="813"/>
      <c r="AJ48" s="813"/>
      <c r="AK48" s="813"/>
      <c r="AL48" s="813"/>
      <c r="AM48" s="813"/>
      <c r="AN48" s="813"/>
      <c r="AO48" s="813"/>
      <c r="AP48" s="813"/>
      <c r="AQ48" s="813"/>
      <c r="AR48" s="813"/>
      <c r="AS48" s="813"/>
      <c r="AT48" s="813"/>
      <c r="AU48" s="813"/>
      <c r="AV48" s="813"/>
      <c r="AW48" s="813"/>
      <c r="AX48" s="813"/>
      <c r="AY48" s="813"/>
      <c r="AZ48" s="813"/>
      <c r="BA48" s="813"/>
      <c r="BB48" s="813"/>
      <c r="BC48" s="22"/>
    </row>
    <row r="49" spans="1:62" ht="16.7" hidden="1" customHeight="1">
      <c r="E49" s="623">
        <v>17.100000000000001</v>
      </c>
      <c r="F49" s="714">
        <f t="shared" ca="1" si="4"/>
        <v>0</v>
      </c>
      <c r="T49" s="634" t="b">
        <f t="shared" ref="T49:T63" ca="1" si="12">T48</f>
        <v>0</v>
      </c>
      <c r="X49" s="1405"/>
      <c r="Z49" s="1405"/>
      <c r="AB49" s="387" t="s">
        <v>520</v>
      </c>
      <c r="AC49" s="770" t="s">
        <v>521</v>
      </c>
      <c r="AD49" s="324" t="s">
        <v>491</v>
      </c>
      <c r="AE49" s="288">
        <f t="shared" ref="AE49:BB49" si="13">AE50+AE51</f>
        <v>0</v>
      </c>
      <c r="AF49" s="288">
        <f t="shared" si="13"/>
        <v>0</v>
      </c>
      <c r="AG49" s="288">
        <f t="shared" si="13"/>
        <v>0</v>
      </c>
      <c r="AH49" s="288">
        <f t="shared" si="13"/>
        <v>0</v>
      </c>
      <c r="AI49" s="288">
        <f t="shared" si="13"/>
        <v>0</v>
      </c>
      <c r="AJ49" s="288">
        <f t="shared" si="13"/>
        <v>0</v>
      </c>
      <c r="AK49" s="288">
        <f t="shared" si="13"/>
        <v>0</v>
      </c>
      <c r="AL49" s="288">
        <f t="shared" si="13"/>
        <v>0</v>
      </c>
      <c r="AM49" s="288">
        <f t="shared" si="13"/>
        <v>0</v>
      </c>
      <c r="AN49" s="288">
        <f t="shared" si="13"/>
        <v>0</v>
      </c>
      <c r="AO49" s="288">
        <f t="shared" si="13"/>
        <v>0</v>
      </c>
      <c r="AP49" s="288">
        <f t="shared" si="13"/>
        <v>0</v>
      </c>
      <c r="AQ49" s="288">
        <f t="shared" si="13"/>
        <v>0</v>
      </c>
      <c r="AR49" s="288">
        <f t="shared" si="13"/>
        <v>0</v>
      </c>
      <c r="AS49" s="288">
        <f t="shared" si="13"/>
        <v>0</v>
      </c>
      <c r="AT49" s="288">
        <f t="shared" si="13"/>
        <v>0</v>
      </c>
      <c r="AU49" s="288">
        <f t="shared" si="13"/>
        <v>0</v>
      </c>
      <c r="AV49" s="288">
        <f t="shared" si="13"/>
        <v>0</v>
      </c>
      <c r="AW49" s="288">
        <f t="shared" si="13"/>
        <v>0</v>
      </c>
      <c r="AX49" s="288">
        <f t="shared" si="13"/>
        <v>0</v>
      </c>
      <c r="AY49" s="288">
        <f t="shared" si="13"/>
        <v>0</v>
      </c>
      <c r="AZ49" s="288">
        <f t="shared" si="13"/>
        <v>0</v>
      </c>
      <c r="BA49" s="288">
        <f t="shared" si="13"/>
        <v>0</v>
      </c>
      <c r="BB49" s="288">
        <f t="shared" si="13"/>
        <v>0</v>
      </c>
      <c r="BC49" s="22"/>
      <c r="BF49" s="913" t="s">
        <v>522</v>
      </c>
    </row>
    <row r="50" spans="1:62" ht="16.7" hidden="1" customHeight="1">
      <c r="E50" s="623">
        <v>17.100000000000001</v>
      </c>
      <c r="F50" s="714">
        <f t="shared" ca="1" si="4"/>
        <v>0</v>
      </c>
      <c r="T50" s="634" t="b">
        <f t="shared" ca="1" si="12"/>
        <v>0</v>
      </c>
      <c r="X50" s="1405"/>
      <c r="Z50" s="1405"/>
      <c r="AB50" s="387" t="s">
        <v>523</v>
      </c>
      <c r="AC50" s="808" t="s">
        <v>493</v>
      </c>
      <c r="AD50" s="324" t="s">
        <v>491</v>
      </c>
      <c r="AE50" s="23"/>
      <c r="AF50" s="23"/>
      <c r="AG50" s="23"/>
      <c r="AH50" s="23"/>
      <c r="AI50" s="233"/>
      <c r="AJ50" s="1103"/>
      <c r="AK50" s="1103"/>
      <c r="AL50" s="23"/>
      <c r="AM50" s="23"/>
      <c r="AN50" s="23"/>
      <c r="AO50" s="23"/>
      <c r="AP50" s="23"/>
      <c r="AQ50" s="23"/>
      <c r="AR50" s="23"/>
      <c r="AS50" s="233"/>
      <c r="AT50" s="1103"/>
      <c r="AU50" s="1103"/>
      <c r="AV50" s="23"/>
      <c r="AW50" s="23"/>
      <c r="AX50" s="23"/>
      <c r="AY50" s="23"/>
      <c r="AZ50" s="23"/>
      <c r="BA50" s="23"/>
      <c r="BB50" s="23"/>
      <c r="BC50" s="22"/>
      <c r="BF50" s="913" t="s">
        <v>524</v>
      </c>
    </row>
    <row r="51" spans="1:62" ht="16.7" hidden="1" customHeight="1">
      <c r="E51" s="623">
        <v>17.100000000000001</v>
      </c>
      <c r="F51" s="714">
        <f t="shared" ca="1" si="4"/>
        <v>0</v>
      </c>
      <c r="T51" s="634" t="b">
        <f t="shared" ca="1" si="12"/>
        <v>0</v>
      </c>
      <c r="X51" s="1405"/>
      <c r="Z51" s="1405"/>
      <c r="AB51" s="387" t="s">
        <v>525</v>
      </c>
      <c r="AC51" s="808" t="s">
        <v>504</v>
      </c>
      <c r="AD51" s="324" t="s">
        <v>491</v>
      </c>
      <c r="AE51" s="27"/>
      <c r="AF51" s="27"/>
      <c r="AG51" s="27"/>
      <c r="AH51" s="27"/>
      <c r="AI51" s="671"/>
      <c r="AJ51" s="1105"/>
      <c r="AK51" s="1105"/>
      <c r="AL51" s="27"/>
      <c r="AM51" s="27"/>
      <c r="AN51" s="27"/>
      <c r="AO51" s="27"/>
      <c r="AP51" s="27"/>
      <c r="AQ51" s="27"/>
      <c r="AR51" s="27"/>
      <c r="AS51" s="671"/>
      <c r="AT51" s="1105"/>
      <c r="AU51" s="1105"/>
      <c r="AV51" s="27"/>
      <c r="AW51" s="27"/>
      <c r="AX51" s="27"/>
      <c r="AY51" s="27"/>
      <c r="AZ51" s="27"/>
      <c r="BA51" s="27"/>
      <c r="BB51" s="27"/>
      <c r="BC51" s="22"/>
      <c r="BF51" s="913" t="s">
        <v>526</v>
      </c>
    </row>
    <row r="52" spans="1:62" ht="16.7" hidden="1" customHeight="1">
      <c r="E52" s="623">
        <v>17.100000000000001</v>
      </c>
      <c r="F52" s="714">
        <f t="shared" ca="1" si="4"/>
        <v>0</v>
      </c>
      <c r="T52" s="634" t="b">
        <f t="shared" ca="1" si="12"/>
        <v>0</v>
      </c>
      <c r="X52" s="1405"/>
      <c r="Z52" s="1405"/>
      <c r="AB52" s="387" t="s">
        <v>527</v>
      </c>
      <c r="AC52" s="770" t="s">
        <v>528</v>
      </c>
      <c r="AD52" s="324" t="s">
        <v>491</v>
      </c>
      <c r="AE52" s="288">
        <f t="shared" ref="AE52:BB52" si="14">AE53+AE54</f>
        <v>0</v>
      </c>
      <c r="AF52" s="288">
        <f t="shared" si="14"/>
        <v>0</v>
      </c>
      <c r="AG52" s="288">
        <f t="shared" si="14"/>
        <v>0</v>
      </c>
      <c r="AH52" s="288">
        <f t="shared" si="14"/>
        <v>0</v>
      </c>
      <c r="AI52" s="288">
        <f t="shared" si="14"/>
        <v>0</v>
      </c>
      <c r="AJ52" s="288">
        <f t="shared" si="14"/>
        <v>0</v>
      </c>
      <c r="AK52" s="288">
        <f t="shared" si="14"/>
        <v>0</v>
      </c>
      <c r="AL52" s="288">
        <f t="shared" si="14"/>
        <v>0</v>
      </c>
      <c r="AM52" s="288">
        <f t="shared" si="14"/>
        <v>0</v>
      </c>
      <c r="AN52" s="288">
        <f t="shared" si="14"/>
        <v>0</v>
      </c>
      <c r="AO52" s="288">
        <f t="shared" si="14"/>
        <v>0</v>
      </c>
      <c r="AP52" s="288">
        <f t="shared" si="14"/>
        <v>0</v>
      </c>
      <c r="AQ52" s="288">
        <f t="shared" si="14"/>
        <v>0</v>
      </c>
      <c r="AR52" s="288">
        <f t="shared" si="14"/>
        <v>0</v>
      </c>
      <c r="AS52" s="288">
        <f t="shared" si="14"/>
        <v>0</v>
      </c>
      <c r="AT52" s="288">
        <f t="shared" si="14"/>
        <v>0</v>
      </c>
      <c r="AU52" s="288">
        <f t="shared" si="14"/>
        <v>0</v>
      </c>
      <c r="AV52" s="288">
        <f t="shared" si="14"/>
        <v>0</v>
      </c>
      <c r="AW52" s="288">
        <f t="shared" si="14"/>
        <v>0</v>
      </c>
      <c r="AX52" s="288">
        <f t="shared" si="14"/>
        <v>0</v>
      </c>
      <c r="AY52" s="288">
        <f t="shared" si="14"/>
        <v>0</v>
      </c>
      <c r="AZ52" s="288">
        <f t="shared" si="14"/>
        <v>0</v>
      </c>
      <c r="BA52" s="288">
        <f t="shared" si="14"/>
        <v>0</v>
      </c>
      <c r="BB52" s="288">
        <f t="shared" si="14"/>
        <v>0</v>
      </c>
      <c r="BC52" s="22"/>
      <c r="BF52" s="913" t="s">
        <v>529</v>
      </c>
    </row>
    <row r="53" spans="1:62" ht="16.7" hidden="1" customHeight="1">
      <c r="E53" s="623">
        <v>17.100000000000001</v>
      </c>
      <c r="F53" s="714">
        <f t="shared" ca="1" si="4"/>
        <v>0</v>
      </c>
      <c r="T53" s="634" t="b">
        <f t="shared" ca="1" si="12"/>
        <v>0</v>
      </c>
      <c r="X53" s="1405"/>
      <c r="Z53" s="1405"/>
      <c r="AB53" s="387" t="s">
        <v>530</v>
      </c>
      <c r="AC53" s="808" t="s">
        <v>493</v>
      </c>
      <c r="AD53" s="324" t="s">
        <v>491</v>
      </c>
      <c r="AE53" s="288">
        <f t="shared" ref="AE53:BB53" si="15">AE30+AE41-AE50</f>
        <v>0</v>
      </c>
      <c r="AF53" s="288">
        <f t="shared" si="15"/>
        <v>0</v>
      </c>
      <c r="AG53" s="288">
        <f t="shared" si="15"/>
        <v>0</v>
      </c>
      <c r="AH53" s="288">
        <f t="shared" si="15"/>
        <v>0</v>
      </c>
      <c r="AI53" s="288">
        <f t="shared" si="15"/>
        <v>0</v>
      </c>
      <c r="AJ53" s="288">
        <f t="shared" si="15"/>
        <v>0</v>
      </c>
      <c r="AK53" s="288">
        <f t="shared" si="15"/>
        <v>0</v>
      </c>
      <c r="AL53" s="288">
        <f t="shared" si="15"/>
        <v>0</v>
      </c>
      <c r="AM53" s="288">
        <f t="shared" si="15"/>
        <v>0</v>
      </c>
      <c r="AN53" s="288">
        <f t="shared" si="15"/>
        <v>0</v>
      </c>
      <c r="AO53" s="288">
        <f t="shared" si="15"/>
        <v>0</v>
      </c>
      <c r="AP53" s="288">
        <f t="shared" si="15"/>
        <v>0</v>
      </c>
      <c r="AQ53" s="288">
        <f t="shared" si="15"/>
        <v>0</v>
      </c>
      <c r="AR53" s="288">
        <f t="shared" si="15"/>
        <v>0</v>
      </c>
      <c r="AS53" s="288">
        <f t="shared" si="15"/>
        <v>0</v>
      </c>
      <c r="AT53" s="288">
        <f t="shared" si="15"/>
        <v>0</v>
      </c>
      <c r="AU53" s="288">
        <f t="shared" si="15"/>
        <v>0</v>
      </c>
      <c r="AV53" s="288">
        <f t="shared" si="15"/>
        <v>0</v>
      </c>
      <c r="AW53" s="288">
        <f t="shared" si="15"/>
        <v>0</v>
      </c>
      <c r="AX53" s="288">
        <f t="shared" si="15"/>
        <v>0</v>
      </c>
      <c r="AY53" s="288">
        <f t="shared" si="15"/>
        <v>0</v>
      </c>
      <c r="AZ53" s="288">
        <f t="shared" si="15"/>
        <v>0</v>
      </c>
      <c r="BA53" s="288">
        <f t="shared" si="15"/>
        <v>0</v>
      </c>
      <c r="BB53" s="288">
        <f t="shared" si="15"/>
        <v>0</v>
      </c>
      <c r="BC53" s="22"/>
      <c r="BF53" s="913" t="s">
        <v>531</v>
      </c>
    </row>
    <row r="54" spans="1:62" ht="16.7" hidden="1" customHeight="1">
      <c r="E54" s="623">
        <v>17.100000000000001</v>
      </c>
      <c r="F54" s="714">
        <f t="shared" ca="1" si="4"/>
        <v>0</v>
      </c>
      <c r="T54" s="634" t="b">
        <f t="shared" ca="1" si="12"/>
        <v>0</v>
      </c>
      <c r="X54" s="1405"/>
      <c r="Z54" s="1405"/>
      <c r="AB54" s="387" t="s">
        <v>532</v>
      </c>
      <c r="AC54" s="808" t="s">
        <v>504</v>
      </c>
      <c r="AD54" s="324" t="s">
        <v>491</v>
      </c>
      <c r="AE54" s="288">
        <f t="shared" ref="AE54:BB54" si="16">AE35+AE45-AE51</f>
        <v>0</v>
      </c>
      <c r="AF54" s="288">
        <f t="shared" si="16"/>
        <v>0</v>
      </c>
      <c r="AG54" s="288">
        <f t="shared" si="16"/>
        <v>0</v>
      </c>
      <c r="AH54" s="288">
        <f t="shared" si="16"/>
        <v>0</v>
      </c>
      <c r="AI54" s="288">
        <f t="shared" si="16"/>
        <v>0</v>
      </c>
      <c r="AJ54" s="288">
        <f t="shared" si="16"/>
        <v>0</v>
      </c>
      <c r="AK54" s="288">
        <f t="shared" si="16"/>
        <v>0</v>
      </c>
      <c r="AL54" s="288">
        <f t="shared" si="16"/>
        <v>0</v>
      </c>
      <c r="AM54" s="288">
        <f t="shared" si="16"/>
        <v>0</v>
      </c>
      <c r="AN54" s="288">
        <f t="shared" si="16"/>
        <v>0</v>
      </c>
      <c r="AO54" s="288">
        <f t="shared" si="16"/>
        <v>0</v>
      </c>
      <c r="AP54" s="288">
        <f t="shared" si="16"/>
        <v>0</v>
      </c>
      <c r="AQ54" s="288">
        <f t="shared" si="16"/>
        <v>0</v>
      </c>
      <c r="AR54" s="288">
        <f t="shared" si="16"/>
        <v>0</v>
      </c>
      <c r="AS54" s="288">
        <f t="shared" si="16"/>
        <v>0</v>
      </c>
      <c r="AT54" s="288">
        <f t="shared" si="16"/>
        <v>0</v>
      </c>
      <c r="AU54" s="288">
        <f t="shared" si="16"/>
        <v>0</v>
      </c>
      <c r="AV54" s="288">
        <f t="shared" si="16"/>
        <v>0</v>
      </c>
      <c r="AW54" s="288">
        <f t="shared" si="16"/>
        <v>0</v>
      </c>
      <c r="AX54" s="288">
        <f t="shared" si="16"/>
        <v>0</v>
      </c>
      <c r="AY54" s="288">
        <f t="shared" si="16"/>
        <v>0</v>
      </c>
      <c r="AZ54" s="288">
        <f t="shared" si="16"/>
        <v>0</v>
      </c>
      <c r="BA54" s="288">
        <f t="shared" si="16"/>
        <v>0</v>
      </c>
      <c r="BB54" s="288">
        <f t="shared" si="16"/>
        <v>0</v>
      </c>
      <c r="BC54" s="22"/>
      <c r="BF54" s="913" t="s">
        <v>533</v>
      </c>
    </row>
    <row r="55" spans="1:62" ht="16.7" hidden="1" customHeight="1">
      <c r="E55" s="623">
        <v>17.100000000000001</v>
      </c>
      <c r="F55" s="714">
        <f t="shared" ca="1" si="4"/>
        <v>0</v>
      </c>
      <c r="T55" s="634" t="b">
        <f t="shared" ca="1" si="12"/>
        <v>0</v>
      </c>
      <c r="X55" s="1405"/>
      <c r="Z55" s="1405"/>
      <c r="AB55" s="387" t="s">
        <v>534</v>
      </c>
      <c r="AC55" s="770" t="s">
        <v>535</v>
      </c>
      <c r="AD55" s="324" t="s">
        <v>491</v>
      </c>
      <c r="AE55" s="288">
        <f t="shared" ref="AE55:BB55" si="17">AE56+AE57</f>
        <v>0</v>
      </c>
      <c r="AF55" s="288">
        <f t="shared" si="17"/>
        <v>0</v>
      </c>
      <c r="AG55" s="288">
        <f t="shared" si="17"/>
        <v>0</v>
      </c>
      <c r="AH55" s="288">
        <f t="shared" si="17"/>
        <v>0</v>
      </c>
      <c r="AI55" s="288">
        <f t="shared" si="17"/>
        <v>0</v>
      </c>
      <c r="AJ55" s="288">
        <f t="shared" si="17"/>
        <v>0</v>
      </c>
      <c r="AK55" s="288">
        <f t="shared" si="17"/>
        <v>0</v>
      </c>
      <c r="AL55" s="288">
        <f t="shared" si="17"/>
        <v>0</v>
      </c>
      <c r="AM55" s="288">
        <f t="shared" si="17"/>
        <v>0</v>
      </c>
      <c r="AN55" s="288">
        <f t="shared" si="17"/>
        <v>0</v>
      </c>
      <c r="AO55" s="288">
        <f t="shared" si="17"/>
        <v>0</v>
      </c>
      <c r="AP55" s="288">
        <f t="shared" si="17"/>
        <v>0</v>
      </c>
      <c r="AQ55" s="288">
        <f t="shared" si="17"/>
        <v>0</v>
      </c>
      <c r="AR55" s="288">
        <f t="shared" si="17"/>
        <v>0</v>
      </c>
      <c r="AS55" s="288">
        <f t="shared" si="17"/>
        <v>0</v>
      </c>
      <c r="AT55" s="288">
        <f t="shared" si="17"/>
        <v>0</v>
      </c>
      <c r="AU55" s="288">
        <f t="shared" si="17"/>
        <v>0</v>
      </c>
      <c r="AV55" s="288">
        <f t="shared" si="17"/>
        <v>0</v>
      </c>
      <c r="AW55" s="288">
        <f t="shared" si="17"/>
        <v>0</v>
      </c>
      <c r="AX55" s="288">
        <f t="shared" si="17"/>
        <v>0</v>
      </c>
      <c r="AY55" s="288">
        <f t="shared" si="17"/>
        <v>0</v>
      </c>
      <c r="AZ55" s="288">
        <f t="shared" si="17"/>
        <v>0</v>
      </c>
      <c r="BA55" s="288">
        <f t="shared" si="17"/>
        <v>0</v>
      </c>
      <c r="BB55" s="288">
        <f t="shared" si="17"/>
        <v>0</v>
      </c>
      <c r="BC55" s="22"/>
      <c r="BF55" s="913" t="s">
        <v>536</v>
      </c>
    </row>
    <row r="56" spans="1:62" ht="16.7" hidden="1" customHeight="1">
      <c r="E56" s="623">
        <v>17.100000000000001</v>
      </c>
      <c r="F56" s="714">
        <f t="shared" ca="1" si="4"/>
        <v>0</v>
      </c>
      <c r="T56" s="634" t="b">
        <f t="shared" ca="1" si="12"/>
        <v>0</v>
      </c>
      <c r="X56" s="1405"/>
      <c r="Z56" s="1405"/>
      <c r="AB56" s="387" t="s">
        <v>537</v>
      </c>
      <c r="AC56" s="808" t="s">
        <v>493</v>
      </c>
      <c r="AD56" s="324" t="s">
        <v>491</v>
      </c>
      <c r="AE56" s="23"/>
      <c r="AF56" s="23"/>
      <c r="AG56" s="23"/>
      <c r="AH56" s="23"/>
      <c r="AI56" s="233"/>
      <c r="AJ56" s="1103"/>
      <c r="AK56" s="1103"/>
      <c r="AL56" s="23"/>
      <c r="AM56" s="23"/>
      <c r="AN56" s="23"/>
      <c r="AO56" s="23"/>
      <c r="AP56" s="23"/>
      <c r="AQ56" s="23"/>
      <c r="AR56" s="23"/>
      <c r="AS56" s="233"/>
      <c r="AT56" s="1103"/>
      <c r="AU56" s="1103"/>
      <c r="AV56" s="23"/>
      <c r="AW56" s="23"/>
      <c r="AX56" s="23"/>
      <c r="AY56" s="23"/>
      <c r="AZ56" s="23"/>
      <c r="BA56" s="23"/>
      <c r="BB56" s="23"/>
      <c r="BC56" s="22"/>
      <c r="BF56" s="913" t="s">
        <v>538</v>
      </c>
    </row>
    <row r="57" spans="1:62" ht="16.7" hidden="1" customHeight="1">
      <c r="E57" s="623">
        <v>17.100000000000001</v>
      </c>
      <c r="F57" s="714">
        <f t="shared" ca="1" si="4"/>
        <v>0</v>
      </c>
      <c r="T57" s="634" t="b">
        <f t="shared" ca="1" si="12"/>
        <v>0</v>
      </c>
      <c r="X57" s="1405"/>
      <c r="Z57" s="1405"/>
      <c r="AB57" s="387" t="s">
        <v>539</v>
      </c>
      <c r="AC57" s="808" t="s">
        <v>504</v>
      </c>
      <c r="AD57" s="324" t="s">
        <v>491</v>
      </c>
      <c r="AE57" s="23"/>
      <c r="AF57" s="23"/>
      <c r="AG57" s="23"/>
      <c r="AH57" s="23"/>
      <c r="AI57" s="233"/>
      <c r="AJ57" s="1103"/>
      <c r="AK57" s="1103"/>
      <c r="AL57" s="23"/>
      <c r="AM57" s="23"/>
      <c r="AN57" s="23"/>
      <c r="AO57" s="23"/>
      <c r="AP57" s="23"/>
      <c r="AQ57" s="23"/>
      <c r="AR57" s="23"/>
      <c r="AS57" s="233"/>
      <c r="AT57" s="1103"/>
      <c r="AU57" s="1103"/>
      <c r="AV57" s="23"/>
      <c r="AW57" s="23"/>
      <c r="AX57" s="23"/>
      <c r="AY57" s="23"/>
      <c r="AZ57" s="23"/>
      <c r="BA57" s="23"/>
      <c r="BB57" s="23"/>
      <c r="BC57" s="22"/>
      <c r="BF57" s="913" t="s">
        <v>540</v>
      </c>
    </row>
    <row r="58" spans="1:62" ht="16.7" hidden="1" customHeight="1">
      <c r="E58" s="623">
        <v>17.100000000000001</v>
      </c>
      <c r="F58" s="714">
        <f t="shared" ca="1" si="4"/>
        <v>0</v>
      </c>
      <c r="T58" s="634" t="b">
        <f t="shared" ca="1" si="12"/>
        <v>0</v>
      </c>
      <c r="X58" s="1405"/>
      <c r="Z58" s="1405"/>
      <c r="AB58" s="387" t="s">
        <v>541</v>
      </c>
      <c r="AC58" s="814" t="s">
        <v>542</v>
      </c>
      <c r="AD58" s="324" t="s">
        <v>491</v>
      </c>
      <c r="AE58" s="288">
        <f t="shared" ref="AE58:BB58" si="18">AE59+AE60</f>
        <v>0</v>
      </c>
      <c r="AF58" s="288">
        <f t="shared" si="18"/>
        <v>0</v>
      </c>
      <c r="AG58" s="288">
        <f t="shared" si="18"/>
        <v>0</v>
      </c>
      <c r="AH58" s="288">
        <f t="shared" si="18"/>
        <v>0</v>
      </c>
      <c r="AI58" s="288">
        <f t="shared" si="18"/>
        <v>0</v>
      </c>
      <c r="AJ58" s="288">
        <f t="shared" si="18"/>
        <v>0</v>
      </c>
      <c r="AK58" s="288">
        <f t="shared" si="18"/>
        <v>0</v>
      </c>
      <c r="AL58" s="288">
        <f t="shared" si="18"/>
        <v>0</v>
      </c>
      <c r="AM58" s="288">
        <f t="shared" si="18"/>
        <v>0</v>
      </c>
      <c r="AN58" s="288">
        <f t="shared" si="18"/>
        <v>0</v>
      </c>
      <c r="AO58" s="288">
        <f t="shared" si="18"/>
        <v>0</v>
      </c>
      <c r="AP58" s="288">
        <f t="shared" si="18"/>
        <v>0</v>
      </c>
      <c r="AQ58" s="288">
        <f t="shared" si="18"/>
        <v>0</v>
      </c>
      <c r="AR58" s="288">
        <f t="shared" si="18"/>
        <v>0</v>
      </c>
      <c r="AS58" s="288">
        <f t="shared" si="18"/>
        <v>0</v>
      </c>
      <c r="AT58" s="288">
        <f t="shared" si="18"/>
        <v>0</v>
      </c>
      <c r="AU58" s="288">
        <f t="shared" si="18"/>
        <v>0</v>
      </c>
      <c r="AV58" s="288">
        <f t="shared" si="18"/>
        <v>0</v>
      </c>
      <c r="AW58" s="288">
        <f t="shared" si="18"/>
        <v>0</v>
      </c>
      <c r="AX58" s="288">
        <f t="shared" si="18"/>
        <v>0</v>
      </c>
      <c r="AY58" s="288">
        <f t="shared" si="18"/>
        <v>0</v>
      </c>
      <c r="AZ58" s="288">
        <f t="shared" si="18"/>
        <v>0</v>
      </c>
      <c r="BA58" s="288">
        <f t="shared" si="18"/>
        <v>0</v>
      </c>
      <c r="BB58" s="288">
        <f t="shared" si="18"/>
        <v>0</v>
      </c>
      <c r="BC58" s="22"/>
      <c r="BF58" s="913" t="s">
        <v>543</v>
      </c>
    </row>
    <row r="59" spans="1:62" ht="16.7" hidden="1" customHeight="1">
      <c r="E59" s="623">
        <v>17.100000000000001</v>
      </c>
      <c r="F59" s="714">
        <f t="shared" ca="1" si="4"/>
        <v>0</v>
      </c>
      <c r="T59" s="634" t="b">
        <f t="shared" ca="1" si="12"/>
        <v>0</v>
      </c>
      <c r="X59" s="1405"/>
      <c r="Z59" s="1405"/>
      <c r="AB59" s="387" t="s">
        <v>544</v>
      </c>
      <c r="AC59" s="808" t="s">
        <v>493</v>
      </c>
      <c r="AD59" s="324" t="s">
        <v>491</v>
      </c>
      <c r="AE59" s="23"/>
      <c r="AF59" s="23"/>
      <c r="AG59" s="23"/>
      <c r="AH59" s="23"/>
      <c r="AI59" s="233"/>
      <c r="AJ59" s="1103"/>
      <c r="AK59" s="1103"/>
      <c r="AL59" s="23"/>
      <c r="AM59" s="23"/>
      <c r="AN59" s="23"/>
      <c r="AO59" s="23"/>
      <c r="AP59" s="23"/>
      <c r="AQ59" s="23"/>
      <c r="AR59" s="23"/>
      <c r="AS59" s="233"/>
      <c r="AT59" s="1103"/>
      <c r="AU59" s="1103"/>
      <c r="AV59" s="23"/>
      <c r="AW59" s="23"/>
      <c r="AX59" s="23"/>
      <c r="AY59" s="23"/>
      <c r="AZ59" s="23"/>
      <c r="BA59" s="23"/>
      <c r="BB59" s="23"/>
      <c r="BC59" s="22"/>
      <c r="BF59" s="913" t="s">
        <v>545</v>
      </c>
    </row>
    <row r="60" spans="1:62" ht="16.7" hidden="1" customHeight="1">
      <c r="E60" s="623">
        <v>17.100000000000001</v>
      </c>
      <c r="F60" s="714">
        <f t="shared" ca="1" si="4"/>
        <v>0</v>
      </c>
      <c r="T60" s="634" t="b">
        <f t="shared" ca="1" si="12"/>
        <v>0</v>
      </c>
      <c r="X60" s="1405"/>
      <c r="Z60" s="1405"/>
      <c r="AB60" s="387" t="s">
        <v>546</v>
      </c>
      <c r="AC60" s="815" t="s">
        <v>504</v>
      </c>
      <c r="AD60" s="324" t="s">
        <v>491</v>
      </c>
      <c r="AE60" s="23"/>
      <c r="AF60" s="23"/>
      <c r="AG60" s="23"/>
      <c r="AH60" s="23"/>
      <c r="AI60" s="233"/>
      <c r="AJ60" s="1103"/>
      <c r="AK60" s="1103"/>
      <c r="AL60" s="23"/>
      <c r="AM60" s="23"/>
      <c r="AN60" s="23"/>
      <c r="AO60" s="23"/>
      <c r="AP60" s="23"/>
      <c r="AQ60" s="23"/>
      <c r="AR60" s="23"/>
      <c r="AS60" s="233"/>
      <c r="AT60" s="1103"/>
      <c r="AU60" s="1103"/>
      <c r="AV60" s="23"/>
      <c r="AW60" s="23"/>
      <c r="AX60" s="23"/>
      <c r="AY60" s="23"/>
      <c r="AZ60" s="23"/>
      <c r="BA60" s="23"/>
      <c r="BB60" s="23"/>
      <c r="BC60" s="22"/>
      <c r="BF60" s="913" t="s">
        <v>547</v>
      </c>
    </row>
    <row r="61" spans="1:62" ht="16.7" hidden="1" customHeight="1">
      <c r="E61" s="623">
        <v>17.100000000000001</v>
      </c>
      <c r="F61" s="714">
        <f t="shared" ca="1" si="4"/>
        <v>0</v>
      </c>
      <c r="G61" s="150" t="s">
        <v>548</v>
      </c>
      <c r="T61" s="634" t="b">
        <f t="shared" ca="1" si="12"/>
        <v>0</v>
      </c>
      <c r="X61" s="1405"/>
      <c r="Z61" s="1405"/>
      <c r="AB61" s="499" t="s">
        <v>549</v>
      </c>
      <c r="AC61" s="816" t="s">
        <v>550</v>
      </c>
      <c r="AD61" s="324" t="s">
        <v>491</v>
      </c>
      <c r="AE61" s="288">
        <f t="shared" ref="AE61:BB61" si="19">AE52-AE55-AE58</f>
        <v>0</v>
      </c>
      <c r="AF61" s="288">
        <f t="shared" si="19"/>
        <v>0</v>
      </c>
      <c r="AG61" s="288">
        <f t="shared" si="19"/>
        <v>0</v>
      </c>
      <c r="AH61" s="288">
        <f t="shared" si="19"/>
        <v>0</v>
      </c>
      <c r="AI61" s="288">
        <f t="shared" si="19"/>
        <v>0</v>
      </c>
      <c r="AJ61" s="288">
        <f t="shared" si="19"/>
        <v>0</v>
      </c>
      <c r="AK61" s="288">
        <f t="shared" si="19"/>
        <v>0</v>
      </c>
      <c r="AL61" s="288">
        <f t="shared" si="19"/>
        <v>0</v>
      </c>
      <c r="AM61" s="288">
        <f t="shared" si="19"/>
        <v>0</v>
      </c>
      <c r="AN61" s="288">
        <f t="shared" si="19"/>
        <v>0</v>
      </c>
      <c r="AO61" s="288">
        <f t="shared" si="19"/>
        <v>0</v>
      </c>
      <c r="AP61" s="288">
        <f t="shared" si="19"/>
        <v>0</v>
      </c>
      <c r="AQ61" s="288">
        <f t="shared" si="19"/>
        <v>0</v>
      </c>
      <c r="AR61" s="288">
        <f t="shared" si="19"/>
        <v>0</v>
      </c>
      <c r="AS61" s="288">
        <f t="shared" si="19"/>
        <v>0</v>
      </c>
      <c r="AT61" s="288">
        <f t="shared" si="19"/>
        <v>0</v>
      </c>
      <c r="AU61" s="288">
        <f t="shared" si="19"/>
        <v>0</v>
      </c>
      <c r="AV61" s="288">
        <f t="shared" si="19"/>
        <v>0</v>
      </c>
      <c r="AW61" s="288">
        <f t="shared" si="19"/>
        <v>0</v>
      </c>
      <c r="AX61" s="288">
        <f t="shared" si="19"/>
        <v>0</v>
      </c>
      <c r="AY61" s="288">
        <f t="shared" si="19"/>
        <v>0</v>
      </c>
      <c r="AZ61" s="288">
        <f t="shared" si="19"/>
        <v>0</v>
      </c>
      <c r="BA61" s="288">
        <f t="shared" si="19"/>
        <v>0</v>
      </c>
      <c r="BB61" s="288">
        <f t="shared" si="19"/>
        <v>0</v>
      </c>
      <c r="BC61" s="22"/>
      <c r="BF61" s="913" t="s">
        <v>551</v>
      </c>
    </row>
    <row r="62" spans="1:62" ht="16.7" hidden="1" customHeight="1">
      <c r="E62" s="623">
        <v>17.100000000000001</v>
      </c>
      <c r="F62" s="714">
        <f t="shared" ca="1" si="4"/>
        <v>0</v>
      </c>
      <c r="T62" s="634" t="b">
        <f t="shared" ca="1" si="12"/>
        <v>0</v>
      </c>
      <c r="X62" s="1405"/>
      <c r="Z62" s="1405"/>
      <c r="AB62" s="446" t="s">
        <v>552</v>
      </c>
      <c r="AC62" s="102" t="s">
        <v>493</v>
      </c>
      <c r="AD62" s="324" t="s">
        <v>491</v>
      </c>
      <c r="AE62" s="288">
        <f t="shared" ref="AE62:BB62" si="20">AE53-AE56-AE59</f>
        <v>0</v>
      </c>
      <c r="AF62" s="288">
        <f t="shared" si="20"/>
        <v>0</v>
      </c>
      <c r="AG62" s="288">
        <f t="shared" si="20"/>
        <v>0</v>
      </c>
      <c r="AH62" s="288">
        <f t="shared" si="20"/>
        <v>0</v>
      </c>
      <c r="AI62" s="288">
        <f t="shared" si="20"/>
        <v>0</v>
      </c>
      <c r="AJ62" s="288">
        <f t="shared" si="20"/>
        <v>0</v>
      </c>
      <c r="AK62" s="288">
        <f t="shared" si="20"/>
        <v>0</v>
      </c>
      <c r="AL62" s="288">
        <f t="shared" si="20"/>
        <v>0</v>
      </c>
      <c r="AM62" s="288">
        <f t="shared" si="20"/>
        <v>0</v>
      </c>
      <c r="AN62" s="288">
        <f t="shared" si="20"/>
        <v>0</v>
      </c>
      <c r="AO62" s="288">
        <f t="shared" si="20"/>
        <v>0</v>
      </c>
      <c r="AP62" s="288">
        <f t="shared" si="20"/>
        <v>0</v>
      </c>
      <c r="AQ62" s="288">
        <f t="shared" si="20"/>
        <v>0</v>
      </c>
      <c r="AR62" s="288">
        <f t="shared" si="20"/>
        <v>0</v>
      </c>
      <c r="AS62" s="288">
        <f t="shared" si="20"/>
        <v>0</v>
      </c>
      <c r="AT62" s="288">
        <f t="shared" si="20"/>
        <v>0</v>
      </c>
      <c r="AU62" s="288">
        <f t="shared" si="20"/>
        <v>0</v>
      </c>
      <c r="AV62" s="288">
        <f t="shared" si="20"/>
        <v>0</v>
      </c>
      <c r="AW62" s="288">
        <f t="shared" si="20"/>
        <v>0</v>
      </c>
      <c r="AX62" s="288">
        <f t="shared" si="20"/>
        <v>0</v>
      </c>
      <c r="AY62" s="288">
        <f t="shared" si="20"/>
        <v>0</v>
      </c>
      <c r="AZ62" s="288">
        <f t="shared" si="20"/>
        <v>0</v>
      </c>
      <c r="BA62" s="288">
        <f t="shared" si="20"/>
        <v>0</v>
      </c>
      <c r="BB62" s="288">
        <f t="shared" si="20"/>
        <v>0</v>
      </c>
      <c r="BC62" s="22"/>
      <c r="BF62" s="913" t="s">
        <v>553</v>
      </c>
    </row>
    <row r="63" spans="1:62" ht="16.7" hidden="1" customHeight="1">
      <c r="E63" s="623">
        <v>17.100000000000001</v>
      </c>
      <c r="F63" s="714">
        <f t="shared" ca="1" si="4"/>
        <v>0</v>
      </c>
      <c r="T63" s="634" t="b">
        <f t="shared" ca="1" si="12"/>
        <v>0</v>
      </c>
      <c r="X63" s="1405"/>
      <c r="Z63" s="1405"/>
      <c r="AB63" s="446" t="s">
        <v>554</v>
      </c>
      <c r="AC63" s="102" t="s">
        <v>504</v>
      </c>
      <c r="AD63" s="324" t="s">
        <v>491</v>
      </c>
      <c r="AE63" s="288">
        <f t="shared" ref="AE63:BB63" si="21">AE54-AE57-AE60</f>
        <v>0</v>
      </c>
      <c r="AF63" s="288">
        <f t="shared" si="21"/>
        <v>0</v>
      </c>
      <c r="AG63" s="288">
        <f t="shared" si="21"/>
        <v>0</v>
      </c>
      <c r="AH63" s="288">
        <f t="shared" si="21"/>
        <v>0</v>
      </c>
      <c r="AI63" s="288">
        <f t="shared" si="21"/>
        <v>0</v>
      </c>
      <c r="AJ63" s="288">
        <f t="shared" si="21"/>
        <v>0</v>
      </c>
      <c r="AK63" s="288">
        <f t="shared" si="21"/>
        <v>0</v>
      </c>
      <c r="AL63" s="288">
        <f t="shared" si="21"/>
        <v>0</v>
      </c>
      <c r="AM63" s="288">
        <f t="shared" si="21"/>
        <v>0</v>
      </c>
      <c r="AN63" s="288">
        <f t="shared" si="21"/>
        <v>0</v>
      </c>
      <c r="AO63" s="288">
        <f t="shared" si="21"/>
        <v>0</v>
      </c>
      <c r="AP63" s="288">
        <f t="shared" si="21"/>
        <v>0</v>
      </c>
      <c r="AQ63" s="288">
        <f t="shared" si="21"/>
        <v>0</v>
      </c>
      <c r="AR63" s="288">
        <f t="shared" si="21"/>
        <v>0</v>
      </c>
      <c r="AS63" s="288">
        <f t="shared" si="21"/>
        <v>0</v>
      </c>
      <c r="AT63" s="288">
        <f t="shared" si="21"/>
        <v>0</v>
      </c>
      <c r="AU63" s="288">
        <f t="shared" si="21"/>
        <v>0</v>
      </c>
      <c r="AV63" s="288">
        <f t="shared" si="21"/>
        <v>0</v>
      </c>
      <c r="AW63" s="288">
        <f t="shared" si="21"/>
        <v>0</v>
      </c>
      <c r="AX63" s="288">
        <f t="shared" si="21"/>
        <v>0</v>
      </c>
      <c r="AY63" s="288">
        <f t="shared" si="21"/>
        <v>0</v>
      </c>
      <c r="AZ63" s="288">
        <f t="shared" si="21"/>
        <v>0</v>
      </c>
      <c r="BA63" s="288">
        <f t="shared" si="21"/>
        <v>0</v>
      </c>
      <c r="BB63" s="288">
        <f t="shared" si="21"/>
        <v>0</v>
      </c>
      <c r="BC63" s="22"/>
      <c r="BF63" s="913" t="s">
        <v>555</v>
      </c>
    </row>
    <row r="64" spans="1:62" s="1057" customFormat="1" ht="10.5" customHeight="1">
      <c r="A64" s="988"/>
      <c r="B64" s="718"/>
      <c r="C64" s="1012"/>
      <c r="D64" s="1012"/>
      <c r="E64" s="623">
        <v>11.4</v>
      </c>
      <c r="F64" s="714" t="str">
        <f>X64</f>
        <v>1</v>
      </c>
      <c r="G64" s="150" t="str">
        <f>INDEX('Общие сведения'!$AH$169:$AH$202,MATCH($F64,'Общие сведения'!$Z$169:$Z$202,0))</f>
        <v>Производство</v>
      </c>
      <c r="H64" s="150" t="str">
        <f>INDEX('Общие сведения'!$AK$169:$AK$202,MATCH($F64,'Общие сведения'!$Z$169:$Z$202,0))</f>
        <v>одноставочный</v>
      </c>
      <c r="I64" s="394"/>
      <c r="J64" s="394"/>
      <c r="K64" s="394"/>
      <c r="L64" s="394"/>
      <c r="M64" s="394"/>
      <c r="N64" s="394"/>
      <c r="O64" s="394"/>
      <c r="P64" s="394"/>
      <c r="Q64" s="394"/>
      <c r="R64" s="394"/>
      <c r="S64" s="394"/>
      <c r="T64" s="634" t="b">
        <f>AND(X64&gt;0,G64&lt;&gt;"Передача")</f>
        <v>1</v>
      </c>
      <c r="U64" s="1012"/>
      <c r="V64" s="113" t="str">
        <f>'Сценарии (МСА)'!$AB$35</f>
        <v>Тариф 1 (Теплоснабжение) - Тарифы на теплоноситель (Не определено)</v>
      </c>
      <c r="W64" s="1012"/>
      <c r="X64" s="1405" t="s">
        <v>247</v>
      </c>
      <c r="Y64" s="1012"/>
      <c r="Z64" s="1405"/>
      <c r="AA64" s="394"/>
      <c r="AB64" s="371" t="str">
        <f>IF(ISBLANK('Сценарии (МСА)'!$AB$35),"",'Сценарии (МСА)'!$AB$35)</f>
        <v>Тариф 1 (Теплоснабжение) - Тарифы на теплоноситель (Не определено)</v>
      </c>
      <c r="AC64" s="200"/>
      <c r="AD64" s="200"/>
      <c r="AE64" s="200"/>
      <c r="AF64" s="200"/>
      <c r="AG64" s="197"/>
      <c r="AH64" s="197"/>
      <c r="AI64" s="197"/>
      <c r="AJ64" s="197"/>
      <c r="AK64" s="197"/>
      <c r="AL64" s="197"/>
      <c r="AM64" s="197"/>
      <c r="AN64" s="197"/>
      <c r="AO64" s="197"/>
      <c r="AP64" s="197"/>
      <c r="AQ64" s="197"/>
      <c r="AR64" s="197"/>
      <c r="AS64" s="197"/>
      <c r="AT64" s="197"/>
      <c r="AU64" s="197"/>
      <c r="AV64" s="197"/>
      <c r="AW64" s="197"/>
      <c r="AX64" s="197"/>
      <c r="AY64" s="197"/>
      <c r="AZ64" s="197"/>
      <c r="BA64" s="197"/>
      <c r="BB64" s="197"/>
      <c r="BC64" s="197"/>
      <c r="BD64" s="394"/>
      <c r="BE64" s="394"/>
      <c r="BF64" s="931"/>
      <c r="BG64" s="931"/>
      <c r="BH64" s="931"/>
      <c r="BI64" s="960"/>
      <c r="BJ64" s="960"/>
    </row>
    <row r="65" spans="1:62" s="1057" customFormat="1" ht="16.5" customHeight="1">
      <c r="A65" s="988"/>
      <c r="B65" s="718"/>
      <c r="C65" s="1012"/>
      <c r="D65" s="1012"/>
      <c r="E65" s="623">
        <v>17.100000000000001</v>
      </c>
      <c r="F65" s="714" t="str">
        <f t="shared" ref="F65:F99" ca="1" si="22">OFFSET(G65,-1,-1)</f>
        <v>1</v>
      </c>
      <c r="G65" s="150" t="s">
        <v>489</v>
      </c>
      <c r="H65" s="394"/>
      <c r="I65" s="394"/>
      <c r="J65" s="394"/>
      <c r="K65" s="394"/>
      <c r="L65" s="394"/>
      <c r="M65" s="394"/>
      <c r="N65" s="394"/>
      <c r="O65" s="394"/>
      <c r="P65" s="394"/>
      <c r="Q65" s="394"/>
      <c r="R65" s="394"/>
      <c r="S65" s="394"/>
      <c r="T65" s="634" t="b">
        <f t="shared" ref="T65:T77" si="23">T64</f>
        <v>1</v>
      </c>
      <c r="U65" s="1012"/>
      <c r="V65" s="1012"/>
      <c r="W65" s="1012"/>
      <c r="X65" s="1405"/>
      <c r="Y65" s="1012"/>
      <c r="Z65" s="1405"/>
      <c r="AA65" s="394"/>
      <c r="AB65" s="387" t="s">
        <v>247</v>
      </c>
      <c r="AC65" s="770" t="s">
        <v>490</v>
      </c>
      <c r="AD65" s="324" t="s">
        <v>491</v>
      </c>
      <c r="AE65" s="288">
        <f t="shared" ref="AE65:BB65" si="24">AE66+AE71</f>
        <v>72.581000000000003</v>
      </c>
      <c r="AF65" s="288">
        <f t="shared" si="24"/>
        <v>71.245000000000005</v>
      </c>
      <c r="AG65" s="288">
        <f t="shared" si="24"/>
        <v>71.245000000000005</v>
      </c>
      <c r="AH65" s="288">
        <f t="shared" si="24"/>
        <v>72.581230000000005</v>
      </c>
      <c r="AI65" s="288">
        <f t="shared" si="24"/>
        <v>72.581000000000003</v>
      </c>
      <c r="AJ65" s="288">
        <f t="shared" si="24"/>
        <v>0</v>
      </c>
      <c r="AK65" s="288">
        <f t="shared" si="24"/>
        <v>0</v>
      </c>
      <c r="AL65" s="288">
        <f t="shared" si="24"/>
        <v>0</v>
      </c>
      <c r="AM65" s="288">
        <f t="shared" si="24"/>
        <v>0</v>
      </c>
      <c r="AN65" s="288">
        <f t="shared" si="24"/>
        <v>0</v>
      </c>
      <c r="AO65" s="288">
        <f t="shared" si="24"/>
        <v>0</v>
      </c>
      <c r="AP65" s="288">
        <f t="shared" si="24"/>
        <v>0</v>
      </c>
      <c r="AQ65" s="288">
        <f t="shared" si="24"/>
        <v>0</v>
      </c>
      <c r="AR65" s="288">
        <f t="shared" si="24"/>
        <v>0</v>
      </c>
      <c r="AS65" s="288">
        <f t="shared" si="24"/>
        <v>72.581000000000003</v>
      </c>
      <c r="AT65" s="288">
        <f t="shared" si="24"/>
        <v>0</v>
      </c>
      <c r="AU65" s="288">
        <f t="shared" si="24"/>
        <v>0</v>
      </c>
      <c r="AV65" s="288">
        <f t="shared" si="24"/>
        <v>0</v>
      </c>
      <c r="AW65" s="288">
        <f t="shared" si="24"/>
        <v>0</v>
      </c>
      <c r="AX65" s="288">
        <f t="shared" si="24"/>
        <v>0</v>
      </c>
      <c r="AY65" s="288">
        <f t="shared" si="24"/>
        <v>0</v>
      </c>
      <c r="AZ65" s="288">
        <f t="shared" si="24"/>
        <v>0</v>
      </c>
      <c r="BA65" s="288">
        <f t="shared" si="24"/>
        <v>0</v>
      </c>
      <c r="BB65" s="288">
        <f t="shared" si="24"/>
        <v>0</v>
      </c>
      <c r="BC65" s="1106"/>
      <c r="BD65" s="394"/>
      <c r="BE65" s="394"/>
      <c r="BF65" s="913" t="s">
        <v>492</v>
      </c>
      <c r="BG65" s="931"/>
      <c r="BH65" s="931"/>
      <c r="BI65" s="960"/>
      <c r="BJ65" s="960"/>
    </row>
    <row r="66" spans="1:62" s="1057" customFormat="1" ht="16.5" customHeight="1">
      <c r="A66" s="988"/>
      <c r="B66" s="718"/>
      <c r="C66" s="1012"/>
      <c r="D66" s="1012"/>
      <c r="E66" s="623">
        <v>17.100000000000001</v>
      </c>
      <c r="F66" s="714" t="str">
        <f t="shared" ca="1" si="22"/>
        <v>1</v>
      </c>
      <c r="G66" s="394"/>
      <c r="H66" s="394"/>
      <c r="I66" s="394"/>
      <c r="J66" s="394"/>
      <c r="K66" s="394"/>
      <c r="L66" s="394"/>
      <c r="M66" s="394"/>
      <c r="N66" s="394"/>
      <c r="O66" s="394"/>
      <c r="P66" s="394"/>
      <c r="Q66" s="394"/>
      <c r="R66" s="394"/>
      <c r="S66" s="394"/>
      <c r="T66" s="634" t="b">
        <f t="shared" si="23"/>
        <v>1</v>
      </c>
      <c r="U66" s="1012"/>
      <c r="V66" s="1012"/>
      <c r="W66" s="1012"/>
      <c r="X66" s="1405"/>
      <c r="Y66" s="1012"/>
      <c r="Z66" s="1405"/>
      <c r="AA66" s="394"/>
      <c r="AB66" s="387" t="s">
        <v>339</v>
      </c>
      <c r="AC66" s="808" t="s">
        <v>493</v>
      </c>
      <c r="AD66" s="324" t="s">
        <v>491</v>
      </c>
      <c r="AE66" s="288">
        <f t="shared" ref="AE66:BB66" si="25">SUM(AE67:AE70)</f>
        <v>72.581000000000003</v>
      </c>
      <c r="AF66" s="288">
        <f t="shared" si="25"/>
        <v>71.245000000000005</v>
      </c>
      <c r="AG66" s="288">
        <f t="shared" si="25"/>
        <v>71.245000000000005</v>
      </c>
      <c r="AH66" s="288">
        <f t="shared" si="25"/>
        <v>72.581230000000005</v>
      </c>
      <c r="AI66" s="288">
        <f t="shared" si="25"/>
        <v>72.581000000000003</v>
      </c>
      <c r="AJ66" s="288">
        <f t="shared" si="25"/>
        <v>0</v>
      </c>
      <c r="AK66" s="288">
        <f t="shared" si="25"/>
        <v>0</v>
      </c>
      <c r="AL66" s="288">
        <f t="shared" si="25"/>
        <v>0</v>
      </c>
      <c r="AM66" s="288">
        <f t="shared" si="25"/>
        <v>0</v>
      </c>
      <c r="AN66" s="288">
        <f t="shared" si="25"/>
        <v>0</v>
      </c>
      <c r="AO66" s="288">
        <f t="shared" si="25"/>
        <v>0</v>
      </c>
      <c r="AP66" s="288">
        <f t="shared" si="25"/>
        <v>0</v>
      </c>
      <c r="AQ66" s="288">
        <f t="shared" si="25"/>
        <v>0</v>
      </c>
      <c r="AR66" s="288">
        <f t="shared" si="25"/>
        <v>0</v>
      </c>
      <c r="AS66" s="288">
        <f t="shared" si="25"/>
        <v>72.581000000000003</v>
      </c>
      <c r="AT66" s="288">
        <f t="shared" si="25"/>
        <v>0</v>
      </c>
      <c r="AU66" s="288">
        <f t="shared" si="25"/>
        <v>0</v>
      </c>
      <c r="AV66" s="288">
        <f t="shared" si="25"/>
        <v>0</v>
      </c>
      <c r="AW66" s="288">
        <f t="shared" si="25"/>
        <v>0</v>
      </c>
      <c r="AX66" s="288">
        <f t="shared" si="25"/>
        <v>0</v>
      </c>
      <c r="AY66" s="288">
        <f t="shared" si="25"/>
        <v>0</v>
      </c>
      <c r="AZ66" s="288">
        <f t="shared" si="25"/>
        <v>0</v>
      </c>
      <c r="BA66" s="288">
        <f t="shared" si="25"/>
        <v>0</v>
      </c>
      <c r="BB66" s="288">
        <f t="shared" si="25"/>
        <v>0</v>
      </c>
      <c r="BC66" s="1106"/>
      <c r="BD66" s="394"/>
      <c r="BE66" s="394"/>
      <c r="BF66" s="913" t="s">
        <v>494</v>
      </c>
      <c r="BG66" s="931"/>
      <c r="BH66" s="931"/>
      <c r="BI66" s="960"/>
      <c r="BJ66" s="960"/>
    </row>
    <row r="67" spans="1:62" s="1057" customFormat="1" ht="16.5" customHeight="1">
      <c r="A67" s="988"/>
      <c r="B67" s="718"/>
      <c r="C67" s="1012"/>
      <c r="D67" s="1012"/>
      <c r="E67" s="623">
        <v>17.100000000000001</v>
      </c>
      <c r="F67" s="714" t="str">
        <f t="shared" ca="1" si="22"/>
        <v>1</v>
      </c>
      <c r="G67" s="394"/>
      <c r="H67" s="394"/>
      <c r="I67" s="394"/>
      <c r="J67" s="394"/>
      <c r="K67" s="394"/>
      <c r="L67" s="394"/>
      <c r="M67" s="394"/>
      <c r="N67" s="394"/>
      <c r="O67" s="394"/>
      <c r="P67" s="394"/>
      <c r="Q67" s="394"/>
      <c r="R67" s="394"/>
      <c r="S67" s="394"/>
      <c r="T67" s="634" t="b">
        <f t="shared" si="23"/>
        <v>1</v>
      </c>
      <c r="U67" s="1012"/>
      <c r="V67" s="1012"/>
      <c r="W67" s="1012"/>
      <c r="X67" s="1405"/>
      <c r="Y67" s="1012"/>
      <c r="Z67" s="1405"/>
      <c r="AA67" s="394"/>
      <c r="AB67" s="110" t="str">
        <f>AB66&amp;".1"</f>
        <v>1.1.1</v>
      </c>
      <c r="AC67" s="417" t="s">
        <v>495</v>
      </c>
      <c r="AD67" s="324" t="s">
        <v>491</v>
      </c>
      <c r="AE67" s="1107"/>
      <c r="AF67" s="1107"/>
      <c r="AG67" s="1107"/>
      <c r="AH67" s="1107"/>
      <c r="AI67" s="233"/>
      <c r="AJ67" s="1103"/>
      <c r="AK67" s="1103"/>
      <c r="AL67" s="1107"/>
      <c r="AM67" s="1107"/>
      <c r="AN67" s="1107"/>
      <c r="AO67" s="1107"/>
      <c r="AP67" s="1107"/>
      <c r="AQ67" s="1107"/>
      <c r="AR67" s="1107"/>
      <c r="AS67" s="233"/>
      <c r="AT67" s="1103"/>
      <c r="AU67" s="1103"/>
      <c r="AV67" s="1107"/>
      <c r="AW67" s="1107"/>
      <c r="AX67" s="1107"/>
      <c r="AY67" s="1107"/>
      <c r="AZ67" s="1107"/>
      <c r="BA67" s="1107"/>
      <c r="BB67" s="1107"/>
      <c r="BC67" s="1106"/>
      <c r="BD67" s="394"/>
      <c r="BE67" s="394"/>
      <c r="BF67" s="913" t="s">
        <v>496</v>
      </c>
      <c r="BG67" s="931"/>
      <c r="BH67" s="931"/>
      <c r="BI67" s="960"/>
      <c r="BJ67" s="960"/>
    </row>
    <row r="68" spans="1:62" s="1057" customFormat="1" ht="16.5" customHeight="1">
      <c r="A68" s="988"/>
      <c r="B68" s="718"/>
      <c r="C68" s="1012"/>
      <c r="D68" s="1012"/>
      <c r="E68" s="623">
        <v>17.100000000000001</v>
      </c>
      <c r="F68" s="714" t="str">
        <f t="shared" ca="1" si="22"/>
        <v>1</v>
      </c>
      <c r="G68" s="394"/>
      <c r="H68" s="394"/>
      <c r="I68" s="394"/>
      <c r="J68" s="394"/>
      <c r="K68" s="394"/>
      <c r="L68" s="394"/>
      <c r="M68" s="394"/>
      <c r="N68" s="394"/>
      <c r="O68" s="394"/>
      <c r="P68" s="394"/>
      <c r="Q68" s="394"/>
      <c r="R68" s="394"/>
      <c r="S68" s="394"/>
      <c r="T68" s="634" t="b">
        <f t="shared" si="23"/>
        <v>1</v>
      </c>
      <c r="U68" s="1012"/>
      <c r="V68" s="1012"/>
      <c r="W68" s="1012"/>
      <c r="X68" s="1405"/>
      <c r="Y68" s="1012"/>
      <c r="Z68" s="1405"/>
      <c r="AA68" s="394"/>
      <c r="AB68" s="110" t="str">
        <f>AB66&amp;".2"</f>
        <v>1.1.2</v>
      </c>
      <c r="AC68" s="417" t="s">
        <v>497</v>
      </c>
      <c r="AD68" s="324" t="s">
        <v>491</v>
      </c>
      <c r="AE68" s="1107"/>
      <c r="AF68" s="1107"/>
      <c r="AG68" s="1107"/>
      <c r="AH68" s="1107"/>
      <c r="AI68" s="233"/>
      <c r="AJ68" s="1103"/>
      <c r="AK68" s="1103"/>
      <c r="AL68" s="1107"/>
      <c r="AM68" s="1107"/>
      <c r="AN68" s="1107"/>
      <c r="AO68" s="1107"/>
      <c r="AP68" s="1107"/>
      <c r="AQ68" s="1107"/>
      <c r="AR68" s="1107"/>
      <c r="AS68" s="233"/>
      <c r="AT68" s="1103"/>
      <c r="AU68" s="1103"/>
      <c r="AV68" s="1107"/>
      <c r="AW68" s="1107"/>
      <c r="AX68" s="1107"/>
      <c r="AY68" s="1107"/>
      <c r="AZ68" s="1107"/>
      <c r="BA68" s="1107"/>
      <c r="BB68" s="1107"/>
      <c r="BC68" s="1106"/>
      <c r="BD68" s="394"/>
      <c r="BE68" s="394"/>
      <c r="BF68" s="913" t="s">
        <v>498</v>
      </c>
      <c r="BG68" s="931"/>
      <c r="BH68" s="931"/>
      <c r="BI68" s="960"/>
      <c r="BJ68" s="960"/>
    </row>
    <row r="69" spans="1:62" s="1057" customFormat="1" ht="16.5" customHeight="1">
      <c r="A69" s="988"/>
      <c r="B69" s="718"/>
      <c r="C69" s="1012"/>
      <c r="D69" s="1012"/>
      <c r="E69" s="623">
        <v>17.100000000000001</v>
      </c>
      <c r="F69" s="714" t="str">
        <f t="shared" ca="1" si="22"/>
        <v>1</v>
      </c>
      <c r="G69" s="394"/>
      <c r="H69" s="394"/>
      <c r="I69" s="394"/>
      <c r="J69" s="394"/>
      <c r="K69" s="394"/>
      <c r="L69" s="394"/>
      <c r="M69" s="394"/>
      <c r="N69" s="394"/>
      <c r="O69" s="394"/>
      <c r="P69" s="394"/>
      <c r="Q69" s="394"/>
      <c r="R69" s="394"/>
      <c r="S69" s="394"/>
      <c r="T69" s="634" t="b">
        <f t="shared" si="23"/>
        <v>1</v>
      </c>
      <c r="U69" s="1012"/>
      <c r="V69" s="1012"/>
      <c r="W69" s="1012"/>
      <c r="X69" s="1405"/>
      <c r="Y69" s="1012"/>
      <c r="Z69" s="1405"/>
      <c r="AA69" s="394"/>
      <c r="AB69" s="110" t="str">
        <f>AB66&amp;".3"</f>
        <v>1.1.3</v>
      </c>
      <c r="AC69" s="417" t="s">
        <v>499</v>
      </c>
      <c r="AD69" s="324" t="s">
        <v>491</v>
      </c>
      <c r="AE69" s="1107">
        <v>72.581000000000003</v>
      </c>
      <c r="AF69" s="1107">
        <v>71.245000000000005</v>
      </c>
      <c r="AG69" s="1107">
        <v>71.245000000000005</v>
      </c>
      <c r="AH69" s="1107">
        <v>72.581230000000005</v>
      </c>
      <c r="AI69" s="233">
        <v>72.581000000000003</v>
      </c>
      <c r="AJ69" s="1103"/>
      <c r="AK69" s="1103"/>
      <c r="AL69" s="1107"/>
      <c r="AM69" s="1107"/>
      <c r="AN69" s="1107"/>
      <c r="AO69" s="1107"/>
      <c r="AP69" s="1107"/>
      <c r="AQ69" s="1107"/>
      <c r="AR69" s="1107"/>
      <c r="AS69" s="233">
        <v>72.581000000000003</v>
      </c>
      <c r="AT69" s="1103"/>
      <c r="AU69" s="1103"/>
      <c r="AV69" s="1107"/>
      <c r="AW69" s="1107"/>
      <c r="AX69" s="1107"/>
      <c r="AY69" s="1107"/>
      <c r="AZ69" s="1107"/>
      <c r="BA69" s="1107"/>
      <c r="BB69" s="1107"/>
      <c r="BC69" s="1106"/>
      <c r="BD69" s="394"/>
      <c r="BE69" s="394"/>
      <c r="BF69" s="913" t="s">
        <v>500</v>
      </c>
      <c r="BG69" s="931"/>
      <c r="BH69" s="931"/>
      <c r="BI69" s="960"/>
      <c r="BJ69" s="960"/>
    </row>
    <row r="70" spans="1:62" s="1057" customFormat="1" ht="16.5" customHeight="1">
      <c r="A70" s="988"/>
      <c r="B70" s="718"/>
      <c r="C70" s="1012"/>
      <c r="D70" s="1012"/>
      <c r="E70" s="623">
        <v>17.100000000000001</v>
      </c>
      <c r="F70" s="714" t="str">
        <f t="shared" ca="1" si="22"/>
        <v>1</v>
      </c>
      <c r="G70" s="394"/>
      <c r="H70" s="394"/>
      <c r="I70" s="394"/>
      <c r="J70" s="394"/>
      <c r="K70" s="394"/>
      <c r="L70" s="394"/>
      <c r="M70" s="394"/>
      <c r="N70" s="394"/>
      <c r="O70" s="394"/>
      <c r="P70" s="394"/>
      <c r="Q70" s="394"/>
      <c r="R70" s="394"/>
      <c r="S70" s="394"/>
      <c r="T70" s="634" t="b">
        <f t="shared" si="23"/>
        <v>1</v>
      </c>
      <c r="U70" s="1012"/>
      <c r="V70" s="1012"/>
      <c r="W70" s="1012"/>
      <c r="X70" s="1405"/>
      <c r="Y70" s="1012"/>
      <c r="Z70" s="1405"/>
      <c r="AA70" s="394"/>
      <c r="AB70" s="110" t="str">
        <f>AB66&amp;".4"</f>
        <v>1.1.4</v>
      </c>
      <c r="AC70" s="417" t="s">
        <v>501</v>
      </c>
      <c r="AD70" s="324" t="s">
        <v>491</v>
      </c>
      <c r="AE70" s="1107"/>
      <c r="AF70" s="1107"/>
      <c r="AG70" s="1107"/>
      <c r="AH70" s="1107"/>
      <c r="AI70" s="233"/>
      <c r="AJ70" s="1103"/>
      <c r="AK70" s="1103"/>
      <c r="AL70" s="1107"/>
      <c r="AM70" s="1107"/>
      <c r="AN70" s="1107"/>
      <c r="AO70" s="1107"/>
      <c r="AP70" s="1107"/>
      <c r="AQ70" s="1107"/>
      <c r="AR70" s="1107"/>
      <c r="AS70" s="233"/>
      <c r="AT70" s="1103"/>
      <c r="AU70" s="1103"/>
      <c r="AV70" s="1107"/>
      <c r="AW70" s="1107"/>
      <c r="AX70" s="1107"/>
      <c r="AY70" s="1107"/>
      <c r="AZ70" s="1107"/>
      <c r="BA70" s="1107"/>
      <c r="BB70" s="1107"/>
      <c r="BC70" s="1106"/>
      <c r="BD70" s="394"/>
      <c r="BE70" s="394"/>
      <c r="BF70" s="913" t="s">
        <v>502</v>
      </c>
      <c r="BG70" s="931"/>
      <c r="BH70" s="931"/>
      <c r="BI70" s="960"/>
      <c r="BJ70" s="960"/>
    </row>
    <row r="71" spans="1:62" s="1057" customFormat="1" ht="16.5" customHeight="1">
      <c r="A71" s="988"/>
      <c r="B71" s="718"/>
      <c r="C71" s="1012"/>
      <c r="D71" s="1012"/>
      <c r="E71" s="623">
        <v>17.100000000000001</v>
      </c>
      <c r="F71" s="714" t="str">
        <f t="shared" ca="1" si="22"/>
        <v>1</v>
      </c>
      <c r="G71" s="394"/>
      <c r="H71" s="394"/>
      <c r="I71" s="394"/>
      <c r="J71" s="394"/>
      <c r="K71" s="394"/>
      <c r="L71" s="394"/>
      <c r="M71" s="394"/>
      <c r="N71" s="394"/>
      <c r="O71" s="394"/>
      <c r="P71" s="394"/>
      <c r="Q71" s="394"/>
      <c r="R71" s="394"/>
      <c r="S71" s="394"/>
      <c r="T71" s="634" t="b">
        <f t="shared" si="23"/>
        <v>1</v>
      </c>
      <c r="U71" s="1012"/>
      <c r="V71" s="1012"/>
      <c r="W71" s="1012"/>
      <c r="X71" s="1405"/>
      <c r="Y71" s="1012"/>
      <c r="Z71" s="1405"/>
      <c r="AA71" s="394"/>
      <c r="AB71" s="387" t="s">
        <v>503</v>
      </c>
      <c r="AC71" s="808" t="s">
        <v>504</v>
      </c>
      <c r="AD71" s="324" t="s">
        <v>491</v>
      </c>
      <c r="AE71" s="288">
        <f t="shared" ref="AE71:BB71" si="26">SUM(AE72:AE75)</f>
        <v>0</v>
      </c>
      <c r="AF71" s="288">
        <f t="shared" si="26"/>
        <v>0</v>
      </c>
      <c r="AG71" s="288">
        <f t="shared" si="26"/>
        <v>0</v>
      </c>
      <c r="AH71" s="288">
        <f t="shared" si="26"/>
        <v>0</v>
      </c>
      <c r="AI71" s="288">
        <f t="shared" si="26"/>
        <v>0</v>
      </c>
      <c r="AJ71" s="288">
        <f t="shared" si="26"/>
        <v>0</v>
      </c>
      <c r="AK71" s="288">
        <f t="shared" si="26"/>
        <v>0</v>
      </c>
      <c r="AL71" s="288">
        <f t="shared" si="26"/>
        <v>0</v>
      </c>
      <c r="AM71" s="288">
        <f t="shared" si="26"/>
        <v>0</v>
      </c>
      <c r="AN71" s="288">
        <f t="shared" si="26"/>
        <v>0</v>
      </c>
      <c r="AO71" s="288">
        <f t="shared" si="26"/>
        <v>0</v>
      </c>
      <c r="AP71" s="288">
        <f t="shared" si="26"/>
        <v>0</v>
      </c>
      <c r="AQ71" s="288">
        <f t="shared" si="26"/>
        <v>0</v>
      </c>
      <c r="AR71" s="288">
        <f t="shared" si="26"/>
        <v>0</v>
      </c>
      <c r="AS71" s="288">
        <f t="shared" si="26"/>
        <v>0</v>
      </c>
      <c r="AT71" s="288">
        <f t="shared" si="26"/>
        <v>0</v>
      </c>
      <c r="AU71" s="288">
        <f t="shared" si="26"/>
        <v>0</v>
      </c>
      <c r="AV71" s="288">
        <f t="shared" si="26"/>
        <v>0</v>
      </c>
      <c r="AW71" s="288">
        <f t="shared" si="26"/>
        <v>0</v>
      </c>
      <c r="AX71" s="288">
        <f t="shared" si="26"/>
        <v>0</v>
      </c>
      <c r="AY71" s="288">
        <f t="shared" si="26"/>
        <v>0</v>
      </c>
      <c r="AZ71" s="288">
        <f t="shared" si="26"/>
        <v>0</v>
      </c>
      <c r="BA71" s="288">
        <f t="shared" si="26"/>
        <v>0</v>
      </c>
      <c r="BB71" s="288">
        <f t="shared" si="26"/>
        <v>0</v>
      </c>
      <c r="BC71" s="1106"/>
      <c r="BD71" s="394"/>
      <c r="BE71" s="394"/>
      <c r="BF71" s="913" t="s">
        <v>505</v>
      </c>
      <c r="BG71" s="931"/>
      <c r="BH71" s="931"/>
      <c r="BI71" s="960"/>
      <c r="BJ71" s="960"/>
    </row>
    <row r="72" spans="1:62" s="1057" customFormat="1" ht="16.5" customHeight="1">
      <c r="A72" s="988"/>
      <c r="B72" s="718"/>
      <c r="C72" s="1012"/>
      <c r="D72" s="1012"/>
      <c r="E72" s="623">
        <v>17.100000000000001</v>
      </c>
      <c r="F72" s="714" t="str">
        <f t="shared" ca="1" si="22"/>
        <v>1</v>
      </c>
      <c r="G72" s="394"/>
      <c r="H72" s="394"/>
      <c r="I72" s="394"/>
      <c r="J72" s="394"/>
      <c r="K72" s="394"/>
      <c r="L72" s="394"/>
      <c r="M72" s="394"/>
      <c r="N72" s="394"/>
      <c r="O72" s="394"/>
      <c r="P72" s="394"/>
      <c r="Q72" s="394"/>
      <c r="R72" s="394"/>
      <c r="S72" s="394"/>
      <c r="T72" s="634" t="b">
        <f t="shared" si="23"/>
        <v>1</v>
      </c>
      <c r="U72" s="1012"/>
      <c r="V72" s="1012"/>
      <c r="W72" s="1012"/>
      <c r="X72" s="1405"/>
      <c r="Y72" s="1012"/>
      <c r="Z72" s="1405"/>
      <c r="AA72" s="394"/>
      <c r="AB72" s="110" t="str">
        <f>AB71&amp;".1"</f>
        <v>1.2.1</v>
      </c>
      <c r="AC72" s="417" t="s">
        <v>495</v>
      </c>
      <c r="AD72" s="324" t="s">
        <v>491</v>
      </c>
      <c r="AE72" s="1107"/>
      <c r="AF72" s="1107"/>
      <c r="AG72" s="1107"/>
      <c r="AH72" s="1107"/>
      <c r="AI72" s="233"/>
      <c r="AJ72" s="1103"/>
      <c r="AK72" s="1103"/>
      <c r="AL72" s="1107"/>
      <c r="AM72" s="1107"/>
      <c r="AN72" s="1107"/>
      <c r="AO72" s="1107"/>
      <c r="AP72" s="1107"/>
      <c r="AQ72" s="1107"/>
      <c r="AR72" s="1107"/>
      <c r="AS72" s="233"/>
      <c r="AT72" s="1103"/>
      <c r="AU72" s="1103"/>
      <c r="AV72" s="1107"/>
      <c r="AW72" s="1107"/>
      <c r="AX72" s="1107"/>
      <c r="AY72" s="1107"/>
      <c r="AZ72" s="1107"/>
      <c r="BA72" s="1107"/>
      <c r="BB72" s="1107"/>
      <c r="BC72" s="1106"/>
      <c r="BD72" s="394"/>
      <c r="BE72" s="394"/>
      <c r="BF72" s="913" t="s">
        <v>506</v>
      </c>
      <c r="BG72" s="931"/>
      <c r="BH72" s="931"/>
      <c r="BI72" s="960"/>
      <c r="BJ72" s="960"/>
    </row>
    <row r="73" spans="1:62" s="1057" customFormat="1" ht="16.5" customHeight="1">
      <c r="A73" s="988"/>
      <c r="B73" s="718"/>
      <c r="C73" s="1012"/>
      <c r="D73" s="1012"/>
      <c r="E73" s="623">
        <v>17.100000000000001</v>
      </c>
      <c r="F73" s="714" t="str">
        <f t="shared" ca="1" si="22"/>
        <v>1</v>
      </c>
      <c r="G73" s="394"/>
      <c r="H73" s="394"/>
      <c r="I73" s="394"/>
      <c r="J73" s="394"/>
      <c r="K73" s="394"/>
      <c r="L73" s="394"/>
      <c r="M73" s="394"/>
      <c r="N73" s="394"/>
      <c r="O73" s="394"/>
      <c r="P73" s="394"/>
      <c r="Q73" s="394"/>
      <c r="R73" s="394"/>
      <c r="S73" s="394"/>
      <c r="T73" s="634" t="b">
        <f t="shared" si="23"/>
        <v>1</v>
      </c>
      <c r="U73" s="1012"/>
      <c r="V73" s="1012"/>
      <c r="W73" s="1012"/>
      <c r="X73" s="1405"/>
      <c r="Y73" s="1012"/>
      <c r="Z73" s="1405"/>
      <c r="AA73" s="394"/>
      <c r="AB73" s="110" t="str">
        <f>AB71&amp;".2"</f>
        <v>1.2.2</v>
      </c>
      <c r="AC73" s="417" t="s">
        <v>497</v>
      </c>
      <c r="AD73" s="324" t="s">
        <v>491</v>
      </c>
      <c r="AE73" s="1107"/>
      <c r="AF73" s="1107"/>
      <c r="AG73" s="1107"/>
      <c r="AH73" s="1107"/>
      <c r="AI73" s="233"/>
      <c r="AJ73" s="1103"/>
      <c r="AK73" s="1103"/>
      <c r="AL73" s="1107"/>
      <c r="AM73" s="1107"/>
      <c r="AN73" s="1107"/>
      <c r="AO73" s="1107"/>
      <c r="AP73" s="1107"/>
      <c r="AQ73" s="1107"/>
      <c r="AR73" s="1107"/>
      <c r="AS73" s="233"/>
      <c r="AT73" s="1103"/>
      <c r="AU73" s="1103"/>
      <c r="AV73" s="1107"/>
      <c r="AW73" s="1107"/>
      <c r="AX73" s="1107"/>
      <c r="AY73" s="1107"/>
      <c r="AZ73" s="1107"/>
      <c r="BA73" s="1107"/>
      <c r="BB73" s="1107"/>
      <c r="BC73" s="1106"/>
      <c r="BD73" s="394"/>
      <c r="BE73" s="394"/>
      <c r="BF73" s="913" t="s">
        <v>507</v>
      </c>
      <c r="BG73" s="931"/>
      <c r="BH73" s="931"/>
      <c r="BI73" s="960"/>
      <c r="BJ73" s="960"/>
    </row>
    <row r="74" spans="1:62" s="1057" customFormat="1" ht="16.5" customHeight="1">
      <c r="A74" s="988"/>
      <c r="B74" s="718"/>
      <c r="C74" s="1012"/>
      <c r="D74" s="1012"/>
      <c r="E74" s="623">
        <v>17.100000000000001</v>
      </c>
      <c r="F74" s="714" t="str">
        <f t="shared" ca="1" si="22"/>
        <v>1</v>
      </c>
      <c r="G74" s="394"/>
      <c r="H74" s="394"/>
      <c r="I74" s="394"/>
      <c r="J74" s="394"/>
      <c r="K74" s="394"/>
      <c r="L74" s="394"/>
      <c r="M74" s="394"/>
      <c r="N74" s="394"/>
      <c r="O74" s="394"/>
      <c r="P74" s="394"/>
      <c r="Q74" s="394"/>
      <c r="R74" s="394"/>
      <c r="S74" s="394"/>
      <c r="T74" s="634" t="b">
        <f t="shared" si="23"/>
        <v>1</v>
      </c>
      <c r="U74" s="1012"/>
      <c r="V74" s="1012"/>
      <c r="W74" s="1012"/>
      <c r="X74" s="1405"/>
      <c r="Y74" s="1012"/>
      <c r="Z74" s="1405"/>
      <c r="AA74" s="394"/>
      <c r="AB74" s="110" t="str">
        <f>AB71&amp;".3"</f>
        <v>1.2.3</v>
      </c>
      <c r="AC74" s="417" t="s">
        <v>499</v>
      </c>
      <c r="AD74" s="324" t="s">
        <v>491</v>
      </c>
      <c r="AE74" s="1107"/>
      <c r="AF74" s="1107"/>
      <c r="AG74" s="1107"/>
      <c r="AH74" s="1107"/>
      <c r="AI74" s="233"/>
      <c r="AJ74" s="1103"/>
      <c r="AK74" s="1103"/>
      <c r="AL74" s="1107"/>
      <c r="AM74" s="1107"/>
      <c r="AN74" s="1107"/>
      <c r="AO74" s="1107"/>
      <c r="AP74" s="1107"/>
      <c r="AQ74" s="1107"/>
      <c r="AR74" s="1107"/>
      <c r="AS74" s="233"/>
      <c r="AT74" s="1103"/>
      <c r="AU74" s="1103"/>
      <c r="AV74" s="1107"/>
      <c r="AW74" s="1107"/>
      <c r="AX74" s="1107"/>
      <c r="AY74" s="1107"/>
      <c r="AZ74" s="1107"/>
      <c r="BA74" s="1107"/>
      <c r="BB74" s="1107"/>
      <c r="BC74" s="1106"/>
      <c r="BD74" s="394"/>
      <c r="BE74" s="394"/>
      <c r="BF74" s="913" t="s">
        <v>508</v>
      </c>
      <c r="BG74" s="931"/>
      <c r="BH74" s="931"/>
      <c r="BI74" s="960"/>
      <c r="BJ74" s="960"/>
    </row>
    <row r="75" spans="1:62" s="1057" customFormat="1" ht="16.5" customHeight="1">
      <c r="A75" s="988"/>
      <c r="B75" s="718"/>
      <c r="C75" s="1012"/>
      <c r="D75" s="1012"/>
      <c r="E75" s="623">
        <v>17.100000000000001</v>
      </c>
      <c r="F75" s="714" t="str">
        <f t="shared" ca="1" si="22"/>
        <v>1</v>
      </c>
      <c r="G75" s="394"/>
      <c r="H75" s="394"/>
      <c r="I75" s="394"/>
      <c r="J75" s="394"/>
      <c r="K75" s="394"/>
      <c r="L75" s="394"/>
      <c r="M75" s="394"/>
      <c r="N75" s="394"/>
      <c r="O75" s="394"/>
      <c r="P75" s="394"/>
      <c r="Q75" s="394"/>
      <c r="R75" s="394"/>
      <c r="S75" s="394"/>
      <c r="T75" s="634" t="b">
        <f t="shared" si="23"/>
        <v>1</v>
      </c>
      <c r="U75" s="1012"/>
      <c r="V75" s="1012"/>
      <c r="W75" s="1012"/>
      <c r="X75" s="1405"/>
      <c r="Y75" s="1012"/>
      <c r="Z75" s="1405"/>
      <c r="AA75" s="394"/>
      <c r="AB75" s="110" t="str">
        <f>AB71&amp;".4"</f>
        <v>1.2.4</v>
      </c>
      <c r="AC75" s="417" t="s">
        <v>501</v>
      </c>
      <c r="AD75" s="324" t="s">
        <v>491</v>
      </c>
      <c r="AE75" s="1107"/>
      <c r="AF75" s="1107"/>
      <c r="AG75" s="1107"/>
      <c r="AH75" s="1107"/>
      <c r="AI75" s="233"/>
      <c r="AJ75" s="1103"/>
      <c r="AK75" s="1103"/>
      <c r="AL75" s="1107"/>
      <c r="AM75" s="1107"/>
      <c r="AN75" s="1107"/>
      <c r="AO75" s="1107"/>
      <c r="AP75" s="1107"/>
      <c r="AQ75" s="1107"/>
      <c r="AR75" s="1107"/>
      <c r="AS75" s="233"/>
      <c r="AT75" s="1103"/>
      <c r="AU75" s="1103"/>
      <c r="AV75" s="1107"/>
      <c r="AW75" s="1107"/>
      <c r="AX75" s="1107"/>
      <c r="AY75" s="1107"/>
      <c r="AZ75" s="1107"/>
      <c r="BA75" s="1107"/>
      <c r="BB75" s="1107"/>
      <c r="BC75" s="1106"/>
      <c r="BD75" s="394"/>
      <c r="BE75" s="394"/>
      <c r="BF75" s="913" t="s">
        <v>509</v>
      </c>
      <c r="BG75" s="931"/>
      <c r="BH75" s="931"/>
      <c r="BI75" s="960"/>
      <c r="BJ75" s="960"/>
    </row>
    <row r="76" spans="1:62" s="1057" customFormat="1" ht="16.5" customHeight="1">
      <c r="A76" s="988"/>
      <c r="B76" s="718"/>
      <c r="C76" s="1012"/>
      <c r="D76" s="1012"/>
      <c r="E76" s="623">
        <v>17.100000000000001</v>
      </c>
      <c r="F76" s="714" t="str">
        <f t="shared" ca="1" si="22"/>
        <v>1</v>
      </c>
      <c r="G76" s="150" t="s">
        <v>510</v>
      </c>
      <c r="H76" s="394"/>
      <c r="I76" s="394"/>
      <c r="J76" s="394"/>
      <c r="K76" s="394"/>
      <c r="L76" s="394"/>
      <c r="M76" s="394"/>
      <c r="N76" s="394"/>
      <c r="O76" s="394"/>
      <c r="P76" s="394"/>
      <c r="Q76" s="394"/>
      <c r="R76" s="394"/>
      <c r="S76" s="394"/>
      <c r="T76" s="634" t="b">
        <f t="shared" si="23"/>
        <v>1</v>
      </c>
      <c r="U76" s="1012"/>
      <c r="V76" s="1012"/>
      <c r="W76" s="1012"/>
      <c r="X76" s="1405"/>
      <c r="Y76" s="1012"/>
      <c r="Z76" s="1405"/>
      <c r="AA76" s="394"/>
      <c r="AB76" s="387" t="s">
        <v>343</v>
      </c>
      <c r="AC76" s="809" t="s">
        <v>511</v>
      </c>
      <c r="AD76" s="324" t="s">
        <v>491</v>
      </c>
      <c r="AE76" s="288">
        <f t="shared" ref="AE76:BB76" si="27">AE77+AE81</f>
        <v>0</v>
      </c>
      <c r="AF76" s="288">
        <f t="shared" si="27"/>
        <v>0</v>
      </c>
      <c r="AG76" s="288">
        <f t="shared" si="27"/>
        <v>0</v>
      </c>
      <c r="AH76" s="288">
        <f t="shared" si="27"/>
        <v>0</v>
      </c>
      <c r="AI76" s="288">
        <f t="shared" si="27"/>
        <v>0</v>
      </c>
      <c r="AJ76" s="288">
        <f t="shared" si="27"/>
        <v>0</v>
      </c>
      <c r="AK76" s="288">
        <f t="shared" si="27"/>
        <v>0</v>
      </c>
      <c r="AL76" s="288">
        <f t="shared" si="27"/>
        <v>0</v>
      </c>
      <c r="AM76" s="288">
        <f t="shared" si="27"/>
        <v>0</v>
      </c>
      <c r="AN76" s="288">
        <f t="shared" si="27"/>
        <v>0</v>
      </c>
      <c r="AO76" s="288">
        <f t="shared" si="27"/>
        <v>0</v>
      </c>
      <c r="AP76" s="288">
        <f t="shared" si="27"/>
        <v>0</v>
      </c>
      <c r="AQ76" s="288">
        <f t="shared" si="27"/>
        <v>0</v>
      </c>
      <c r="AR76" s="288">
        <f t="shared" si="27"/>
        <v>0</v>
      </c>
      <c r="AS76" s="288">
        <f t="shared" si="27"/>
        <v>0</v>
      </c>
      <c r="AT76" s="288">
        <f t="shared" si="27"/>
        <v>0</v>
      </c>
      <c r="AU76" s="288">
        <f t="shared" si="27"/>
        <v>0</v>
      </c>
      <c r="AV76" s="288">
        <f t="shared" si="27"/>
        <v>0</v>
      </c>
      <c r="AW76" s="288">
        <f t="shared" si="27"/>
        <v>0</v>
      </c>
      <c r="AX76" s="288">
        <f t="shared" si="27"/>
        <v>0</v>
      </c>
      <c r="AY76" s="288">
        <f t="shared" si="27"/>
        <v>0</v>
      </c>
      <c r="AZ76" s="288">
        <f t="shared" si="27"/>
        <v>0</v>
      </c>
      <c r="BA76" s="288">
        <f t="shared" si="27"/>
        <v>0</v>
      </c>
      <c r="BB76" s="288">
        <f t="shared" si="27"/>
        <v>0</v>
      </c>
      <c r="BC76" s="1106"/>
      <c r="BD76" s="394"/>
      <c r="BE76" s="394"/>
      <c r="BF76" s="913" t="s">
        <v>512</v>
      </c>
      <c r="BG76" s="931"/>
      <c r="BH76" s="931"/>
      <c r="BI76" s="960"/>
      <c r="BJ76" s="960"/>
    </row>
    <row r="77" spans="1:62" s="1057" customFormat="1" ht="16.5" customHeight="1">
      <c r="A77" s="988"/>
      <c r="B77" s="718"/>
      <c r="C77" s="1012"/>
      <c r="D77" s="1012"/>
      <c r="E77" s="623">
        <v>17.100000000000001</v>
      </c>
      <c r="F77" s="714" t="str">
        <f t="shared" ca="1" si="22"/>
        <v>1</v>
      </c>
      <c r="G77" s="394"/>
      <c r="H77" s="394"/>
      <c r="I77" s="394"/>
      <c r="J77" s="394"/>
      <c r="K77" s="394"/>
      <c r="L77" s="394"/>
      <c r="M77" s="394"/>
      <c r="N77" s="394"/>
      <c r="O77" s="394"/>
      <c r="P77" s="394"/>
      <c r="Q77" s="394"/>
      <c r="R77" s="394"/>
      <c r="S77" s="394"/>
      <c r="T77" s="634" t="b">
        <f t="shared" si="23"/>
        <v>1</v>
      </c>
      <c r="U77" s="1012"/>
      <c r="V77" s="1012"/>
      <c r="W77" s="1012"/>
      <c r="X77" s="1405"/>
      <c r="Y77" s="1012"/>
      <c r="Z77" s="1405"/>
      <c r="AA77" s="394"/>
      <c r="AB77" s="387" t="s">
        <v>346</v>
      </c>
      <c r="AC77" s="808" t="s">
        <v>493</v>
      </c>
      <c r="AD77" s="324" t="s">
        <v>491</v>
      </c>
      <c r="AE77" s="288">
        <f t="shared" ref="AE77:BB77" si="28">SUM(AE78:AE80)</f>
        <v>0</v>
      </c>
      <c r="AF77" s="288">
        <f t="shared" si="28"/>
        <v>0</v>
      </c>
      <c r="AG77" s="288">
        <f t="shared" si="28"/>
        <v>0</v>
      </c>
      <c r="AH77" s="288">
        <f t="shared" si="28"/>
        <v>0</v>
      </c>
      <c r="AI77" s="288">
        <f t="shared" si="28"/>
        <v>0</v>
      </c>
      <c r="AJ77" s="288">
        <f t="shared" si="28"/>
        <v>0</v>
      </c>
      <c r="AK77" s="288">
        <f t="shared" si="28"/>
        <v>0</v>
      </c>
      <c r="AL77" s="288">
        <f t="shared" si="28"/>
        <v>0</v>
      </c>
      <c r="AM77" s="288">
        <f t="shared" si="28"/>
        <v>0</v>
      </c>
      <c r="AN77" s="288">
        <f t="shared" si="28"/>
        <v>0</v>
      </c>
      <c r="AO77" s="288">
        <f t="shared" si="28"/>
        <v>0</v>
      </c>
      <c r="AP77" s="288">
        <f t="shared" si="28"/>
        <v>0</v>
      </c>
      <c r="AQ77" s="288">
        <f t="shared" si="28"/>
        <v>0</v>
      </c>
      <c r="AR77" s="288">
        <f t="shared" si="28"/>
        <v>0</v>
      </c>
      <c r="AS77" s="288">
        <f t="shared" si="28"/>
        <v>0</v>
      </c>
      <c r="AT77" s="288">
        <f t="shared" si="28"/>
        <v>0</v>
      </c>
      <c r="AU77" s="288">
        <f t="shared" si="28"/>
        <v>0</v>
      </c>
      <c r="AV77" s="288">
        <f t="shared" si="28"/>
        <v>0</v>
      </c>
      <c r="AW77" s="288">
        <f t="shared" si="28"/>
        <v>0</v>
      </c>
      <c r="AX77" s="288">
        <f t="shared" si="28"/>
        <v>0</v>
      </c>
      <c r="AY77" s="288">
        <f t="shared" si="28"/>
        <v>0</v>
      </c>
      <c r="AZ77" s="288">
        <f t="shared" si="28"/>
        <v>0</v>
      </c>
      <c r="BA77" s="288">
        <f t="shared" si="28"/>
        <v>0</v>
      </c>
      <c r="BB77" s="288">
        <f t="shared" si="28"/>
        <v>0</v>
      </c>
      <c r="BC77" s="1106"/>
      <c r="BD77" s="394"/>
      <c r="BE77" s="394"/>
      <c r="BF77" s="913" t="s">
        <v>513</v>
      </c>
      <c r="BG77" s="931"/>
      <c r="BH77" s="931"/>
      <c r="BI77" s="960"/>
      <c r="BJ77" s="960"/>
    </row>
    <row r="78" spans="1:62" s="1057" customFormat="1" ht="17.25" hidden="1" customHeight="1">
      <c r="A78" s="988"/>
      <c r="B78" s="718"/>
      <c r="C78" s="1012"/>
      <c r="D78" s="1012"/>
      <c r="E78" s="623">
        <v>0</v>
      </c>
      <c r="F78" s="714" t="str">
        <f t="shared" ca="1" si="22"/>
        <v>1</v>
      </c>
      <c r="G78" s="394"/>
      <c r="H78" s="394"/>
      <c r="I78" s="394"/>
      <c r="J78" s="394"/>
      <c r="K78" s="394"/>
      <c r="L78" s="394"/>
      <c r="M78" s="394"/>
      <c r="N78" s="394"/>
      <c r="O78" s="394"/>
      <c r="P78" s="394"/>
      <c r="Q78" s="394"/>
      <c r="R78" s="394"/>
      <c r="S78" s="394"/>
      <c r="T78" s="634" t="b">
        <v>0</v>
      </c>
      <c r="U78" s="1012"/>
      <c r="V78" s="1012"/>
      <c r="W78" s="1012"/>
      <c r="X78" s="1405"/>
      <c r="Y78" s="1012"/>
      <c r="Z78" s="1405"/>
      <c r="AA78" s="394"/>
      <c r="AB78" s="393" t="s">
        <v>514</v>
      </c>
      <c r="AC78" s="810"/>
      <c r="AD78" s="323"/>
      <c r="AE78" s="838"/>
      <c r="AF78" s="838"/>
      <c r="AG78" s="838"/>
      <c r="AH78" s="838"/>
      <c r="AI78" s="838"/>
      <c r="AJ78" s="838"/>
      <c r="AK78" s="838"/>
      <c r="AL78" s="838"/>
      <c r="AM78" s="838"/>
      <c r="AN78" s="838"/>
      <c r="AO78" s="838"/>
      <c r="AP78" s="838"/>
      <c r="AQ78" s="838"/>
      <c r="AR78" s="838"/>
      <c r="AS78" s="838"/>
      <c r="AT78" s="838"/>
      <c r="AU78" s="838"/>
      <c r="AV78" s="838"/>
      <c r="AW78" s="838"/>
      <c r="AX78" s="838"/>
      <c r="AY78" s="838"/>
      <c r="AZ78" s="838"/>
      <c r="BA78" s="838"/>
      <c r="BB78" s="838"/>
      <c r="BC78" s="18"/>
      <c r="BD78" s="394"/>
      <c r="BE78" s="394"/>
      <c r="BF78" s="931"/>
      <c r="BG78" s="931"/>
      <c r="BH78" s="931"/>
      <c r="BI78" s="960"/>
      <c r="BJ78" s="960"/>
    </row>
    <row r="79" spans="1:62" s="1057" customFormat="1" ht="16.5" hidden="1" customHeight="1">
      <c r="A79" s="988"/>
      <c r="B79" s="718"/>
      <c r="C79" s="1012"/>
      <c r="D79" s="1012"/>
      <c r="E79" s="623">
        <v>17.100000000000001</v>
      </c>
      <c r="F79" s="714" t="str">
        <f t="shared" ca="1" si="22"/>
        <v>1</v>
      </c>
      <c r="G79" s="394"/>
      <c r="H79" s="394"/>
      <c r="I79" s="394"/>
      <c r="J79" s="394"/>
      <c r="K79" s="394"/>
      <c r="L79" s="394"/>
      <c r="M79" s="394"/>
      <c r="N79" s="394"/>
      <c r="O79" s="394"/>
      <c r="P79" s="394"/>
      <c r="Q79" s="394"/>
      <c r="R79" s="394"/>
      <c r="S79" s="394"/>
      <c r="T79" s="634" t="b">
        <f ca="1">AND(F79&gt;0,Y79&gt;0)</f>
        <v>0</v>
      </c>
      <c r="U79" s="1012"/>
      <c r="V79" s="1012"/>
      <c r="W79" s="113" t="s">
        <v>170</v>
      </c>
      <c r="X79" s="1405"/>
      <c r="Y79" s="113">
        <v>0</v>
      </c>
      <c r="Z79" s="1405"/>
      <c r="AA79" s="709" t="s">
        <v>157</v>
      </c>
      <c r="AB79" s="110" t="str">
        <f>"2.1."&amp;Y79</f>
        <v>2.1.0</v>
      </c>
      <c r="AC79" s="24"/>
      <c r="AD79" s="108" t="s">
        <v>491</v>
      </c>
      <c r="AE79" s="25"/>
      <c r="AF79" s="25"/>
      <c r="AG79" s="25"/>
      <c r="AH79" s="25"/>
      <c r="AI79" s="386"/>
      <c r="AJ79" s="1104"/>
      <c r="AK79" s="1104"/>
      <c r="AL79" s="25"/>
      <c r="AM79" s="25"/>
      <c r="AN79" s="25"/>
      <c r="AO79" s="25"/>
      <c r="AP79" s="25"/>
      <c r="AQ79" s="25"/>
      <c r="AR79" s="25"/>
      <c r="AS79" s="386"/>
      <c r="AT79" s="1104"/>
      <c r="AU79" s="1104"/>
      <c r="AV79" s="25"/>
      <c r="AW79" s="25"/>
      <c r="AX79" s="25"/>
      <c r="AY79" s="25"/>
      <c r="AZ79" s="25"/>
      <c r="BA79" s="25"/>
      <c r="BB79" s="25"/>
      <c r="BC79" s="22"/>
      <c r="BD79" s="394"/>
      <c r="BE79" s="394"/>
      <c r="BF79" s="913" t="s">
        <v>513</v>
      </c>
      <c r="BG79" s="913" t="s">
        <v>515</v>
      </c>
      <c r="BH79" s="963">
        <f>AC79</f>
        <v>0</v>
      </c>
      <c r="BI79" s="960"/>
      <c r="BJ79" s="960" t="b">
        <v>1</v>
      </c>
    </row>
    <row r="80" spans="1:62" s="1057" customFormat="1" ht="16.5" customHeight="1">
      <c r="A80" s="988"/>
      <c r="B80" s="718"/>
      <c r="C80" s="1012"/>
      <c r="D80" s="1012"/>
      <c r="E80" s="623">
        <v>17.100000000000001</v>
      </c>
      <c r="F80" s="714" t="str">
        <f t="shared" ca="1" si="22"/>
        <v>1</v>
      </c>
      <c r="G80" s="394"/>
      <c r="H80" s="394"/>
      <c r="I80" s="394"/>
      <c r="J80" s="394"/>
      <c r="K80" s="394"/>
      <c r="L80" s="394"/>
      <c r="M80" s="394"/>
      <c r="N80" s="394"/>
      <c r="O80" s="394"/>
      <c r="P80" s="394"/>
      <c r="Q80" s="394"/>
      <c r="R80" s="394"/>
      <c r="S80" s="394"/>
      <c r="T80" s="634" t="b">
        <f ca="1">F80&gt;0</f>
        <v>1</v>
      </c>
      <c r="U80" s="1012"/>
      <c r="V80" s="1012"/>
      <c r="W80" s="109" t="s">
        <v>399</v>
      </c>
      <c r="X80" s="1405"/>
      <c r="Y80" s="1012"/>
      <c r="Z80" s="1405"/>
      <c r="AA80" s="394"/>
      <c r="AB80" s="839"/>
      <c r="AC80" s="840" t="s">
        <v>172</v>
      </c>
      <c r="AD80" s="839"/>
      <c r="AE80" s="841"/>
      <c r="AF80" s="841"/>
      <c r="AG80" s="841"/>
      <c r="AH80" s="841"/>
      <c r="AI80" s="841"/>
      <c r="AJ80" s="841"/>
      <c r="AK80" s="841"/>
      <c r="AL80" s="841"/>
      <c r="AM80" s="841"/>
      <c r="AN80" s="841"/>
      <c r="AO80" s="841"/>
      <c r="AP80" s="841"/>
      <c r="AQ80" s="841"/>
      <c r="AR80" s="841"/>
      <c r="AS80" s="841"/>
      <c r="AT80" s="841"/>
      <c r="AU80" s="841"/>
      <c r="AV80" s="841"/>
      <c r="AW80" s="841"/>
      <c r="AX80" s="841"/>
      <c r="AY80" s="841"/>
      <c r="AZ80" s="841"/>
      <c r="BA80" s="841"/>
      <c r="BB80" s="841"/>
      <c r="BC80" s="1108"/>
      <c r="BD80" s="394"/>
      <c r="BE80" s="394"/>
      <c r="BF80" s="931"/>
      <c r="BG80" s="931"/>
      <c r="BH80" s="931"/>
      <c r="BI80" s="960" t="s">
        <v>515</v>
      </c>
      <c r="BJ80" s="960"/>
    </row>
    <row r="81" spans="1:62" s="1057" customFormat="1" ht="16.5" customHeight="1">
      <c r="A81" s="988"/>
      <c r="B81" s="718"/>
      <c r="C81" s="1012"/>
      <c r="D81" s="1012"/>
      <c r="E81" s="623">
        <v>17.100000000000001</v>
      </c>
      <c r="F81" s="714" t="str">
        <f t="shared" ca="1" si="22"/>
        <v>1</v>
      </c>
      <c r="G81" s="394"/>
      <c r="H81" s="394"/>
      <c r="I81" s="394"/>
      <c r="J81" s="394"/>
      <c r="K81" s="394"/>
      <c r="L81" s="394"/>
      <c r="M81" s="394"/>
      <c r="N81" s="394"/>
      <c r="O81" s="394"/>
      <c r="P81" s="394"/>
      <c r="Q81" s="394"/>
      <c r="R81" s="394"/>
      <c r="S81" s="394"/>
      <c r="T81" s="634" t="b">
        <f ca="1">T80</f>
        <v>1</v>
      </c>
      <c r="U81" s="1012"/>
      <c r="V81" s="1012"/>
      <c r="W81" s="1012"/>
      <c r="X81" s="1405"/>
      <c r="Y81" s="1012"/>
      <c r="Z81" s="1405"/>
      <c r="AA81" s="394"/>
      <c r="AB81" s="387" t="s">
        <v>373</v>
      </c>
      <c r="AC81" s="808" t="s">
        <v>504</v>
      </c>
      <c r="AD81" s="324" t="s">
        <v>491</v>
      </c>
      <c r="AE81" s="288">
        <f t="shared" ref="AE81:BB81" si="29">SUM(AE82:AE84)</f>
        <v>0</v>
      </c>
      <c r="AF81" s="288">
        <f t="shared" si="29"/>
        <v>0</v>
      </c>
      <c r="AG81" s="288">
        <f t="shared" si="29"/>
        <v>0</v>
      </c>
      <c r="AH81" s="288">
        <f t="shared" si="29"/>
        <v>0</v>
      </c>
      <c r="AI81" s="288">
        <f t="shared" si="29"/>
        <v>0</v>
      </c>
      <c r="AJ81" s="288">
        <f t="shared" si="29"/>
        <v>0</v>
      </c>
      <c r="AK81" s="288">
        <f t="shared" si="29"/>
        <v>0</v>
      </c>
      <c r="AL81" s="288">
        <f t="shared" si="29"/>
        <v>0</v>
      </c>
      <c r="AM81" s="288">
        <f t="shared" si="29"/>
        <v>0</v>
      </c>
      <c r="AN81" s="288">
        <f t="shared" si="29"/>
        <v>0</v>
      </c>
      <c r="AO81" s="288">
        <f t="shared" si="29"/>
        <v>0</v>
      </c>
      <c r="AP81" s="288">
        <f t="shared" si="29"/>
        <v>0</v>
      </c>
      <c r="AQ81" s="288">
        <f t="shared" si="29"/>
        <v>0</v>
      </c>
      <c r="AR81" s="288">
        <f t="shared" si="29"/>
        <v>0</v>
      </c>
      <c r="AS81" s="288">
        <f t="shared" si="29"/>
        <v>0</v>
      </c>
      <c r="AT81" s="288">
        <f t="shared" si="29"/>
        <v>0</v>
      </c>
      <c r="AU81" s="288">
        <f t="shared" si="29"/>
        <v>0</v>
      </c>
      <c r="AV81" s="288">
        <f t="shared" si="29"/>
        <v>0</v>
      </c>
      <c r="AW81" s="288">
        <f t="shared" si="29"/>
        <v>0</v>
      </c>
      <c r="AX81" s="288">
        <f t="shared" si="29"/>
        <v>0</v>
      </c>
      <c r="AY81" s="288">
        <f t="shared" si="29"/>
        <v>0</v>
      </c>
      <c r="AZ81" s="288">
        <f t="shared" si="29"/>
        <v>0</v>
      </c>
      <c r="BA81" s="288">
        <f t="shared" si="29"/>
        <v>0</v>
      </c>
      <c r="BB81" s="288">
        <f t="shared" si="29"/>
        <v>0</v>
      </c>
      <c r="BC81" s="1106"/>
      <c r="BD81" s="394"/>
      <c r="BE81" s="394"/>
      <c r="BF81" s="913" t="s">
        <v>516</v>
      </c>
      <c r="BG81" s="931"/>
      <c r="BH81" s="931"/>
      <c r="BI81" s="960"/>
      <c r="BJ81" s="960"/>
    </row>
    <row r="82" spans="1:62" s="1057" customFormat="1" ht="17.25" hidden="1" customHeight="1">
      <c r="A82" s="988"/>
      <c r="B82" s="718"/>
      <c r="C82" s="1012"/>
      <c r="D82" s="1012"/>
      <c r="E82" s="623">
        <v>0</v>
      </c>
      <c r="F82" s="714" t="str">
        <f t="shared" ca="1" si="22"/>
        <v>1</v>
      </c>
      <c r="G82" s="394"/>
      <c r="H82" s="394"/>
      <c r="I82" s="394"/>
      <c r="J82" s="394"/>
      <c r="K82" s="394"/>
      <c r="L82" s="394"/>
      <c r="M82" s="394"/>
      <c r="N82" s="394"/>
      <c r="O82" s="394"/>
      <c r="P82" s="394"/>
      <c r="Q82" s="394"/>
      <c r="R82" s="394"/>
      <c r="S82" s="394"/>
      <c r="T82" s="634" t="b">
        <v>0</v>
      </c>
      <c r="U82" s="1012"/>
      <c r="V82" s="1012"/>
      <c r="W82" s="1012"/>
      <c r="X82" s="1405"/>
      <c r="Y82" s="1012"/>
      <c r="Z82" s="1405"/>
      <c r="AA82" s="394"/>
      <c r="AB82" s="387" t="s">
        <v>517</v>
      </c>
      <c r="AC82" s="810"/>
      <c r="AD82" s="324"/>
      <c r="AE82" s="811"/>
      <c r="AF82" s="811"/>
      <c r="AG82" s="811"/>
      <c r="AH82" s="811"/>
      <c r="AI82" s="811"/>
      <c r="AJ82" s="811"/>
      <c r="AK82" s="811"/>
      <c r="AL82" s="811"/>
      <c r="AM82" s="811"/>
      <c r="AN82" s="811"/>
      <c r="AO82" s="811"/>
      <c r="AP82" s="811"/>
      <c r="AQ82" s="811"/>
      <c r="AR82" s="811"/>
      <c r="AS82" s="811"/>
      <c r="AT82" s="811"/>
      <c r="AU82" s="811"/>
      <c r="AV82" s="811"/>
      <c r="AW82" s="811"/>
      <c r="AX82" s="811"/>
      <c r="AY82" s="811"/>
      <c r="AZ82" s="811"/>
      <c r="BA82" s="811"/>
      <c r="BB82" s="811"/>
      <c r="BC82" s="22"/>
      <c r="BD82" s="394"/>
      <c r="BE82" s="394"/>
      <c r="BF82" s="931"/>
      <c r="BG82" s="931"/>
      <c r="BH82" s="931"/>
      <c r="BI82" s="960"/>
      <c r="BJ82" s="960"/>
    </row>
    <row r="83" spans="1:62" s="1057" customFormat="1" ht="16.5" hidden="1" customHeight="1">
      <c r="A83" s="988"/>
      <c r="B83" s="718"/>
      <c r="C83" s="1012"/>
      <c r="D83" s="1012"/>
      <c r="E83" s="623">
        <v>17.100000000000001</v>
      </c>
      <c r="F83" s="714" t="str">
        <f t="shared" ca="1" si="22"/>
        <v>1</v>
      </c>
      <c r="G83" s="394"/>
      <c r="H83" s="394"/>
      <c r="I83" s="394"/>
      <c r="J83" s="394"/>
      <c r="K83" s="394"/>
      <c r="L83" s="394"/>
      <c r="M83" s="394"/>
      <c r="N83" s="394"/>
      <c r="O83" s="394"/>
      <c r="P83" s="394"/>
      <c r="Q83" s="394"/>
      <c r="R83" s="394"/>
      <c r="S83" s="394"/>
      <c r="T83" s="634" t="b">
        <f ca="1">AND(F83&gt;0,Y83&gt;0)</f>
        <v>0</v>
      </c>
      <c r="U83" s="1012"/>
      <c r="V83" s="1012"/>
      <c r="W83" s="113" t="s">
        <v>170</v>
      </c>
      <c r="X83" s="1405"/>
      <c r="Y83" s="113">
        <v>0</v>
      </c>
      <c r="Z83" s="1405"/>
      <c r="AA83" s="709" t="s">
        <v>157</v>
      </c>
      <c r="AB83" s="110" t="str">
        <f>"2.2."&amp;Y83</f>
        <v>2.2.0</v>
      </c>
      <c r="AC83" s="24"/>
      <c r="AD83" s="108" t="s">
        <v>491</v>
      </c>
      <c r="AE83" s="25"/>
      <c r="AF83" s="25"/>
      <c r="AG83" s="25"/>
      <c r="AH83" s="25"/>
      <c r="AI83" s="386"/>
      <c r="AJ83" s="1104"/>
      <c r="AK83" s="1104"/>
      <c r="AL83" s="25"/>
      <c r="AM83" s="25"/>
      <c r="AN83" s="25"/>
      <c r="AO83" s="25"/>
      <c r="AP83" s="25"/>
      <c r="AQ83" s="25"/>
      <c r="AR83" s="25"/>
      <c r="AS83" s="386"/>
      <c r="AT83" s="1104"/>
      <c r="AU83" s="1104"/>
      <c r="AV83" s="25"/>
      <c r="AW83" s="25"/>
      <c r="AX83" s="25"/>
      <c r="AY83" s="25"/>
      <c r="AZ83" s="25"/>
      <c r="BA83" s="25"/>
      <c r="BB83" s="25"/>
      <c r="BC83" s="22"/>
      <c r="BD83" s="394"/>
      <c r="BE83" s="394"/>
      <c r="BF83" s="913" t="s">
        <v>516</v>
      </c>
      <c r="BG83" s="913" t="s">
        <v>518</v>
      </c>
      <c r="BH83" s="963">
        <f>AC83</f>
        <v>0</v>
      </c>
      <c r="BI83" s="960"/>
      <c r="BJ83" s="960"/>
    </row>
    <row r="84" spans="1:62" s="1057" customFormat="1" ht="16.5" customHeight="1">
      <c r="A84" s="988"/>
      <c r="B84" s="718"/>
      <c r="C84" s="1012"/>
      <c r="D84" s="1012"/>
      <c r="E84" s="623">
        <v>17.100000000000001</v>
      </c>
      <c r="F84" s="714" t="str">
        <f t="shared" ca="1" si="22"/>
        <v>1</v>
      </c>
      <c r="G84" s="394"/>
      <c r="H84" s="394"/>
      <c r="I84" s="394"/>
      <c r="J84" s="394"/>
      <c r="K84" s="394"/>
      <c r="L84" s="394"/>
      <c r="M84" s="394"/>
      <c r="N84" s="394"/>
      <c r="O84" s="394"/>
      <c r="P84" s="394"/>
      <c r="Q84" s="394"/>
      <c r="R84" s="394"/>
      <c r="S84" s="394"/>
      <c r="T84" s="634" t="b">
        <f ca="1">F84&gt;0</f>
        <v>1</v>
      </c>
      <c r="U84" s="1012"/>
      <c r="V84" s="1012"/>
      <c r="W84" s="109" t="s">
        <v>519</v>
      </c>
      <c r="X84" s="1405"/>
      <c r="Y84" s="1012"/>
      <c r="Z84" s="1405"/>
      <c r="AA84" s="394"/>
      <c r="AB84" s="812"/>
      <c r="AC84" s="767" t="s">
        <v>172</v>
      </c>
      <c r="AD84" s="812"/>
      <c r="AE84" s="813"/>
      <c r="AF84" s="813"/>
      <c r="AG84" s="813"/>
      <c r="AH84" s="813"/>
      <c r="AI84" s="813"/>
      <c r="AJ84" s="813"/>
      <c r="AK84" s="813"/>
      <c r="AL84" s="813"/>
      <c r="AM84" s="813"/>
      <c r="AN84" s="813"/>
      <c r="AO84" s="813"/>
      <c r="AP84" s="813"/>
      <c r="AQ84" s="813"/>
      <c r="AR84" s="813"/>
      <c r="AS84" s="813"/>
      <c r="AT84" s="813"/>
      <c r="AU84" s="813"/>
      <c r="AV84" s="813"/>
      <c r="AW84" s="813"/>
      <c r="AX84" s="813"/>
      <c r="AY84" s="813"/>
      <c r="AZ84" s="813"/>
      <c r="BA84" s="813"/>
      <c r="BB84" s="813"/>
      <c r="BC84" s="1106"/>
      <c r="BD84" s="394"/>
      <c r="BE84" s="394"/>
      <c r="BF84" s="931"/>
      <c r="BG84" s="931"/>
      <c r="BH84" s="931"/>
      <c r="BI84" s="960"/>
      <c r="BJ84" s="960"/>
    </row>
    <row r="85" spans="1:62" s="1057" customFormat="1" ht="16.5" customHeight="1">
      <c r="A85" s="988"/>
      <c r="B85" s="718"/>
      <c r="C85" s="1012"/>
      <c r="D85" s="1012"/>
      <c r="E85" s="623">
        <v>17.100000000000001</v>
      </c>
      <c r="F85" s="714" t="str">
        <f t="shared" ca="1" si="22"/>
        <v>1</v>
      </c>
      <c r="G85" s="394"/>
      <c r="H85" s="394"/>
      <c r="I85" s="394"/>
      <c r="J85" s="394"/>
      <c r="K85" s="394"/>
      <c r="L85" s="394"/>
      <c r="M85" s="394"/>
      <c r="N85" s="394"/>
      <c r="O85" s="394"/>
      <c r="P85" s="394"/>
      <c r="Q85" s="394"/>
      <c r="R85" s="394"/>
      <c r="S85" s="394"/>
      <c r="T85" s="634" t="b">
        <f t="shared" ref="T85:T99" ca="1" si="30">T84</f>
        <v>1</v>
      </c>
      <c r="U85" s="1012"/>
      <c r="V85" s="1012"/>
      <c r="W85" s="1012"/>
      <c r="X85" s="1405"/>
      <c r="Y85" s="1012"/>
      <c r="Z85" s="1405"/>
      <c r="AA85" s="394"/>
      <c r="AB85" s="387" t="s">
        <v>520</v>
      </c>
      <c r="AC85" s="770" t="s">
        <v>521</v>
      </c>
      <c r="AD85" s="324" t="s">
        <v>491</v>
      </c>
      <c r="AE85" s="288">
        <f t="shared" ref="AE85:BB85" si="31">AE86+AE87</f>
        <v>0</v>
      </c>
      <c r="AF85" s="288">
        <f t="shared" si="31"/>
        <v>0</v>
      </c>
      <c r="AG85" s="288">
        <f t="shared" si="31"/>
        <v>0</v>
      </c>
      <c r="AH85" s="288">
        <f t="shared" si="31"/>
        <v>0</v>
      </c>
      <c r="AI85" s="288">
        <f t="shared" si="31"/>
        <v>0</v>
      </c>
      <c r="AJ85" s="288">
        <f t="shared" si="31"/>
        <v>0</v>
      </c>
      <c r="AK85" s="288">
        <f t="shared" si="31"/>
        <v>0</v>
      </c>
      <c r="AL85" s="288">
        <f t="shared" si="31"/>
        <v>0</v>
      </c>
      <c r="AM85" s="288">
        <f t="shared" si="31"/>
        <v>0</v>
      </c>
      <c r="AN85" s="288">
        <f t="shared" si="31"/>
        <v>0</v>
      </c>
      <c r="AO85" s="288">
        <f t="shared" si="31"/>
        <v>0</v>
      </c>
      <c r="AP85" s="288">
        <f t="shared" si="31"/>
        <v>0</v>
      </c>
      <c r="AQ85" s="288">
        <f t="shared" si="31"/>
        <v>0</v>
      </c>
      <c r="AR85" s="288">
        <f t="shared" si="31"/>
        <v>0</v>
      </c>
      <c r="AS85" s="288">
        <f t="shared" si="31"/>
        <v>0</v>
      </c>
      <c r="AT85" s="288">
        <f t="shared" si="31"/>
        <v>0</v>
      </c>
      <c r="AU85" s="288">
        <f t="shared" si="31"/>
        <v>0</v>
      </c>
      <c r="AV85" s="288">
        <f t="shared" si="31"/>
        <v>0</v>
      </c>
      <c r="AW85" s="288">
        <f t="shared" si="31"/>
        <v>0</v>
      </c>
      <c r="AX85" s="288">
        <f t="shared" si="31"/>
        <v>0</v>
      </c>
      <c r="AY85" s="288">
        <f t="shared" si="31"/>
        <v>0</v>
      </c>
      <c r="AZ85" s="288">
        <f t="shared" si="31"/>
        <v>0</v>
      </c>
      <c r="BA85" s="288">
        <f t="shared" si="31"/>
        <v>0</v>
      </c>
      <c r="BB85" s="288">
        <f t="shared" si="31"/>
        <v>0</v>
      </c>
      <c r="BC85" s="1106"/>
      <c r="BD85" s="394"/>
      <c r="BE85" s="394"/>
      <c r="BF85" s="913" t="s">
        <v>522</v>
      </c>
      <c r="BG85" s="931"/>
      <c r="BH85" s="931"/>
      <c r="BI85" s="960"/>
      <c r="BJ85" s="960"/>
    </row>
    <row r="86" spans="1:62" s="1057" customFormat="1" ht="16.5" customHeight="1">
      <c r="A86" s="988"/>
      <c r="B86" s="718"/>
      <c r="C86" s="1012"/>
      <c r="D86" s="1012"/>
      <c r="E86" s="623">
        <v>17.100000000000001</v>
      </c>
      <c r="F86" s="714" t="str">
        <f t="shared" ca="1" si="22"/>
        <v>1</v>
      </c>
      <c r="G86" s="394"/>
      <c r="H86" s="394"/>
      <c r="I86" s="394"/>
      <c r="J86" s="394"/>
      <c r="K86" s="394"/>
      <c r="L86" s="394"/>
      <c r="M86" s="394"/>
      <c r="N86" s="394"/>
      <c r="O86" s="394"/>
      <c r="P86" s="394"/>
      <c r="Q86" s="394"/>
      <c r="R86" s="394"/>
      <c r="S86" s="394"/>
      <c r="T86" s="634" t="b">
        <f t="shared" ca="1" si="30"/>
        <v>1</v>
      </c>
      <c r="U86" s="1012"/>
      <c r="V86" s="1012"/>
      <c r="W86" s="1012"/>
      <c r="X86" s="1405"/>
      <c r="Y86" s="1012"/>
      <c r="Z86" s="1405"/>
      <c r="AA86" s="394"/>
      <c r="AB86" s="387" t="s">
        <v>523</v>
      </c>
      <c r="AC86" s="808" t="s">
        <v>493</v>
      </c>
      <c r="AD86" s="324" t="s">
        <v>491</v>
      </c>
      <c r="AE86" s="1107"/>
      <c r="AF86" s="1107"/>
      <c r="AG86" s="1107"/>
      <c r="AH86" s="1107"/>
      <c r="AI86" s="233"/>
      <c r="AJ86" s="1103"/>
      <c r="AK86" s="1103"/>
      <c r="AL86" s="1107"/>
      <c r="AM86" s="1107"/>
      <c r="AN86" s="1107"/>
      <c r="AO86" s="1107"/>
      <c r="AP86" s="1107"/>
      <c r="AQ86" s="1107"/>
      <c r="AR86" s="1107"/>
      <c r="AS86" s="233"/>
      <c r="AT86" s="1103"/>
      <c r="AU86" s="1103"/>
      <c r="AV86" s="1107"/>
      <c r="AW86" s="1107"/>
      <c r="AX86" s="1107"/>
      <c r="AY86" s="1107"/>
      <c r="AZ86" s="1107"/>
      <c r="BA86" s="1107"/>
      <c r="BB86" s="1107"/>
      <c r="BC86" s="1106"/>
      <c r="BD86" s="394"/>
      <c r="BE86" s="394"/>
      <c r="BF86" s="913" t="s">
        <v>524</v>
      </c>
      <c r="BG86" s="931"/>
      <c r="BH86" s="931"/>
      <c r="BI86" s="960"/>
      <c r="BJ86" s="960"/>
    </row>
    <row r="87" spans="1:62" s="1057" customFormat="1" ht="16.5" customHeight="1">
      <c r="A87" s="988"/>
      <c r="B87" s="718"/>
      <c r="C87" s="1012"/>
      <c r="D87" s="1012"/>
      <c r="E87" s="623">
        <v>17.100000000000001</v>
      </c>
      <c r="F87" s="714" t="str">
        <f t="shared" ca="1" si="22"/>
        <v>1</v>
      </c>
      <c r="G87" s="394"/>
      <c r="H87" s="394"/>
      <c r="I87" s="394"/>
      <c r="J87" s="394"/>
      <c r="K87" s="394"/>
      <c r="L87" s="394"/>
      <c r="M87" s="394"/>
      <c r="N87" s="394"/>
      <c r="O87" s="394"/>
      <c r="P87" s="394"/>
      <c r="Q87" s="394"/>
      <c r="R87" s="394"/>
      <c r="S87" s="394"/>
      <c r="T87" s="634" t="b">
        <f t="shared" ca="1" si="30"/>
        <v>1</v>
      </c>
      <c r="U87" s="1012"/>
      <c r="V87" s="1012"/>
      <c r="W87" s="1012"/>
      <c r="X87" s="1405"/>
      <c r="Y87" s="1012"/>
      <c r="Z87" s="1405"/>
      <c r="AA87" s="394"/>
      <c r="AB87" s="387" t="s">
        <v>525</v>
      </c>
      <c r="AC87" s="808" t="s">
        <v>504</v>
      </c>
      <c r="AD87" s="324" t="s">
        <v>491</v>
      </c>
      <c r="AE87" s="1109"/>
      <c r="AF87" s="1109"/>
      <c r="AG87" s="1109"/>
      <c r="AH87" s="1109"/>
      <c r="AI87" s="671"/>
      <c r="AJ87" s="1105"/>
      <c r="AK87" s="1105"/>
      <c r="AL87" s="1109"/>
      <c r="AM87" s="1109"/>
      <c r="AN87" s="1109"/>
      <c r="AO87" s="1109"/>
      <c r="AP87" s="1109"/>
      <c r="AQ87" s="1109"/>
      <c r="AR87" s="1109"/>
      <c r="AS87" s="671"/>
      <c r="AT87" s="1105"/>
      <c r="AU87" s="1105"/>
      <c r="AV87" s="1109"/>
      <c r="AW87" s="1109"/>
      <c r="AX87" s="1109"/>
      <c r="AY87" s="1109"/>
      <c r="AZ87" s="1109"/>
      <c r="BA87" s="1109"/>
      <c r="BB87" s="1109"/>
      <c r="BC87" s="1106"/>
      <c r="BD87" s="394"/>
      <c r="BE87" s="394"/>
      <c r="BF87" s="913" t="s">
        <v>526</v>
      </c>
      <c r="BG87" s="931"/>
      <c r="BH87" s="931"/>
      <c r="BI87" s="960"/>
      <c r="BJ87" s="960"/>
    </row>
    <row r="88" spans="1:62" s="1057" customFormat="1" ht="16.5" customHeight="1">
      <c r="A88" s="988"/>
      <c r="B88" s="718"/>
      <c r="C88" s="1012"/>
      <c r="D88" s="1012"/>
      <c r="E88" s="623">
        <v>17.100000000000001</v>
      </c>
      <c r="F88" s="714" t="str">
        <f t="shared" ca="1" si="22"/>
        <v>1</v>
      </c>
      <c r="G88" s="394"/>
      <c r="H88" s="394"/>
      <c r="I88" s="394"/>
      <c r="J88" s="394"/>
      <c r="K88" s="394"/>
      <c r="L88" s="394"/>
      <c r="M88" s="394"/>
      <c r="N88" s="394"/>
      <c r="O88" s="394"/>
      <c r="P88" s="394"/>
      <c r="Q88" s="394"/>
      <c r="R88" s="394"/>
      <c r="S88" s="394"/>
      <c r="T88" s="634" t="b">
        <f t="shared" ca="1" si="30"/>
        <v>1</v>
      </c>
      <c r="U88" s="1012"/>
      <c r="V88" s="1012"/>
      <c r="W88" s="1012"/>
      <c r="X88" s="1405"/>
      <c r="Y88" s="1012"/>
      <c r="Z88" s="1405"/>
      <c r="AA88" s="394"/>
      <c r="AB88" s="387" t="s">
        <v>527</v>
      </c>
      <c r="AC88" s="770" t="s">
        <v>528</v>
      </c>
      <c r="AD88" s="324" t="s">
        <v>491</v>
      </c>
      <c r="AE88" s="288">
        <f t="shared" ref="AE88:BB88" si="32">AE89+AE90</f>
        <v>72.581000000000003</v>
      </c>
      <c r="AF88" s="288">
        <f t="shared" si="32"/>
        <v>71.245000000000005</v>
      </c>
      <c r="AG88" s="288">
        <f t="shared" si="32"/>
        <v>71.245000000000005</v>
      </c>
      <c r="AH88" s="288">
        <f t="shared" si="32"/>
        <v>72.581230000000005</v>
      </c>
      <c r="AI88" s="288">
        <f t="shared" si="32"/>
        <v>72.581000000000003</v>
      </c>
      <c r="AJ88" s="288">
        <f t="shared" si="32"/>
        <v>0</v>
      </c>
      <c r="AK88" s="288">
        <f t="shared" si="32"/>
        <v>0</v>
      </c>
      <c r="AL88" s="288">
        <f t="shared" si="32"/>
        <v>0</v>
      </c>
      <c r="AM88" s="288">
        <f t="shared" si="32"/>
        <v>0</v>
      </c>
      <c r="AN88" s="288">
        <f t="shared" si="32"/>
        <v>0</v>
      </c>
      <c r="AO88" s="288">
        <f t="shared" si="32"/>
        <v>0</v>
      </c>
      <c r="AP88" s="288">
        <f t="shared" si="32"/>
        <v>0</v>
      </c>
      <c r="AQ88" s="288">
        <f t="shared" si="32"/>
        <v>0</v>
      </c>
      <c r="AR88" s="288">
        <f t="shared" si="32"/>
        <v>0</v>
      </c>
      <c r="AS88" s="288">
        <f t="shared" si="32"/>
        <v>72.581000000000003</v>
      </c>
      <c r="AT88" s="288">
        <f t="shared" si="32"/>
        <v>0</v>
      </c>
      <c r="AU88" s="288">
        <f t="shared" si="32"/>
        <v>0</v>
      </c>
      <c r="AV88" s="288">
        <f t="shared" si="32"/>
        <v>0</v>
      </c>
      <c r="AW88" s="288">
        <f t="shared" si="32"/>
        <v>0</v>
      </c>
      <c r="AX88" s="288">
        <f t="shared" si="32"/>
        <v>0</v>
      </c>
      <c r="AY88" s="288">
        <f t="shared" si="32"/>
        <v>0</v>
      </c>
      <c r="AZ88" s="288">
        <f t="shared" si="32"/>
        <v>0</v>
      </c>
      <c r="BA88" s="288">
        <f t="shared" si="32"/>
        <v>0</v>
      </c>
      <c r="BB88" s="288">
        <f t="shared" si="32"/>
        <v>0</v>
      </c>
      <c r="BC88" s="1106"/>
      <c r="BD88" s="394"/>
      <c r="BE88" s="394"/>
      <c r="BF88" s="913" t="s">
        <v>529</v>
      </c>
      <c r="BG88" s="931"/>
      <c r="BH88" s="931"/>
      <c r="BI88" s="960"/>
      <c r="BJ88" s="960"/>
    </row>
    <row r="89" spans="1:62" s="1057" customFormat="1" ht="16.5" customHeight="1">
      <c r="A89" s="988"/>
      <c r="B89" s="718"/>
      <c r="C89" s="1012"/>
      <c r="D89" s="1012"/>
      <c r="E89" s="623">
        <v>17.100000000000001</v>
      </c>
      <c r="F89" s="714" t="str">
        <f t="shared" ca="1" si="22"/>
        <v>1</v>
      </c>
      <c r="G89" s="394"/>
      <c r="H89" s="394"/>
      <c r="I89" s="394"/>
      <c r="J89" s="394"/>
      <c r="K89" s="394"/>
      <c r="L89" s="394"/>
      <c r="M89" s="394"/>
      <c r="N89" s="394"/>
      <c r="O89" s="394"/>
      <c r="P89" s="394"/>
      <c r="Q89" s="394"/>
      <c r="R89" s="394"/>
      <c r="S89" s="394"/>
      <c r="T89" s="634" t="b">
        <f t="shared" ca="1" si="30"/>
        <v>1</v>
      </c>
      <c r="U89" s="1012"/>
      <c r="V89" s="1012"/>
      <c r="W89" s="1012"/>
      <c r="X89" s="1405"/>
      <c r="Y89" s="1012"/>
      <c r="Z89" s="1405"/>
      <c r="AA89" s="394"/>
      <c r="AB89" s="387" t="s">
        <v>530</v>
      </c>
      <c r="AC89" s="808" t="s">
        <v>493</v>
      </c>
      <c r="AD89" s="324" t="s">
        <v>491</v>
      </c>
      <c r="AE89" s="288">
        <f t="shared" ref="AE89:BB89" si="33">AE66+AE77-AE86</f>
        <v>72.581000000000003</v>
      </c>
      <c r="AF89" s="288">
        <f t="shared" si="33"/>
        <v>71.245000000000005</v>
      </c>
      <c r="AG89" s="288">
        <f t="shared" si="33"/>
        <v>71.245000000000005</v>
      </c>
      <c r="AH89" s="288">
        <f t="shared" si="33"/>
        <v>72.581230000000005</v>
      </c>
      <c r="AI89" s="288">
        <f t="shared" si="33"/>
        <v>72.581000000000003</v>
      </c>
      <c r="AJ89" s="288">
        <f t="shared" si="33"/>
        <v>0</v>
      </c>
      <c r="AK89" s="288">
        <f t="shared" si="33"/>
        <v>0</v>
      </c>
      <c r="AL89" s="288">
        <f t="shared" si="33"/>
        <v>0</v>
      </c>
      <c r="AM89" s="288">
        <f t="shared" si="33"/>
        <v>0</v>
      </c>
      <c r="AN89" s="288">
        <f t="shared" si="33"/>
        <v>0</v>
      </c>
      <c r="AO89" s="288">
        <f t="shared" si="33"/>
        <v>0</v>
      </c>
      <c r="AP89" s="288">
        <f t="shared" si="33"/>
        <v>0</v>
      </c>
      <c r="AQ89" s="288">
        <f t="shared" si="33"/>
        <v>0</v>
      </c>
      <c r="AR89" s="288">
        <f t="shared" si="33"/>
        <v>0</v>
      </c>
      <c r="AS89" s="288">
        <f t="shared" si="33"/>
        <v>72.581000000000003</v>
      </c>
      <c r="AT89" s="288">
        <f t="shared" si="33"/>
        <v>0</v>
      </c>
      <c r="AU89" s="288">
        <f t="shared" si="33"/>
        <v>0</v>
      </c>
      <c r="AV89" s="288">
        <f t="shared" si="33"/>
        <v>0</v>
      </c>
      <c r="AW89" s="288">
        <f t="shared" si="33"/>
        <v>0</v>
      </c>
      <c r="AX89" s="288">
        <f t="shared" si="33"/>
        <v>0</v>
      </c>
      <c r="AY89" s="288">
        <f t="shared" si="33"/>
        <v>0</v>
      </c>
      <c r="AZ89" s="288">
        <f t="shared" si="33"/>
        <v>0</v>
      </c>
      <c r="BA89" s="288">
        <f t="shared" si="33"/>
        <v>0</v>
      </c>
      <c r="BB89" s="288">
        <f t="shared" si="33"/>
        <v>0</v>
      </c>
      <c r="BC89" s="1106"/>
      <c r="BD89" s="394"/>
      <c r="BE89" s="394"/>
      <c r="BF89" s="913" t="s">
        <v>531</v>
      </c>
      <c r="BG89" s="931"/>
      <c r="BH89" s="931"/>
      <c r="BI89" s="960"/>
      <c r="BJ89" s="960"/>
    </row>
    <row r="90" spans="1:62" s="1057" customFormat="1" ht="16.5" customHeight="1">
      <c r="A90" s="988"/>
      <c r="B90" s="718"/>
      <c r="C90" s="1012"/>
      <c r="D90" s="1012"/>
      <c r="E90" s="623">
        <v>17.100000000000001</v>
      </c>
      <c r="F90" s="714" t="str">
        <f t="shared" ca="1" si="22"/>
        <v>1</v>
      </c>
      <c r="G90" s="394"/>
      <c r="H90" s="394"/>
      <c r="I90" s="394"/>
      <c r="J90" s="394"/>
      <c r="K90" s="394"/>
      <c r="L90" s="394"/>
      <c r="M90" s="394"/>
      <c r="N90" s="394"/>
      <c r="O90" s="394"/>
      <c r="P90" s="394"/>
      <c r="Q90" s="394"/>
      <c r="R90" s="394"/>
      <c r="S90" s="394"/>
      <c r="T90" s="634" t="b">
        <f t="shared" ca="1" si="30"/>
        <v>1</v>
      </c>
      <c r="U90" s="1012"/>
      <c r="V90" s="1012"/>
      <c r="W90" s="1012"/>
      <c r="X90" s="1405"/>
      <c r="Y90" s="1012"/>
      <c r="Z90" s="1405"/>
      <c r="AA90" s="394"/>
      <c r="AB90" s="387" t="s">
        <v>532</v>
      </c>
      <c r="AC90" s="808" t="s">
        <v>504</v>
      </c>
      <c r="AD90" s="324" t="s">
        <v>491</v>
      </c>
      <c r="AE90" s="288">
        <f t="shared" ref="AE90:BB90" si="34">AE71+AE81-AE87</f>
        <v>0</v>
      </c>
      <c r="AF90" s="288">
        <f t="shared" si="34"/>
        <v>0</v>
      </c>
      <c r="AG90" s="288">
        <f t="shared" si="34"/>
        <v>0</v>
      </c>
      <c r="AH90" s="288">
        <f t="shared" si="34"/>
        <v>0</v>
      </c>
      <c r="AI90" s="288">
        <f t="shared" si="34"/>
        <v>0</v>
      </c>
      <c r="AJ90" s="288">
        <f t="shared" si="34"/>
        <v>0</v>
      </c>
      <c r="AK90" s="288">
        <f t="shared" si="34"/>
        <v>0</v>
      </c>
      <c r="AL90" s="288">
        <f t="shared" si="34"/>
        <v>0</v>
      </c>
      <c r="AM90" s="288">
        <f t="shared" si="34"/>
        <v>0</v>
      </c>
      <c r="AN90" s="288">
        <f t="shared" si="34"/>
        <v>0</v>
      </c>
      <c r="AO90" s="288">
        <f t="shared" si="34"/>
        <v>0</v>
      </c>
      <c r="AP90" s="288">
        <f t="shared" si="34"/>
        <v>0</v>
      </c>
      <c r="AQ90" s="288">
        <f t="shared" si="34"/>
        <v>0</v>
      </c>
      <c r="AR90" s="288">
        <f t="shared" si="34"/>
        <v>0</v>
      </c>
      <c r="AS90" s="288">
        <f t="shared" si="34"/>
        <v>0</v>
      </c>
      <c r="AT90" s="288">
        <f t="shared" si="34"/>
        <v>0</v>
      </c>
      <c r="AU90" s="288">
        <f t="shared" si="34"/>
        <v>0</v>
      </c>
      <c r="AV90" s="288">
        <f t="shared" si="34"/>
        <v>0</v>
      </c>
      <c r="AW90" s="288">
        <f t="shared" si="34"/>
        <v>0</v>
      </c>
      <c r="AX90" s="288">
        <f t="shared" si="34"/>
        <v>0</v>
      </c>
      <c r="AY90" s="288">
        <f t="shared" si="34"/>
        <v>0</v>
      </c>
      <c r="AZ90" s="288">
        <f t="shared" si="34"/>
        <v>0</v>
      </c>
      <c r="BA90" s="288">
        <f t="shared" si="34"/>
        <v>0</v>
      </c>
      <c r="BB90" s="288">
        <f t="shared" si="34"/>
        <v>0</v>
      </c>
      <c r="BC90" s="1106"/>
      <c r="BD90" s="394"/>
      <c r="BE90" s="394"/>
      <c r="BF90" s="913" t="s">
        <v>533</v>
      </c>
      <c r="BG90" s="931"/>
      <c r="BH90" s="931"/>
      <c r="BI90" s="960"/>
      <c r="BJ90" s="960"/>
    </row>
    <row r="91" spans="1:62" s="1057" customFormat="1" ht="16.5" customHeight="1">
      <c r="A91" s="988"/>
      <c r="B91" s="718"/>
      <c r="C91" s="1012"/>
      <c r="D91" s="1012"/>
      <c r="E91" s="623">
        <v>17.100000000000001</v>
      </c>
      <c r="F91" s="714" t="str">
        <f t="shared" ca="1" si="22"/>
        <v>1</v>
      </c>
      <c r="G91" s="394"/>
      <c r="H91" s="394"/>
      <c r="I91" s="394"/>
      <c r="J91" s="394"/>
      <c r="K91" s="394"/>
      <c r="L91" s="394"/>
      <c r="M91" s="394"/>
      <c r="N91" s="394"/>
      <c r="O91" s="394"/>
      <c r="P91" s="394"/>
      <c r="Q91" s="394"/>
      <c r="R91" s="394"/>
      <c r="S91" s="394"/>
      <c r="T91" s="634" t="b">
        <f t="shared" ca="1" si="30"/>
        <v>1</v>
      </c>
      <c r="U91" s="1012"/>
      <c r="V91" s="1012"/>
      <c r="W91" s="1012"/>
      <c r="X91" s="1405"/>
      <c r="Y91" s="1012"/>
      <c r="Z91" s="1405"/>
      <c r="AA91" s="394"/>
      <c r="AB91" s="387" t="s">
        <v>534</v>
      </c>
      <c r="AC91" s="770" t="s">
        <v>535</v>
      </c>
      <c r="AD91" s="324" t="s">
        <v>491</v>
      </c>
      <c r="AE91" s="288">
        <f t="shared" ref="AE91:BB91" si="35">AE92+AE93</f>
        <v>0</v>
      </c>
      <c r="AF91" s="288">
        <f t="shared" si="35"/>
        <v>0</v>
      </c>
      <c r="AG91" s="288">
        <f t="shared" si="35"/>
        <v>0</v>
      </c>
      <c r="AH91" s="288">
        <f t="shared" si="35"/>
        <v>0</v>
      </c>
      <c r="AI91" s="288">
        <f t="shared" si="35"/>
        <v>0</v>
      </c>
      <c r="AJ91" s="288">
        <f t="shared" si="35"/>
        <v>0</v>
      </c>
      <c r="AK91" s="288">
        <f t="shared" si="35"/>
        <v>0</v>
      </c>
      <c r="AL91" s="288">
        <f t="shared" si="35"/>
        <v>0</v>
      </c>
      <c r="AM91" s="288">
        <f t="shared" si="35"/>
        <v>0</v>
      </c>
      <c r="AN91" s="288">
        <f t="shared" si="35"/>
        <v>0</v>
      </c>
      <c r="AO91" s="288">
        <f t="shared" si="35"/>
        <v>0</v>
      </c>
      <c r="AP91" s="288">
        <f t="shared" si="35"/>
        <v>0</v>
      </c>
      <c r="AQ91" s="288">
        <f t="shared" si="35"/>
        <v>0</v>
      </c>
      <c r="AR91" s="288">
        <f t="shared" si="35"/>
        <v>0</v>
      </c>
      <c r="AS91" s="288">
        <f t="shared" si="35"/>
        <v>0</v>
      </c>
      <c r="AT91" s="288">
        <f t="shared" si="35"/>
        <v>0</v>
      </c>
      <c r="AU91" s="288">
        <f t="shared" si="35"/>
        <v>0</v>
      </c>
      <c r="AV91" s="288">
        <f t="shared" si="35"/>
        <v>0</v>
      </c>
      <c r="AW91" s="288">
        <f t="shared" si="35"/>
        <v>0</v>
      </c>
      <c r="AX91" s="288">
        <f t="shared" si="35"/>
        <v>0</v>
      </c>
      <c r="AY91" s="288">
        <f t="shared" si="35"/>
        <v>0</v>
      </c>
      <c r="AZ91" s="288">
        <f t="shared" si="35"/>
        <v>0</v>
      </c>
      <c r="BA91" s="288">
        <f t="shared" si="35"/>
        <v>0</v>
      </c>
      <c r="BB91" s="288">
        <f t="shared" si="35"/>
        <v>0</v>
      </c>
      <c r="BC91" s="1106"/>
      <c r="BD91" s="394"/>
      <c r="BE91" s="394"/>
      <c r="BF91" s="913" t="s">
        <v>536</v>
      </c>
      <c r="BG91" s="931"/>
      <c r="BH91" s="931"/>
      <c r="BI91" s="960"/>
      <c r="BJ91" s="960"/>
    </row>
    <row r="92" spans="1:62" s="1057" customFormat="1" ht="16.5" customHeight="1">
      <c r="A92" s="988"/>
      <c r="B92" s="718"/>
      <c r="C92" s="1012"/>
      <c r="D92" s="1012"/>
      <c r="E92" s="623">
        <v>17.100000000000001</v>
      </c>
      <c r="F92" s="714" t="str">
        <f t="shared" ca="1" si="22"/>
        <v>1</v>
      </c>
      <c r="G92" s="394"/>
      <c r="H92" s="394"/>
      <c r="I92" s="394"/>
      <c r="J92" s="394"/>
      <c r="K92" s="394"/>
      <c r="L92" s="394"/>
      <c r="M92" s="394"/>
      <c r="N92" s="394"/>
      <c r="O92" s="394"/>
      <c r="P92" s="394"/>
      <c r="Q92" s="394"/>
      <c r="R92" s="394"/>
      <c r="S92" s="394"/>
      <c r="T92" s="634" t="b">
        <f t="shared" ca="1" si="30"/>
        <v>1</v>
      </c>
      <c r="U92" s="1012"/>
      <c r="V92" s="1012"/>
      <c r="W92" s="1012"/>
      <c r="X92" s="1405"/>
      <c r="Y92" s="1012"/>
      <c r="Z92" s="1405"/>
      <c r="AA92" s="394"/>
      <c r="AB92" s="387" t="s">
        <v>537</v>
      </c>
      <c r="AC92" s="808" t="s">
        <v>493</v>
      </c>
      <c r="AD92" s="324" t="s">
        <v>491</v>
      </c>
      <c r="AE92" s="1107"/>
      <c r="AF92" s="1107"/>
      <c r="AG92" s="1107"/>
      <c r="AH92" s="1107"/>
      <c r="AI92" s="233"/>
      <c r="AJ92" s="1103"/>
      <c r="AK92" s="1103"/>
      <c r="AL92" s="1107"/>
      <c r="AM92" s="1107"/>
      <c r="AN92" s="1107"/>
      <c r="AO92" s="1107"/>
      <c r="AP92" s="1107"/>
      <c r="AQ92" s="1107"/>
      <c r="AR92" s="1107"/>
      <c r="AS92" s="233"/>
      <c r="AT92" s="1103"/>
      <c r="AU92" s="1103"/>
      <c r="AV92" s="1107"/>
      <c r="AW92" s="1107"/>
      <c r="AX92" s="1107"/>
      <c r="AY92" s="1107"/>
      <c r="AZ92" s="1107"/>
      <c r="BA92" s="1107"/>
      <c r="BB92" s="1107"/>
      <c r="BC92" s="1106"/>
      <c r="BD92" s="394"/>
      <c r="BE92" s="394"/>
      <c r="BF92" s="913" t="s">
        <v>538</v>
      </c>
      <c r="BG92" s="931"/>
      <c r="BH92" s="931"/>
      <c r="BI92" s="960"/>
      <c r="BJ92" s="960"/>
    </row>
    <row r="93" spans="1:62" s="1057" customFormat="1" ht="16.5" customHeight="1">
      <c r="A93" s="988"/>
      <c r="B93" s="718"/>
      <c r="C93" s="1012"/>
      <c r="D93" s="1012"/>
      <c r="E93" s="623">
        <v>17.100000000000001</v>
      </c>
      <c r="F93" s="714" t="str">
        <f t="shared" ca="1" si="22"/>
        <v>1</v>
      </c>
      <c r="G93" s="394"/>
      <c r="H93" s="394"/>
      <c r="I93" s="394"/>
      <c r="J93" s="394"/>
      <c r="K93" s="394"/>
      <c r="L93" s="394"/>
      <c r="M93" s="394"/>
      <c r="N93" s="394"/>
      <c r="O93" s="394"/>
      <c r="P93" s="394"/>
      <c r="Q93" s="394"/>
      <c r="R93" s="394"/>
      <c r="S93" s="394"/>
      <c r="T93" s="634" t="b">
        <f t="shared" ca="1" si="30"/>
        <v>1</v>
      </c>
      <c r="U93" s="1012"/>
      <c r="V93" s="1012"/>
      <c r="W93" s="1012"/>
      <c r="X93" s="1405"/>
      <c r="Y93" s="1012"/>
      <c r="Z93" s="1405"/>
      <c r="AA93" s="394"/>
      <c r="AB93" s="387" t="s">
        <v>539</v>
      </c>
      <c r="AC93" s="808" t="s">
        <v>504</v>
      </c>
      <c r="AD93" s="324" t="s">
        <v>491</v>
      </c>
      <c r="AE93" s="1107"/>
      <c r="AF93" s="1107"/>
      <c r="AG93" s="1107"/>
      <c r="AH93" s="1107"/>
      <c r="AI93" s="233"/>
      <c r="AJ93" s="1103"/>
      <c r="AK93" s="1103"/>
      <c r="AL93" s="1107"/>
      <c r="AM93" s="1107"/>
      <c r="AN93" s="1107"/>
      <c r="AO93" s="1107"/>
      <c r="AP93" s="1107"/>
      <c r="AQ93" s="1107"/>
      <c r="AR93" s="1107"/>
      <c r="AS93" s="233"/>
      <c r="AT93" s="1103"/>
      <c r="AU93" s="1103"/>
      <c r="AV93" s="1107"/>
      <c r="AW93" s="1107"/>
      <c r="AX93" s="1107"/>
      <c r="AY93" s="1107"/>
      <c r="AZ93" s="1107"/>
      <c r="BA93" s="1107"/>
      <c r="BB93" s="1107"/>
      <c r="BC93" s="1106"/>
      <c r="BD93" s="394"/>
      <c r="BE93" s="394"/>
      <c r="BF93" s="913" t="s">
        <v>540</v>
      </c>
      <c r="BG93" s="931"/>
      <c r="BH93" s="931"/>
      <c r="BI93" s="960"/>
      <c r="BJ93" s="960"/>
    </row>
    <row r="94" spans="1:62" s="1057" customFormat="1" ht="16.5" customHeight="1">
      <c r="A94" s="988"/>
      <c r="B94" s="718"/>
      <c r="C94" s="1012"/>
      <c r="D94" s="1012"/>
      <c r="E94" s="623">
        <v>17.100000000000001</v>
      </c>
      <c r="F94" s="714" t="str">
        <f t="shared" ca="1" si="22"/>
        <v>1</v>
      </c>
      <c r="G94" s="394"/>
      <c r="H94" s="394"/>
      <c r="I94" s="394"/>
      <c r="J94" s="394"/>
      <c r="K94" s="394"/>
      <c r="L94" s="394"/>
      <c r="M94" s="394"/>
      <c r="N94" s="394"/>
      <c r="O94" s="394"/>
      <c r="P94" s="394"/>
      <c r="Q94" s="394"/>
      <c r="R94" s="394"/>
      <c r="S94" s="394"/>
      <c r="T94" s="634" t="b">
        <f t="shared" ca="1" si="30"/>
        <v>1</v>
      </c>
      <c r="U94" s="1012"/>
      <c r="V94" s="1012"/>
      <c r="W94" s="1012"/>
      <c r="X94" s="1405"/>
      <c r="Y94" s="1012"/>
      <c r="Z94" s="1405"/>
      <c r="AA94" s="394"/>
      <c r="AB94" s="387" t="s">
        <v>541</v>
      </c>
      <c r="AC94" s="814" t="s">
        <v>542</v>
      </c>
      <c r="AD94" s="324" t="s">
        <v>491</v>
      </c>
      <c r="AE94" s="288">
        <f t="shared" ref="AE94:BB94" si="36">AE95+AE96</f>
        <v>0</v>
      </c>
      <c r="AF94" s="288">
        <f t="shared" si="36"/>
        <v>0</v>
      </c>
      <c r="AG94" s="288">
        <f t="shared" si="36"/>
        <v>0</v>
      </c>
      <c r="AH94" s="288">
        <f t="shared" si="36"/>
        <v>0</v>
      </c>
      <c r="AI94" s="288">
        <f t="shared" si="36"/>
        <v>0</v>
      </c>
      <c r="AJ94" s="288">
        <f t="shared" si="36"/>
        <v>0</v>
      </c>
      <c r="AK94" s="288">
        <f t="shared" si="36"/>
        <v>0</v>
      </c>
      <c r="AL94" s="288">
        <f t="shared" si="36"/>
        <v>0</v>
      </c>
      <c r="AM94" s="288">
        <f t="shared" si="36"/>
        <v>0</v>
      </c>
      <c r="AN94" s="288">
        <f t="shared" si="36"/>
        <v>0</v>
      </c>
      <c r="AO94" s="288">
        <f t="shared" si="36"/>
        <v>0</v>
      </c>
      <c r="AP94" s="288">
        <f t="shared" si="36"/>
        <v>0</v>
      </c>
      <c r="AQ94" s="288">
        <f t="shared" si="36"/>
        <v>0</v>
      </c>
      <c r="AR94" s="288">
        <f t="shared" si="36"/>
        <v>0</v>
      </c>
      <c r="AS94" s="288">
        <f t="shared" si="36"/>
        <v>0</v>
      </c>
      <c r="AT94" s="288">
        <f t="shared" si="36"/>
        <v>0</v>
      </c>
      <c r="AU94" s="288">
        <f t="shared" si="36"/>
        <v>0</v>
      </c>
      <c r="AV94" s="288">
        <f t="shared" si="36"/>
        <v>0</v>
      </c>
      <c r="AW94" s="288">
        <f t="shared" si="36"/>
        <v>0</v>
      </c>
      <c r="AX94" s="288">
        <f t="shared" si="36"/>
        <v>0</v>
      </c>
      <c r="AY94" s="288">
        <f t="shared" si="36"/>
        <v>0</v>
      </c>
      <c r="AZ94" s="288">
        <f t="shared" si="36"/>
        <v>0</v>
      </c>
      <c r="BA94" s="288">
        <f t="shared" si="36"/>
        <v>0</v>
      </c>
      <c r="BB94" s="288">
        <f t="shared" si="36"/>
        <v>0</v>
      </c>
      <c r="BC94" s="1106"/>
      <c r="BD94" s="394"/>
      <c r="BE94" s="394"/>
      <c r="BF94" s="913" t="s">
        <v>543</v>
      </c>
      <c r="BG94" s="931"/>
      <c r="BH94" s="931"/>
      <c r="BI94" s="960"/>
      <c r="BJ94" s="960"/>
    </row>
    <row r="95" spans="1:62" s="1057" customFormat="1" ht="16.5" customHeight="1">
      <c r="A95" s="988"/>
      <c r="B95" s="718"/>
      <c r="C95" s="1012"/>
      <c r="D95" s="1012"/>
      <c r="E95" s="623">
        <v>17.100000000000001</v>
      </c>
      <c r="F95" s="714" t="str">
        <f t="shared" ca="1" si="22"/>
        <v>1</v>
      </c>
      <c r="G95" s="394"/>
      <c r="H95" s="394"/>
      <c r="I95" s="394"/>
      <c r="J95" s="394"/>
      <c r="K95" s="394"/>
      <c r="L95" s="394"/>
      <c r="M95" s="394"/>
      <c r="N95" s="394"/>
      <c r="O95" s="394"/>
      <c r="P95" s="394"/>
      <c r="Q95" s="394"/>
      <c r="R95" s="394"/>
      <c r="S95" s="394"/>
      <c r="T95" s="634" t="b">
        <f t="shared" ca="1" si="30"/>
        <v>1</v>
      </c>
      <c r="U95" s="1012"/>
      <c r="V95" s="1012"/>
      <c r="W95" s="1012"/>
      <c r="X95" s="1405"/>
      <c r="Y95" s="1012"/>
      <c r="Z95" s="1405"/>
      <c r="AA95" s="394"/>
      <c r="AB95" s="387" t="s">
        <v>544</v>
      </c>
      <c r="AC95" s="808" t="s">
        <v>493</v>
      </c>
      <c r="AD95" s="324" t="s">
        <v>491</v>
      </c>
      <c r="AE95" s="1107"/>
      <c r="AF95" s="1107"/>
      <c r="AG95" s="1107"/>
      <c r="AH95" s="1107"/>
      <c r="AI95" s="233"/>
      <c r="AJ95" s="1103"/>
      <c r="AK95" s="1103"/>
      <c r="AL95" s="1107"/>
      <c r="AM95" s="1107"/>
      <c r="AN95" s="1107"/>
      <c r="AO95" s="1107"/>
      <c r="AP95" s="1107"/>
      <c r="AQ95" s="1107"/>
      <c r="AR95" s="1107"/>
      <c r="AS95" s="233"/>
      <c r="AT95" s="1103"/>
      <c r="AU95" s="1103"/>
      <c r="AV95" s="1107"/>
      <c r="AW95" s="1107"/>
      <c r="AX95" s="1107"/>
      <c r="AY95" s="1107"/>
      <c r="AZ95" s="1107"/>
      <c r="BA95" s="1107"/>
      <c r="BB95" s="1107"/>
      <c r="BC95" s="1106"/>
      <c r="BD95" s="394"/>
      <c r="BE95" s="394"/>
      <c r="BF95" s="913" t="s">
        <v>545</v>
      </c>
      <c r="BG95" s="931"/>
      <c r="BH95" s="931"/>
      <c r="BI95" s="960"/>
      <c r="BJ95" s="960"/>
    </row>
    <row r="96" spans="1:62" s="1057" customFormat="1" ht="16.5" customHeight="1">
      <c r="A96" s="988"/>
      <c r="B96" s="718"/>
      <c r="C96" s="1012"/>
      <c r="D96" s="1012"/>
      <c r="E96" s="623">
        <v>17.100000000000001</v>
      </c>
      <c r="F96" s="714" t="str">
        <f t="shared" ca="1" si="22"/>
        <v>1</v>
      </c>
      <c r="G96" s="394"/>
      <c r="H96" s="394"/>
      <c r="I96" s="394"/>
      <c r="J96" s="394"/>
      <c r="K96" s="394"/>
      <c r="L96" s="394"/>
      <c r="M96" s="394"/>
      <c r="N96" s="394"/>
      <c r="O96" s="394"/>
      <c r="P96" s="394"/>
      <c r="Q96" s="394"/>
      <c r="R96" s="394"/>
      <c r="S96" s="394"/>
      <c r="T96" s="634" t="b">
        <f t="shared" ca="1" si="30"/>
        <v>1</v>
      </c>
      <c r="U96" s="1012"/>
      <c r="V96" s="1012"/>
      <c r="W96" s="1012"/>
      <c r="X96" s="1405"/>
      <c r="Y96" s="1012"/>
      <c r="Z96" s="1405"/>
      <c r="AA96" s="394"/>
      <c r="AB96" s="387" t="s">
        <v>546</v>
      </c>
      <c r="AC96" s="815" t="s">
        <v>504</v>
      </c>
      <c r="AD96" s="324" t="s">
        <v>491</v>
      </c>
      <c r="AE96" s="1107"/>
      <c r="AF96" s="1107"/>
      <c r="AG96" s="1107"/>
      <c r="AH96" s="1107"/>
      <c r="AI96" s="233"/>
      <c r="AJ96" s="1103"/>
      <c r="AK96" s="1103"/>
      <c r="AL96" s="1107"/>
      <c r="AM96" s="1107"/>
      <c r="AN96" s="1107"/>
      <c r="AO96" s="1107"/>
      <c r="AP96" s="1107"/>
      <c r="AQ96" s="1107"/>
      <c r="AR96" s="1107"/>
      <c r="AS96" s="233"/>
      <c r="AT96" s="1103"/>
      <c r="AU96" s="1103"/>
      <c r="AV96" s="1107"/>
      <c r="AW96" s="1107"/>
      <c r="AX96" s="1107"/>
      <c r="AY96" s="1107"/>
      <c r="AZ96" s="1107"/>
      <c r="BA96" s="1107"/>
      <c r="BB96" s="1107"/>
      <c r="BC96" s="1106"/>
      <c r="BD96" s="394"/>
      <c r="BE96" s="394"/>
      <c r="BF96" s="913" t="s">
        <v>547</v>
      </c>
      <c r="BG96" s="931"/>
      <c r="BH96" s="931"/>
      <c r="BI96" s="960"/>
      <c r="BJ96" s="960"/>
    </row>
    <row r="97" spans="1:62" s="1057" customFormat="1" ht="16.5" customHeight="1">
      <c r="A97" s="988"/>
      <c r="B97" s="718"/>
      <c r="C97" s="1012"/>
      <c r="D97" s="1012"/>
      <c r="E97" s="623">
        <v>17.100000000000001</v>
      </c>
      <c r="F97" s="714" t="str">
        <f t="shared" ca="1" si="22"/>
        <v>1</v>
      </c>
      <c r="G97" s="150" t="s">
        <v>548</v>
      </c>
      <c r="H97" s="394"/>
      <c r="I97" s="394"/>
      <c r="J97" s="394"/>
      <c r="K97" s="394"/>
      <c r="L97" s="394"/>
      <c r="M97" s="394"/>
      <c r="N97" s="394"/>
      <c r="O97" s="394"/>
      <c r="P97" s="394"/>
      <c r="Q97" s="394"/>
      <c r="R97" s="394"/>
      <c r="S97" s="394"/>
      <c r="T97" s="634" t="b">
        <f t="shared" ca="1" si="30"/>
        <v>1</v>
      </c>
      <c r="U97" s="1012"/>
      <c r="V97" s="1012"/>
      <c r="W97" s="1012"/>
      <c r="X97" s="1405"/>
      <c r="Y97" s="1012"/>
      <c r="Z97" s="1405"/>
      <c r="AA97" s="394"/>
      <c r="AB97" s="499" t="s">
        <v>549</v>
      </c>
      <c r="AC97" s="816" t="s">
        <v>550</v>
      </c>
      <c r="AD97" s="324" t="s">
        <v>491</v>
      </c>
      <c r="AE97" s="288">
        <f t="shared" ref="AE97:BB97" si="37">AE88-AE91-AE94</f>
        <v>72.581000000000003</v>
      </c>
      <c r="AF97" s="288">
        <f t="shared" si="37"/>
        <v>71.245000000000005</v>
      </c>
      <c r="AG97" s="288">
        <f t="shared" si="37"/>
        <v>71.245000000000005</v>
      </c>
      <c r="AH97" s="288">
        <f t="shared" si="37"/>
        <v>72.581230000000005</v>
      </c>
      <c r="AI97" s="288">
        <f t="shared" si="37"/>
        <v>72.581000000000003</v>
      </c>
      <c r="AJ97" s="288">
        <f t="shared" si="37"/>
        <v>0</v>
      </c>
      <c r="AK97" s="288">
        <f t="shared" si="37"/>
        <v>0</v>
      </c>
      <c r="AL97" s="288">
        <f t="shared" si="37"/>
        <v>0</v>
      </c>
      <c r="AM97" s="288">
        <f t="shared" si="37"/>
        <v>0</v>
      </c>
      <c r="AN97" s="288">
        <f t="shared" si="37"/>
        <v>0</v>
      </c>
      <c r="AO97" s="288">
        <f t="shared" si="37"/>
        <v>0</v>
      </c>
      <c r="AP97" s="288">
        <f t="shared" si="37"/>
        <v>0</v>
      </c>
      <c r="AQ97" s="288">
        <f t="shared" si="37"/>
        <v>0</v>
      </c>
      <c r="AR97" s="288">
        <f t="shared" si="37"/>
        <v>0</v>
      </c>
      <c r="AS97" s="288">
        <f t="shared" si="37"/>
        <v>72.581000000000003</v>
      </c>
      <c r="AT97" s="288">
        <f t="shared" si="37"/>
        <v>0</v>
      </c>
      <c r="AU97" s="288">
        <f t="shared" si="37"/>
        <v>0</v>
      </c>
      <c r="AV97" s="288">
        <f t="shared" si="37"/>
        <v>0</v>
      </c>
      <c r="AW97" s="288">
        <f t="shared" si="37"/>
        <v>0</v>
      </c>
      <c r="AX97" s="288">
        <f t="shared" si="37"/>
        <v>0</v>
      </c>
      <c r="AY97" s="288">
        <f t="shared" si="37"/>
        <v>0</v>
      </c>
      <c r="AZ97" s="288">
        <f t="shared" si="37"/>
        <v>0</v>
      </c>
      <c r="BA97" s="288">
        <f t="shared" si="37"/>
        <v>0</v>
      </c>
      <c r="BB97" s="288">
        <f t="shared" si="37"/>
        <v>0</v>
      </c>
      <c r="BC97" s="1106"/>
      <c r="BD97" s="394"/>
      <c r="BE97" s="394"/>
      <c r="BF97" s="913" t="s">
        <v>551</v>
      </c>
      <c r="BG97" s="931"/>
      <c r="BH97" s="931"/>
      <c r="BI97" s="960"/>
      <c r="BJ97" s="960"/>
    </row>
    <row r="98" spans="1:62" s="1057" customFormat="1" ht="16.5" customHeight="1">
      <c r="A98" s="988"/>
      <c r="B98" s="718"/>
      <c r="C98" s="1012"/>
      <c r="D98" s="1012"/>
      <c r="E98" s="623">
        <v>17.100000000000001</v>
      </c>
      <c r="F98" s="714" t="str">
        <f t="shared" ca="1" si="22"/>
        <v>1</v>
      </c>
      <c r="G98" s="394"/>
      <c r="H98" s="394"/>
      <c r="I98" s="394"/>
      <c r="J98" s="394"/>
      <c r="K98" s="394"/>
      <c r="L98" s="394"/>
      <c r="M98" s="394"/>
      <c r="N98" s="394"/>
      <c r="O98" s="394"/>
      <c r="P98" s="394"/>
      <c r="Q98" s="394"/>
      <c r="R98" s="394"/>
      <c r="S98" s="394"/>
      <c r="T98" s="634" t="b">
        <f t="shared" ca="1" si="30"/>
        <v>1</v>
      </c>
      <c r="U98" s="1012"/>
      <c r="V98" s="1012"/>
      <c r="W98" s="1012"/>
      <c r="X98" s="1405"/>
      <c r="Y98" s="1012"/>
      <c r="Z98" s="1405"/>
      <c r="AA98" s="394"/>
      <c r="AB98" s="446" t="s">
        <v>552</v>
      </c>
      <c r="AC98" s="102" t="s">
        <v>493</v>
      </c>
      <c r="AD98" s="324" t="s">
        <v>491</v>
      </c>
      <c r="AE98" s="288">
        <f t="shared" ref="AE98:BB98" si="38">AE89-AE92-AE95</f>
        <v>72.581000000000003</v>
      </c>
      <c r="AF98" s="288">
        <f t="shared" si="38"/>
        <v>71.245000000000005</v>
      </c>
      <c r="AG98" s="288">
        <f t="shared" si="38"/>
        <v>71.245000000000005</v>
      </c>
      <c r="AH98" s="288">
        <f t="shared" si="38"/>
        <v>72.581230000000005</v>
      </c>
      <c r="AI98" s="288">
        <f t="shared" si="38"/>
        <v>72.581000000000003</v>
      </c>
      <c r="AJ98" s="288">
        <f t="shared" si="38"/>
        <v>0</v>
      </c>
      <c r="AK98" s="288">
        <f t="shared" si="38"/>
        <v>0</v>
      </c>
      <c r="AL98" s="288">
        <f t="shared" si="38"/>
        <v>0</v>
      </c>
      <c r="AM98" s="288">
        <f t="shared" si="38"/>
        <v>0</v>
      </c>
      <c r="AN98" s="288">
        <f t="shared" si="38"/>
        <v>0</v>
      </c>
      <c r="AO98" s="288">
        <f t="shared" si="38"/>
        <v>0</v>
      </c>
      <c r="AP98" s="288">
        <f t="shared" si="38"/>
        <v>0</v>
      </c>
      <c r="AQ98" s="288">
        <f t="shared" si="38"/>
        <v>0</v>
      </c>
      <c r="AR98" s="288">
        <f t="shared" si="38"/>
        <v>0</v>
      </c>
      <c r="AS98" s="288">
        <f t="shared" si="38"/>
        <v>72.581000000000003</v>
      </c>
      <c r="AT98" s="288">
        <f t="shared" si="38"/>
        <v>0</v>
      </c>
      <c r="AU98" s="288">
        <f t="shared" si="38"/>
        <v>0</v>
      </c>
      <c r="AV98" s="288">
        <f t="shared" si="38"/>
        <v>0</v>
      </c>
      <c r="AW98" s="288">
        <f t="shared" si="38"/>
        <v>0</v>
      </c>
      <c r="AX98" s="288">
        <f t="shared" si="38"/>
        <v>0</v>
      </c>
      <c r="AY98" s="288">
        <f t="shared" si="38"/>
        <v>0</v>
      </c>
      <c r="AZ98" s="288">
        <f t="shared" si="38"/>
        <v>0</v>
      </c>
      <c r="BA98" s="288">
        <f t="shared" si="38"/>
        <v>0</v>
      </c>
      <c r="BB98" s="288">
        <f t="shared" si="38"/>
        <v>0</v>
      </c>
      <c r="BC98" s="1106"/>
      <c r="BD98" s="394"/>
      <c r="BE98" s="394"/>
      <c r="BF98" s="913" t="s">
        <v>553</v>
      </c>
      <c r="BG98" s="931"/>
      <c r="BH98" s="931"/>
      <c r="BI98" s="960"/>
      <c r="BJ98" s="960"/>
    </row>
    <row r="99" spans="1:62" s="1057" customFormat="1" ht="16.5" customHeight="1">
      <c r="A99" s="988"/>
      <c r="B99" s="718"/>
      <c r="C99" s="1012"/>
      <c r="D99" s="1012"/>
      <c r="E99" s="623">
        <v>17.100000000000001</v>
      </c>
      <c r="F99" s="714" t="str">
        <f t="shared" ca="1" si="22"/>
        <v>1</v>
      </c>
      <c r="G99" s="394"/>
      <c r="H99" s="394"/>
      <c r="I99" s="394"/>
      <c r="J99" s="394"/>
      <c r="K99" s="394"/>
      <c r="L99" s="394"/>
      <c r="M99" s="394"/>
      <c r="N99" s="394"/>
      <c r="O99" s="394"/>
      <c r="P99" s="394"/>
      <c r="Q99" s="394"/>
      <c r="R99" s="394"/>
      <c r="S99" s="394"/>
      <c r="T99" s="634" t="b">
        <f t="shared" ca="1" si="30"/>
        <v>1</v>
      </c>
      <c r="U99" s="1012"/>
      <c r="V99" s="1012"/>
      <c r="W99" s="1012"/>
      <c r="X99" s="1405"/>
      <c r="Y99" s="1012"/>
      <c r="Z99" s="1405"/>
      <c r="AA99" s="394"/>
      <c r="AB99" s="446" t="s">
        <v>554</v>
      </c>
      <c r="AC99" s="102" t="s">
        <v>504</v>
      </c>
      <c r="AD99" s="324" t="s">
        <v>491</v>
      </c>
      <c r="AE99" s="288">
        <f t="shared" ref="AE99:BB99" si="39">AE90-AE93-AE96</f>
        <v>0</v>
      </c>
      <c r="AF99" s="288">
        <f t="shared" si="39"/>
        <v>0</v>
      </c>
      <c r="AG99" s="288">
        <f t="shared" si="39"/>
        <v>0</v>
      </c>
      <c r="AH99" s="288">
        <f t="shared" si="39"/>
        <v>0</v>
      </c>
      <c r="AI99" s="288">
        <f t="shared" si="39"/>
        <v>0</v>
      </c>
      <c r="AJ99" s="288">
        <f t="shared" si="39"/>
        <v>0</v>
      </c>
      <c r="AK99" s="288">
        <f t="shared" si="39"/>
        <v>0</v>
      </c>
      <c r="AL99" s="288">
        <f t="shared" si="39"/>
        <v>0</v>
      </c>
      <c r="AM99" s="288">
        <f t="shared" si="39"/>
        <v>0</v>
      </c>
      <c r="AN99" s="288">
        <f t="shared" si="39"/>
        <v>0</v>
      </c>
      <c r="AO99" s="288">
        <f t="shared" si="39"/>
        <v>0</v>
      </c>
      <c r="AP99" s="288">
        <f t="shared" si="39"/>
        <v>0</v>
      </c>
      <c r="AQ99" s="288">
        <f t="shared" si="39"/>
        <v>0</v>
      </c>
      <c r="AR99" s="288">
        <f t="shared" si="39"/>
        <v>0</v>
      </c>
      <c r="AS99" s="288">
        <f t="shared" si="39"/>
        <v>0</v>
      </c>
      <c r="AT99" s="288">
        <f t="shared" si="39"/>
        <v>0</v>
      </c>
      <c r="AU99" s="288">
        <f t="shared" si="39"/>
        <v>0</v>
      </c>
      <c r="AV99" s="288">
        <f t="shared" si="39"/>
        <v>0</v>
      </c>
      <c r="AW99" s="288">
        <f t="shared" si="39"/>
        <v>0</v>
      </c>
      <c r="AX99" s="288">
        <f t="shared" si="39"/>
        <v>0</v>
      </c>
      <c r="AY99" s="288">
        <f t="shared" si="39"/>
        <v>0</v>
      </c>
      <c r="AZ99" s="288">
        <f t="shared" si="39"/>
        <v>0</v>
      </c>
      <c r="BA99" s="288">
        <f t="shared" si="39"/>
        <v>0</v>
      </c>
      <c r="BB99" s="288">
        <f t="shared" si="39"/>
        <v>0</v>
      </c>
      <c r="BC99" s="1106"/>
      <c r="BD99" s="394"/>
      <c r="BE99" s="394"/>
      <c r="BF99" s="913" t="s">
        <v>555</v>
      </c>
      <c r="BG99" s="931"/>
      <c r="BH99" s="931"/>
      <c r="BI99" s="960"/>
      <c r="BJ99" s="960"/>
    </row>
    <row r="100" spans="1:62" ht="11.1" customHeight="1">
      <c r="E100" s="623">
        <v>11.4</v>
      </c>
      <c r="U100" s="113" t="s">
        <v>172</v>
      </c>
      <c r="V100" s="109" t="s">
        <v>556</v>
      </c>
    </row>
    <row r="101" spans="1:62" ht="11.25" hidden="1" customHeight="1">
      <c r="E101" s="623">
        <v>0</v>
      </c>
      <c r="V101" s="116"/>
    </row>
    <row r="102" spans="1:62" ht="14.65" customHeight="1">
      <c r="E102" s="623">
        <v>15</v>
      </c>
      <c r="V102" s="116"/>
      <c r="AB102" s="1422" t="s">
        <v>557</v>
      </c>
      <c r="AC102" s="1422"/>
      <c r="AD102" s="1422"/>
      <c r="AE102" s="1423"/>
      <c r="AF102" s="1423"/>
      <c r="AG102" s="1423"/>
      <c r="AH102" s="1423"/>
      <c r="AI102" s="1423"/>
      <c r="AJ102" s="1423"/>
      <c r="AK102" s="1423"/>
      <c r="AL102" s="1423"/>
      <c r="AM102" s="1423"/>
      <c r="AN102" s="1423"/>
      <c r="AO102" s="1423"/>
      <c r="AP102" s="1423"/>
      <c r="AQ102" s="1423"/>
      <c r="AR102" s="1423"/>
      <c r="AS102" s="1423"/>
      <c r="AT102" s="1423"/>
      <c r="AU102" s="1423"/>
      <c r="AV102" s="1423"/>
      <c r="AW102" s="1423"/>
      <c r="AX102" s="1423"/>
      <c r="AY102" s="1423"/>
      <c r="AZ102" s="1423"/>
      <c r="BA102" s="1423"/>
      <c r="BB102" s="1423"/>
      <c r="BC102" s="1423"/>
    </row>
    <row r="103" spans="1:62" ht="14.65" customHeight="1">
      <c r="E103" s="623">
        <v>15</v>
      </c>
      <c r="V103" s="116"/>
      <c r="AA103" s="713"/>
      <c r="AB103" s="1424"/>
      <c r="AC103" s="1425"/>
      <c r="AD103" s="1425"/>
      <c r="AE103" s="1425"/>
      <c r="AF103" s="1425"/>
      <c r="AG103" s="1425"/>
      <c r="AH103" s="1425"/>
      <c r="AI103" s="1425"/>
      <c r="AJ103" s="1426"/>
      <c r="AK103" s="1426"/>
      <c r="AL103" s="1426"/>
      <c r="AM103" s="1426"/>
      <c r="AN103" s="1426"/>
      <c r="AO103" s="1426"/>
      <c r="AP103" s="1426"/>
      <c r="AQ103" s="1426"/>
      <c r="AR103" s="1426"/>
      <c r="AS103" s="1425"/>
      <c r="AT103" s="1426"/>
      <c r="AU103" s="1426"/>
      <c r="AV103" s="1426"/>
      <c r="AW103" s="1426"/>
      <c r="AX103" s="1426"/>
      <c r="AY103" s="1426"/>
      <c r="AZ103" s="1426"/>
      <c r="BA103" s="1426"/>
      <c r="BB103" s="1426"/>
      <c r="BC103" s="1427"/>
    </row>
    <row r="104" spans="1:62" ht="14.65" hidden="1" customHeight="1">
      <c r="E104" s="623">
        <v>15</v>
      </c>
      <c r="T104" s="113" t="b">
        <f>ROW(W104)&gt;ROW(W$104)</f>
        <v>0</v>
      </c>
      <c r="V104" s="116"/>
      <c r="W104" s="113" t="s">
        <v>170</v>
      </c>
      <c r="AA104" s="709" t="s">
        <v>157</v>
      </c>
      <c r="AB104" s="1428"/>
      <c r="AC104" s="1426"/>
      <c r="AD104" s="1426"/>
      <c r="AE104" s="1426"/>
      <c r="AF104" s="1426"/>
      <c r="AG104" s="1426"/>
      <c r="AH104" s="1426"/>
      <c r="AI104" s="1425"/>
      <c r="AJ104" s="1426"/>
      <c r="AK104" s="1426"/>
      <c r="AL104" s="1426"/>
      <c r="AM104" s="1426"/>
      <c r="AN104" s="1426"/>
      <c r="AO104" s="1426"/>
      <c r="AP104" s="1426"/>
      <c r="AQ104" s="1426"/>
      <c r="AR104" s="1426"/>
      <c r="AS104" s="1425"/>
      <c r="AT104" s="1426"/>
      <c r="AU104" s="1426"/>
      <c r="AV104" s="1426"/>
      <c r="AW104" s="1426"/>
      <c r="AX104" s="1426"/>
      <c r="AY104" s="1426"/>
      <c r="AZ104" s="1426"/>
      <c r="BA104" s="1426"/>
      <c r="BB104" s="1426"/>
      <c r="BC104" s="1429"/>
    </row>
    <row r="105" spans="1:62" ht="14.65" customHeight="1">
      <c r="E105" s="623">
        <v>15</v>
      </c>
      <c r="W105" s="109" t="s">
        <v>171</v>
      </c>
      <c r="AB105" s="1420" t="s">
        <v>558</v>
      </c>
      <c r="AC105" s="1421"/>
      <c r="AD105" s="299"/>
      <c r="AE105" s="300"/>
      <c r="AF105" s="300"/>
      <c r="AG105" s="300"/>
      <c r="AH105" s="300"/>
      <c r="AI105" s="300"/>
      <c r="AJ105" s="300"/>
      <c r="AK105" s="300"/>
      <c r="AL105" s="300"/>
      <c r="AM105" s="300"/>
      <c r="AN105" s="300"/>
      <c r="AO105" s="300"/>
      <c r="AP105" s="300"/>
      <c r="AQ105" s="300"/>
      <c r="AR105" s="300"/>
      <c r="AS105" s="300"/>
      <c r="AT105" s="300"/>
      <c r="AU105" s="300"/>
      <c r="AV105" s="300"/>
      <c r="AW105" s="300"/>
      <c r="AX105" s="300"/>
      <c r="AY105" s="300"/>
      <c r="AZ105" s="300"/>
      <c r="BA105" s="300"/>
      <c r="BB105" s="300"/>
      <c r="BC105" s="271"/>
    </row>
    <row r="106" spans="1:62" ht="11.25" customHeight="1">
      <c r="BD106" s="150"/>
    </row>
  </sheetData>
  <sheetProtection formatColumns="0" formatRows="0" insertRows="0" deleteColumns="0" deleteRows="0" sort="0" autoFilter="0"/>
  <mergeCells count="13">
    <mergeCell ref="X28:X63"/>
    <mergeCell ref="Z28:Z63"/>
    <mergeCell ref="AB105:AC105"/>
    <mergeCell ref="AB102:BC102"/>
    <mergeCell ref="AB103:BC103"/>
    <mergeCell ref="AB104:BC104"/>
    <mergeCell ref="X64:X99"/>
    <mergeCell ref="Z64:Z99"/>
    <mergeCell ref="AB24:BC24"/>
    <mergeCell ref="AD25:AD26"/>
    <mergeCell ref="BC25:BC26"/>
    <mergeCell ref="AB25:AB26"/>
    <mergeCell ref="AC25:AC26"/>
  </mergeCells>
  <dataValidations count="2">
    <dataValidation type="textLength" operator="lessThanOrEqual" allowBlank="1" showInputMessage="1" showErrorMessage="1" errorTitle="Ошибка" error="Допускается ввод не более 900 символов!" sqref="AB48 AB44 AD48:BB48 AD44:BB44 AB80 AD80 AE80 AF80 AG80 AH80 AI80 AJ80 AK80 AL80 AM80 AN80 AO80 AP80 AQ80 AR80 AS80 AT80 AU80 AV80 AW80 AX80 AY80 AZ80 BA80 BB80 AB84 AD84 AE84 AF84 AG84 AH84 AI84 AJ84 AK84 AL84 AM84 AN84 AO84 AP84 AQ84 AR84 AS84 AT84 AU84 AV84 AW84 AX84 AY84 AZ84 BA84 BB84">
      <formula1>900</formula1>
    </dataValidation>
    <dataValidation type="decimal" allowBlank="1" showErrorMessage="1" errorTitle="Ошибка" error="Допускается ввод только действительных чисел!" sqref="AE36:BB37 BB49:BB63 BB67:BB68 BB70 BB72:BB73 BB75 BB85:BB99 BA49:BA63 BA67:BA68 BA70 BA72:BA73 BA75 BA85:BA99 AZ49:AZ63 AZ67:AZ68 AZ70 AZ72:AZ73 AZ75 AZ85:AZ99 AY49:AY63 AY67:AY68 AY70 AY72:AY73 AY75 AY85:AY99 AX49:AX63 AX67:AX68 AX70 AX72:AX73 AX75 AX85:AX99 AW49:AW63 AW67:AW68 AW70 AW72:AW73 AW75 AW85:AW99 AV49:AV63 AV67:AV68 AV70 AV72:AV73 AV75 AV85:AV99 AU49:AU63 AU67:AU68 AU70 AU72:AU73 AU75 AU85:AU99 AT49:AT63 AT67:AT68 AT70 AT72:AT73 AT75 AT85:AT99 AS49:AS63 AS67:AS68 AS70 AS72:AS73 AS75 AS85:AS99 AR49:AR63 AR67:AR68 AR70 AR72:AR73 AR75 AR85:AR99 AQ49:AQ63 AQ67:AQ68 AQ70 AQ72:AQ73 AQ75 AQ85:AQ99 AP49:AP63 AP67:AP68 AP70 AP72:AP73 AP75 AP85:AP99 AO49:AO63 AO67:AO68 AO70 AO72:AO73 AO75 AO85:AO99 AN49:AN63 AN67:AN68 AN70 AN72:AN73 AN75 AN85:AN99 AM49:AM63 AM67:AM68 AM70 AM72:AM73 AM75 AM85:AM99 AL49:AL63 AL67:AL68 AL70 AL72:AL73 AL75 AL85:AL99 AK49:AK63 AK67:AK68 AK70 AK72:AK73 AK75 AK85:AK99 AJ49:AJ63 AJ67:AJ68 AJ70 AJ72:AJ73 AJ75 AJ85:AJ99 AI49:AI63 AI67:AI68 AI70 AI72:AI73 AI75 AI85:AI99 AH49:AH63 AH67:AH68 AH70 AH72:AH73 AH75 AH85:AH99 AG49:AG63 AG67:AG68 AG70 AG72:AG73 AG75 AG85:AG99 AF49:AF63 AF67:AF68 AF70 AF72:AF73 AF75 AF85:AF99 AE49:AE63 AE67:AE68 AE70 AE72:AE73 AE75 AE85:AE99 AE31:BB32 AE39:BB39 AE34:BB34">
      <formula1>-9.99999999999999E+23</formula1>
      <formula2>9.99999999999999E+23</formula2>
    </dataValidation>
  </dataValidations>
  <printOptions horizontalCentered="1"/>
  <pageMargins left="0.35" right="0.35" top="0.4" bottom="0.31" header="0.08" footer="0.08"/>
  <pageSetup paperSize="9" scale="46" fitToHeight="0"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outlinePr summaryBelow="0"/>
  </sheetPr>
  <dimension ref="A1:DB250"/>
  <sheetViews>
    <sheetView showGridLines="0" workbookViewId="0">
      <pane xSplit="33" ySplit="26" topLeftCell="AH213" activePane="bottomRight" state="frozen"/>
      <selection pane="topRight" activeCell="AH1" sqref="AH1"/>
      <selection pane="bottomLeft" activeCell="A27" sqref="A27"/>
      <selection pane="bottomRight" activeCell="AA21" sqref="AA21"/>
    </sheetView>
  </sheetViews>
  <sheetFormatPr defaultColWidth="9.140625" defaultRowHeight="11.25" customHeight="1"/>
  <cols>
    <col min="1" max="1" width="3.5703125" style="769" hidden="1" customWidth="1"/>
    <col min="2" max="2" width="4.7109375" style="718" hidden="1" customWidth="1"/>
    <col min="3" max="4" width="3.5703125" style="1016" hidden="1" customWidth="1"/>
    <col min="5" max="5" width="8.42578125" style="717" hidden="1" customWidth="1"/>
    <col min="6" max="6" width="4.5703125" style="1016" hidden="1" customWidth="1"/>
    <col min="7" max="17" width="3.5703125" style="750" hidden="1" customWidth="1"/>
    <col min="18" max="18" width="6.28515625" style="1016" hidden="1" customWidth="1"/>
    <col min="19" max="19" width="7.7109375" style="714" hidden="1" customWidth="1"/>
    <col min="20" max="20" width="8.140625" style="1016" hidden="1" customWidth="1"/>
    <col min="21" max="21" width="8" style="1016" hidden="1" customWidth="1"/>
    <col min="22" max="22" width="6" style="1016" hidden="1" customWidth="1"/>
    <col min="23" max="24" width="6.28515625" style="1016" hidden="1" customWidth="1"/>
    <col min="25" max="25" width="5.7109375" style="1016" hidden="1" customWidth="1"/>
    <col min="26" max="26" width="5.42578125" style="1016" hidden="1" customWidth="1"/>
    <col min="27" max="27" width="3" style="646" customWidth="1"/>
    <col min="28" max="28" width="2.7109375" customWidth="1"/>
    <col min="29" max="29" width="3.5703125" customWidth="1"/>
    <col min="30" max="30" width="10" customWidth="1"/>
    <col min="31" max="31" width="45" customWidth="1"/>
    <col min="32" max="32" width="30" customWidth="1"/>
    <col min="33" max="33" width="20" customWidth="1"/>
    <col min="34" max="40" width="16.28515625" customWidth="1"/>
    <col min="41" max="67" width="16.28515625" hidden="1" customWidth="1"/>
    <col min="68" max="70" width="16.28515625" customWidth="1"/>
    <col min="71" max="97" width="16.28515625" hidden="1" customWidth="1"/>
    <col min="98" max="98" width="26" customWidth="1"/>
    <col min="99" max="99" width="3" customWidth="1"/>
    <col min="100" max="100" width="9.140625" hidden="1"/>
    <col min="101" max="101" width="9.140625" style="909" hidden="1"/>
    <col min="102" max="104" width="9.140625" style="907" hidden="1"/>
    <col min="105" max="106" width="9.140625" style="908" hidden="1"/>
  </cols>
  <sheetData>
    <row r="1" spans="1:106" s="1016" customFormat="1" ht="12" hidden="1" customHeight="1">
      <c r="A1" s="769"/>
      <c r="B1" s="614"/>
      <c r="E1" s="614"/>
      <c r="F1" s="735" t="s">
        <v>77</v>
      </c>
      <c r="G1" s="563"/>
      <c r="H1" s="563"/>
      <c r="I1" s="563"/>
      <c r="J1" s="563"/>
      <c r="K1" s="563"/>
      <c r="L1" s="563"/>
      <c r="M1" s="563"/>
      <c r="N1" s="563"/>
      <c r="O1" s="563"/>
      <c r="P1" s="563"/>
      <c r="Q1" s="563"/>
      <c r="S1" s="735" t="s">
        <v>559</v>
      </c>
      <c r="T1" s="735" t="s">
        <v>560</v>
      </c>
      <c r="U1" s="634" t="s">
        <v>78</v>
      </c>
      <c r="V1" s="634" t="s">
        <v>83</v>
      </c>
      <c r="W1" s="634" t="s">
        <v>79</v>
      </c>
      <c r="X1" s="634" t="s">
        <v>80</v>
      </c>
      <c r="Y1" s="634" t="s">
        <v>81</v>
      </c>
      <c r="Z1" s="634" t="s">
        <v>85</v>
      </c>
      <c r="AC1" s="645" t="s">
        <v>82</v>
      </c>
      <c r="AD1" s="645" t="s">
        <v>274</v>
      </c>
      <c r="AE1" s="645" t="s">
        <v>84</v>
      </c>
      <c r="CW1" s="902" t="s">
        <v>275</v>
      </c>
      <c r="CX1" s="901" t="s">
        <v>276</v>
      </c>
      <c r="CY1" s="901" t="s">
        <v>277</v>
      </c>
      <c r="CZ1" s="901" t="s">
        <v>561</v>
      </c>
      <c r="DA1" s="904" t="s">
        <v>280</v>
      </c>
      <c r="DB1" s="904" t="s">
        <v>281</v>
      </c>
    </row>
    <row r="2" spans="1:106" s="718" customFormat="1" ht="12" hidden="1" customHeight="1">
      <c r="A2" s="990"/>
      <c r="B2" s="703" t="s">
        <v>15</v>
      </c>
      <c r="G2" s="721"/>
      <c r="H2" s="721"/>
      <c r="I2" s="721"/>
      <c r="J2" s="721"/>
      <c r="K2" s="721"/>
      <c r="L2" s="721"/>
      <c r="M2" s="721"/>
      <c r="N2" s="721"/>
      <c r="O2" s="721"/>
      <c r="P2" s="721"/>
      <c r="Q2" s="721"/>
      <c r="AO2" s="635" t="b">
        <f t="shared" ref="AO2:BT2" si="0">AO6&lt;=last_year_vis</f>
        <v>0</v>
      </c>
      <c r="AP2" s="635" t="b">
        <f t="shared" si="0"/>
        <v>0</v>
      </c>
      <c r="AQ2" s="635" t="b">
        <f t="shared" si="0"/>
        <v>0</v>
      </c>
      <c r="AR2" s="635" t="b">
        <f t="shared" si="0"/>
        <v>0</v>
      </c>
      <c r="AS2" s="635" t="b">
        <f t="shared" si="0"/>
        <v>0</v>
      </c>
      <c r="AT2" s="635" t="b">
        <f t="shared" si="0"/>
        <v>0</v>
      </c>
      <c r="AU2" s="635" t="b">
        <f t="shared" si="0"/>
        <v>0</v>
      </c>
      <c r="AV2" s="635" t="b">
        <f t="shared" si="0"/>
        <v>0</v>
      </c>
      <c r="AW2" s="635" t="b">
        <f t="shared" si="0"/>
        <v>0</v>
      </c>
      <c r="AX2" s="635" t="b">
        <f t="shared" si="0"/>
        <v>0</v>
      </c>
      <c r="AY2" s="635" t="b">
        <f t="shared" si="0"/>
        <v>0</v>
      </c>
      <c r="AZ2" s="635" t="b">
        <f t="shared" si="0"/>
        <v>0</v>
      </c>
      <c r="BA2" s="635" t="b">
        <f t="shared" si="0"/>
        <v>0</v>
      </c>
      <c r="BB2" s="635" t="b">
        <f t="shared" si="0"/>
        <v>0</v>
      </c>
      <c r="BC2" s="635" t="b">
        <f t="shared" si="0"/>
        <v>0</v>
      </c>
      <c r="BD2" s="635" t="b">
        <f t="shared" si="0"/>
        <v>0</v>
      </c>
      <c r="BE2" s="635" t="b">
        <f t="shared" si="0"/>
        <v>0</v>
      </c>
      <c r="BF2" s="635" t="b">
        <f t="shared" si="0"/>
        <v>0</v>
      </c>
      <c r="BG2" s="635" t="b">
        <f t="shared" si="0"/>
        <v>0</v>
      </c>
      <c r="BH2" s="635" t="b">
        <f t="shared" si="0"/>
        <v>0</v>
      </c>
      <c r="BI2" s="635" t="b">
        <f t="shared" si="0"/>
        <v>0</v>
      </c>
      <c r="BJ2" s="635" t="b">
        <f t="shared" si="0"/>
        <v>0</v>
      </c>
      <c r="BK2" s="635" t="b">
        <f t="shared" si="0"/>
        <v>0</v>
      </c>
      <c r="BL2" s="635" t="b">
        <f t="shared" si="0"/>
        <v>0</v>
      </c>
      <c r="BM2" s="635" t="b">
        <f t="shared" si="0"/>
        <v>0</v>
      </c>
      <c r="BN2" s="635" t="b">
        <f t="shared" si="0"/>
        <v>0</v>
      </c>
      <c r="BO2" s="635" t="b">
        <f t="shared" si="0"/>
        <v>0</v>
      </c>
      <c r="BP2" s="635" t="b">
        <f t="shared" si="0"/>
        <v>1</v>
      </c>
      <c r="BQ2" s="635" t="b">
        <f t="shared" si="0"/>
        <v>1</v>
      </c>
      <c r="BR2" s="635" t="b">
        <f t="shared" si="0"/>
        <v>1</v>
      </c>
      <c r="BS2" s="635" t="b">
        <f t="shared" si="0"/>
        <v>0</v>
      </c>
      <c r="BT2" s="635" t="b">
        <f t="shared" si="0"/>
        <v>0</v>
      </c>
      <c r="BU2" s="635" t="b">
        <f t="shared" ref="BU2:CS2" si="1">BU6&lt;=last_year_vis</f>
        <v>0</v>
      </c>
      <c r="BV2" s="635" t="b">
        <f t="shared" si="1"/>
        <v>0</v>
      </c>
      <c r="BW2" s="635" t="b">
        <f t="shared" si="1"/>
        <v>0</v>
      </c>
      <c r="BX2" s="635" t="b">
        <f t="shared" si="1"/>
        <v>0</v>
      </c>
      <c r="BY2" s="635" t="b">
        <f t="shared" si="1"/>
        <v>0</v>
      </c>
      <c r="BZ2" s="635" t="b">
        <f t="shared" si="1"/>
        <v>0</v>
      </c>
      <c r="CA2" s="635" t="b">
        <f t="shared" si="1"/>
        <v>0</v>
      </c>
      <c r="CB2" s="635" t="b">
        <f t="shared" si="1"/>
        <v>0</v>
      </c>
      <c r="CC2" s="635" t="b">
        <f t="shared" si="1"/>
        <v>0</v>
      </c>
      <c r="CD2" s="635" t="b">
        <f t="shared" si="1"/>
        <v>0</v>
      </c>
      <c r="CE2" s="635" t="b">
        <f t="shared" si="1"/>
        <v>0</v>
      </c>
      <c r="CF2" s="635" t="b">
        <f t="shared" si="1"/>
        <v>0</v>
      </c>
      <c r="CG2" s="635" t="b">
        <f t="shared" si="1"/>
        <v>0</v>
      </c>
      <c r="CH2" s="635" t="b">
        <f t="shared" si="1"/>
        <v>0</v>
      </c>
      <c r="CI2" s="635" t="b">
        <f t="shared" si="1"/>
        <v>0</v>
      </c>
      <c r="CJ2" s="635" t="b">
        <f t="shared" si="1"/>
        <v>0</v>
      </c>
      <c r="CK2" s="635" t="b">
        <f t="shared" si="1"/>
        <v>0</v>
      </c>
      <c r="CL2" s="635" t="b">
        <f t="shared" si="1"/>
        <v>0</v>
      </c>
      <c r="CM2" s="635" t="b">
        <f t="shared" si="1"/>
        <v>0</v>
      </c>
      <c r="CN2" s="635" t="b">
        <f t="shared" si="1"/>
        <v>0</v>
      </c>
      <c r="CO2" s="635" t="b">
        <f t="shared" si="1"/>
        <v>0</v>
      </c>
      <c r="CP2" s="635" t="b">
        <f t="shared" si="1"/>
        <v>0</v>
      </c>
      <c r="CQ2" s="635" t="b">
        <f t="shared" si="1"/>
        <v>0</v>
      </c>
      <c r="CR2" s="635" t="b">
        <f t="shared" si="1"/>
        <v>0</v>
      </c>
      <c r="CS2" s="635" t="b">
        <f t="shared" si="1"/>
        <v>0</v>
      </c>
      <c r="CW2" s="905"/>
      <c r="CX2" s="878"/>
      <c r="CY2" s="878"/>
      <c r="CZ2" s="878"/>
      <c r="DA2" s="623"/>
      <c r="DB2" s="623"/>
    </row>
    <row r="3" spans="1:106" s="1016" customFormat="1" ht="12" hidden="1" customHeight="1">
      <c r="A3" s="769"/>
      <c r="B3" s="614"/>
      <c r="E3" s="614"/>
      <c r="G3" s="563"/>
      <c r="H3" s="563"/>
      <c r="I3" s="563"/>
      <c r="J3" s="563"/>
      <c r="K3" s="563"/>
      <c r="L3" s="563"/>
      <c r="M3" s="563"/>
      <c r="N3" s="563"/>
      <c r="O3" s="563"/>
      <c r="P3" s="563"/>
      <c r="Q3" s="563"/>
      <c r="S3" s="714"/>
      <c r="CW3" s="902"/>
      <c r="CX3" s="901"/>
      <c r="CY3" s="901"/>
      <c r="CZ3" s="901"/>
      <c r="DA3" s="904"/>
      <c r="DB3" s="904"/>
    </row>
    <row r="4" spans="1:106" s="1016" customFormat="1" ht="12" hidden="1" customHeight="1">
      <c r="A4" s="769"/>
      <c r="B4" s="614"/>
      <c r="E4" s="614"/>
      <c r="G4" s="563"/>
      <c r="H4" s="563"/>
      <c r="I4" s="563"/>
      <c r="J4" s="563"/>
      <c r="K4" s="563"/>
      <c r="L4" s="563"/>
      <c r="M4" s="563"/>
      <c r="N4" s="563"/>
      <c r="O4" s="563"/>
      <c r="P4" s="563"/>
      <c r="Q4" s="563"/>
      <c r="S4" s="714"/>
      <c r="CW4" s="902"/>
      <c r="CX4" s="901"/>
      <c r="CY4" s="901"/>
      <c r="CZ4" s="901"/>
      <c r="DA4" s="904"/>
      <c r="DB4" s="904"/>
    </row>
    <row r="5" spans="1:106" s="717" customFormat="1" ht="12" hidden="1" customHeight="1">
      <c r="A5" s="990"/>
      <c r="B5" s="614"/>
      <c r="C5" s="614"/>
      <c r="D5" s="614"/>
      <c r="E5" s="623" t="s">
        <v>16</v>
      </c>
      <c r="G5" s="722"/>
      <c r="H5" s="722"/>
      <c r="I5" s="722"/>
      <c r="J5" s="722"/>
      <c r="K5" s="722"/>
      <c r="L5" s="722"/>
      <c r="M5" s="722"/>
      <c r="N5" s="722"/>
      <c r="O5" s="722"/>
      <c r="P5" s="722"/>
      <c r="Q5" s="722"/>
      <c r="AA5" s="623">
        <v>3</v>
      </c>
      <c r="AB5" s="623">
        <v>2.75</v>
      </c>
      <c r="AD5" s="623">
        <v>10</v>
      </c>
      <c r="AE5" s="623">
        <v>45</v>
      </c>
      <c r="AF5" s="623">
        <v>30</v>
      </c>
      <c r="AG5" s="623">
        <v>20</v>
      </c>
      <c r="AH5" s="623">
        <v>16.25</v>
      </c>
      <c r="AI5" s="623">
        <v>16.25</v>
      </c>
      <c r="AJ5" s="623">
        <v>16.25</v>
      </c>
      <c r="AK5" s="623">
        <v>16.25</v>
      </c>
      <c r="AL5" s="623">
        <v>16.25</v>
      </c>
      <c r="AM5" s="623">
        <v>16.25</v>
      </c>
      <c r="AN5" s="623">
        <v>16.25</v>
      </c>
      <c r="AO5" s="623">
        <v>16.25</v>
      </c>
      <c r="AP5" s="623">
        <v>16.25</v>
      </c>
      <c r="AQ5" s="623">
        <v>16.25</v>
      </c>
      <c r="AR5" s="623">
        <v>16.25</v>
      </c>
      <c r="AS5" s="623">
        <v>16.25</v>
      </c>
      <c r="AT5" s="623">
        <v>16.25</v>
      </c>
      <c r="AU5" s="623">
        <v>16.25</v>
      </c>
      <c r="AV5" s="623">
        <v>16.25</v>
      </c>
      <c r="AW5" s="623">
        <v>16.25</v>
      </c>
      <c r="AX5" s="623">
        <v>16.25</v>
      </c>
      <c r="AY5" s="623">
        <v>16.25</v>
      </c>
      <c r="AZ5" s="623">
        <v>16.25</v>
      </c>
      <c r="BA5" s="623">
        <v>16.25</v>
      </c>
      <c r="BB5" s="623">
        <v>16.25</v>
      </c>
      <c r="BC5" s="623">
        <v>16.25</v>
      </c>
      <c r="BD5" s="623">
        <v>16.25</v>
      </c>
      <c r="BE5" s="623">
        <v>16.25</v>
      </c>
      <c r="BF5" s="623">
        <v>16.25</v>
      </c>
      <c r="BG5" s="623">
        <v>16.25</v>
      </c>
      <c r="BH5" s="623">
        <v>16.25</v>
      </c>
      <c r="BI5" s="623">
        <v>16.25</v>
      </c>
      <c r="BJ5" s="623">
        <v>16.25</v>
      </c>
      <c r="BK5" s="623">
        <v>16.25</v>
      </c>
      <c r="BL5" s="623">
        <v>16.25</v>
      </c>
      <c r="BM5" s="623">
        <v>16.25</v>
      </c>
      <c r="BN5" s="623">
        <v>16.25</v>
      </c>
      <c r="BO5" s="623">
        <v>16.25</v>
      </c>
      <c r="BP5" s="623">
        <v>16.25</v>
      </c>
      <c r="BQ5" s="623">
        <v>16.25</v>
      </c>
      <c r="BR5" s="623">
        <v>16.25</v>
      </c>
      <c r="BS5" s="623">
        <v>16.25</v>
      </c>
      <c r="BT5" s="623">
        <v>16.25</v>
      </c>
      <c r="BU5" s="623">
        <v>16.25</v>
      </c>
      <c r="BV5" s="623">
        <v>16.25</v>
      </c>
      <c r="BW5" s="623">
        <v>16.25</v>
      </c>
      <c r="BX5" s="623">
        <v>16.25</v>
      </c>
      <c r="BY5" s="623">
        <v>16.25</v>
      </c>
      <c r="BZ5" s="623">
        <v>16.25</v>
      </c>
      <c r="CA5" s="623">
        <v>16.25</v>
      </c>
      <c r="CB5" s="623">
        <v>16.25</v>
      </c>
      <c r="CC5" s="623">
        <v>16.25</v>
      </c>
      <c r="CD5" s="623">
        <v>16.25</v>
      </c>
      <c r="CE5" s="623">
        <v>16.25</v>
      </c>
      <c r="CF5" s="623">
        <v>16.25</v>
      </c>
      <c r="CG5" s="623">
        <v>16.25</v>
      </c>
      <c r="CH5" s="623">
        <v>16.25</v>
      </c>
      <c r="CI5" s="623">
        <v>16.25</v>
      </c>
      <c r="CJ5" s="623">
        <v>16.25</v>
      </c>
      <c r="CK5" s="623">
        <v>16.25</v>
      </c>
      <c r="CL5" s="623">
        <v>16.25</v>
      </c>
      <c r="CM5" s="623">
        <v>16.25</v>
      </c>
      <c r="CN5" s="623">
        <v>16.25</v>
      </c>
      <c r="CO5" s="623">
        <v>16.25</v>
      </c>
      <c r="CP5" s="623">
        <v>16.25</v>
      </c>
      <c r="CQ5" s="623">
        <v>16.25</v>
      </c>
      <c r="CR5" s="623">
        <v>16.25</v>
      </c>
      <c r="CS5" s="623">
        <v>16.25</v>
      </c>
      <c r="CT5" s="623">
        <v>26</v>
      </c>
      <c r="CU5" s="623">
        <v>3</v>
      </c>
      <c r="CW5" s="905"/>
      <c r="CX5" s="878"/>
      <c r="CY5" s="878"/>
      <c r="CZ5" s="878"/>
    </row>
    <row r="6" spans="1:106" s="1016" customFormat="1" ht="12" hidden="1" customHeight="1">
      <c r="A6" s="769"/>
      <c r="B6" s="614"/>
      <c r="E6" s="623"/>
      <c r="G6" s="563"/>
      <c r="H6" s="563"/>
      <c r="I6" s="563"/>
      <c r="J6" s="563"/>
      <c r="K6" s="563"/>
      <c r="L6" s="563"/>
      <c r="M6" s="563"/>
      <c r="N6" s="563"/>
      <c r="O6" s="563"/>
      <c r="P6" s="563"/>
      <c r="Q6" s="563"/>
      <c r="S6" s="714"/>
      <c r="AH6" s="98">
        <f>god-2</f>
        <v>2024</v>
      </c>
      <c r="AI6" s="98">
        <f>god-2</f>
        <v>2024</v>
      </c>
      <c r="AJ6" s="98">
        <f>god-2</f>
        <v>2024</v>
      </c>
      <c r="AK6" s="98">
        <f>god-1</f>
        <v>2025</v>
      </c>
      <c r="AL6" s="98">
        <f>god</f>
        <v>2026</v>
      </c>
      <c r="AM6" s="98">
        <f>god</f>
        <v>2026</v>
      </c>
      <c r="AN6" s="98">
        <f>god</f>
        <v>2026</v>
      </c>
      <c r="AO6" s="98">
        <f>god+1</f>
        <v>2027</v>
      </c>
      <c r="AP6" s="98">
        <f>god+1</f>
        <v>2027</v>
      </c>
      <c r="AQ6" s="98">
        <f>god+1</f>
        <v>2027</v>
      </c>
      <c r="AR6" s="98">
        <f>god+2</f>
        <v>2028</v>
      </c>
      <c r="AS6" s="98">
        <f>god+2</f>
        <v>2028</v>
      </c>
      <c r="AT6" s="98">
        <f>god+2</f>
        <v>2028</v>
      </c>
      <c r="AU6" s="98">
        <f>god+3</f>
        <v>2029</v>
      </c>
      <c r="AV6" s="98">
        <f>god+3</f>
        <v>2029</v>
      </c>
      <c r="AW6" s="98">
        <f>god+3</f>
        <v>2029</v>
      </c>
      <c r="AX6" s="98">
        <f>god+4</f>
        <v>2030</v>
      </c>
      <c r="AY6" s="98">
        <f>god+4</f>
        <v>2030</v>
      </c>
      <c r="AZ6" s="98">
        <f>god+4</f>
        <v>2030</v>
      </c>
      <c r="BA6" s="98">
        <f>god+5</f>
        <v>2031</v>
      </c>
      <c r="BB6" s="98">
        <f>god+5</f>
        <v>2031</v>
      </c>
      <c r="BC6" s="98">
        <f>god+5</f>
        <v>2031</v>
      </c>
      <c r="BD6" s="98">
        <f>god+6</f>
        <v>2032</v>
      </c>
      <c r="BE6" s="98">
        <f>god+6</f>
        <v>2032</v>
      </c>
      <c r="BF6" s="98">
        <f>god+6</f>
        <v>2032</v>
      </c>
      <c r="BG6" s="98">
        <f>god+7</f>
        <v>2033</v>
      </c>
      <c r="BH6" s="98">
        <f>god+7</f>
        <v>2033</v>
      </c>
      <c r="BI6" s="98">
        <f>god+7</f>
        <v>2033</v>
      </c>
      <c r="BJ6" s="98">
        <f>god+8</f>
        <v>2034</v>
      </c>
      <c r="BK6" s="98">
        <f>god+8</f>
        <v>2034</v>
      </c>
      <c r="BL6" s="98">
        <f>god+8</f>
        <v>2034</v>
      </c>
      <c r="BM6" s="98">
        <f>god+9</f>
        <v>2035</v>
      </c>
      <c r="BN6" s="98">
        <f>god+9</f>
        <v>2035</v>
      </c>
      <c r="BO6" s="98">
        <f>god+9</f>
        <v>2035</v>
      </c>
      <c r="BP6" s="98">
        <f>god</f>
        <v>2026</v>
      </c>
      <c r="BQ6" s="98">
        <f>god</f>
        <v>2026</v>
      </c>
      <c r="BR6" s="98">
        <f>god</f>
        <v>2026</v>
      </c>
      <c r="BS6" s="98">
        <f>god+1</f>
        <v>2027</v>
      </c>
      <c r="BT6" s="98">
        <f>god+1</f>
        <v>2027</v>
      </c>
      <c r="BU6" s="98">
        <f>god+1</f>
        <v>2027</v>
      </c>
      <c r="BV6" s="98">
        <f>god+2</f>
        <v>2028</v>
      </c>
      <c r="BW6" s="98">
        <f>god+2</f>
        <v>2028</v>
      </c>
      <c r="BX6" s="98">
        <f>god+2</f>
        <v>2028</v>
      </c>
      <c r="BY6" s="98">
        <f>god+3</f>
        <v>2029</v>
      </c>
      <c r="BZ6" s="98">
        <f>god+3</f>
        <v>2029</v>
      </c>
      <c r="CA6" s="98">
        <f>god+3</f>
        <v>2029</v>
      </c>
      <c r="CB6" s="98">
        <f>god+4</f>
        <v>2030</v>
      </c>
      <c r="CC6" s="98">
        <f>god+4</f>
        <v>2030</v>
      </c>
      <c r="CD6" s="98">
        <f>god+4</f>
        <v>2030</v>
      </c>
      <c r="CE6" s="98">
        <f>god+5</f>
        <v>2031</v>
      </c>
      <c r="CF6" s="98">
        <f>god+5</f>
        <v>2031</v>
      </c>
      <c r="CG6" s="98">
        <f>god+5</f>
        <v>2031</v>
      </c>
      <c r="CH6" s="98">
        <f>god+6</f>
        <v>2032</v>
      </c>
      <c r="CI6" s="98">
        <f>god+6</f>
        <v>2032</v>
      </c>
      <c r="CJ6" s="98">
        <f>god+6</f>
        <v>2032</v>
      </c>
      <c r="CK6" s="98">
        <f>god+7</f>
        <v>2033</v>
      </c>
      <c r="CL6" s="98">
        <f>god+7</f>
        <v>2033</v>
      </c>
      <c r="CM6" s="98">
        <f>god+7</f>
        <v>2033</v>
      </c>
      <c r="CN6" s="98">
        <f>god+8</f>
        <v>2034</v>
      </c>
      <c r="CO6" s="98">
        <f>god+8</f>
        <v>2034</v>
      </c>
      <c r="CP6" s="98">
        <f>god+8</f>
        <v>2034</v>
      </c>
      <c r="CQ6" s="98">
        <f>god+9</f>
        <v>2035</v>
      </c>
      <c r="CR6" s="98">
        <f>god+9</f>
        <v>2035</v>
      </c>
      <c r="CS6" s="98">
        <f>god+9</f>
        <v>2035</v>
      </c>
      <c r="CW6" s="902"/>
      <c r="CX6" s="901"/>
      <c r="CY6" s="901"/>
      <c r="CZ6" s="901"/>
      <c r="DA6" s="904"/>
      <c r="DB6" s="904"/>
    </row>
    <row r="7" spans="1:106" s="750" customFormat="1" ht="12" hidden="1" customHeight="1">
      <c r="A7" s="769"/>
      <c r="B7" s="614"/>
      <c r="C7" s="98"/>
      <c r="D7" s="98"/>
      <c r="E7" s="623"/>
      <c r="S7" s="566"/>
      <c r="AH7" s="563" t="str">
        <f t="shared" ref="AH7:BM7" si="2">AH26&amp;AH25</f>
        <v>Принято органом регулированияГод</v>
      </c>
      <c r="AI7" s="563" t="str">
        <f t="shared" si="2"/>
        <v>Факт по данным организацииГод</v>
      </c>
      <c r="AJ7" s="563" t="str">
        <f t="shared" si="2"/>
        <v>Факт, принятый органом регулированияГод</v>
      </c>
      <c r="AK7" s="563" t="str">
        <f t="shared" si="2"/>
        <v>Принято органом регулированияГод</v>
      </c>
      <c r="AL7" s="563" t="str">
        <f t="shared" si="2"/>
        <v>Предложение организацииГод</v>
      </c>
      <c r="AM7" s="563" t="str">
        <f t="shared" si="2"/>
        <v>Предложение организации01.01.-30.09.</v>
      </c>
      <c r="AN7" s="563" t="str">
        <f t="shared" si="2"/>
        <v>Предложение организации01.10.-31.12.</v>
      </c>
      <c r="AO7" s="563" t="str">
        <f t="shared" si="2"/>
        <v>Предложение организацииГод</v>
      </c>
      <c r="AP7" s="563" t="str">
        <f t="shared" si="2"/>
        <v>Предложение организации1 полугодие</v>
      </c>
      <c r="AQ7" s="563" t="str">
        <f t="shared" si="2"/>
        <v>Предложение организации2 полугодие</v>
      </c>
      <c r="AR7" s="563" t="str">
        <f t="shared" si="2"/>
        <v>Предложение организацииГод</v>
      </c>
      <c r="AS7" s="563" t="str">
        <f t="shared" si="2"/>
        <v>Предложение организации1 полугодие</v>
      </c>
      <c r="AT7" s="563" t="str">
        <f t="shared" si="2"/>
        <v>Предложение организации2 полугодие</v>
      </c>
      <c r="AU7" s="563" t="str">
        <f t="shared" si="2"/>
        <v>Предложение организацииГод</v>
      </c>
      <c r="AV7" s="563" t="str">
        <f t="shared" si="2"/>
        <v>Предложение организации1 полугодие</v>
      </c>
      <c r="AW7" s="563" t="str">
        <f t="shared" si="2"/>
        <v>Предложение организации2 полугодие</v>
      </c>
      <c r="AX7" s="563" t="str">
        <f t="shared" si="2"/>
        <v>Предложение организацииГод</v>
      </c>
      <c r="AY7" s="563" t="str">
        <f t="shared" si="2"/>
        <v>Предложение организации1 полугодие</v>
      </c>
      <c r="AZ7" s="563" t="str">
        <f t="shared" si="2"/>
        <v>Предложение организации2 полугодие</v>
      </c>
      <c r="BA7" s="563" t="str">
        <f t="shared" si="2"/>
        <v>Предложение организацииГод</v>
      </c>
      <c r="BB7" s="563" t="str">
        <f t="shared" si="2"/>
        <v>Предложение организации1 полугодие</v>
      </c>
      <c r="BC7" s="563" t="str">
        <f t="shared" si="2"/>
        <v>Предложение организации2 полугодие</v>
      </c>
      <c r="BD7" s="563" t="str">
        <f t="shared" si="2"/>
        <v>Предложение организацииГод</v>
      </c>
      <c r="BE7" s="563" t="str">
        <f t="shared" si="2"/>
        <v>Предложение организации1 полугодие</v>
      </c>
      <c r="BF7" s="563" t="str">
        <f t="shared" si="2"/>
        <v>Предложение организации2 полугодие</v>
      </c>
      <c r="BG7" s="563" t="str">
        <f t="shared" si="2"/>
        <v>Предложение организацииГод</v>
      </c>
      <c r="BH7" s="563" t="str">
        <f t="shared" si="2"/>
        <v>Предложение организации1 полугодие</v>
      </c>
      <c r="BI7" s="563" t="str">
        <f t="shared" si="2"/>
        <v>Предложение организации2 полугодие</v>
      </c>
      <c r="BJ7" s="563" t="str">
        <f t="shared" si="2"/>
        <v>Предложение организацииГод</v>
      </c>
      <c r="BK7" s="563" t="str">
        <f t="shared" si="2"/>
        <v>Предложение организации1 полугодие</v>
      </c>
      <c r="BL7" s="563" t="str">
        <f t="shared" si="2"/>
        <v>Предложение организации2 полугодие</v>
      </c>
      <c r="BM7" s="563" t="str">
        <f t="shared" si="2"/>
        <v>Предложение организацииГод</v>
      </c>
      <c r="BN7" s="563" t="str">
        <f t="shared" ref="BN7:CS7" si="3">BN26&amp;BN25</f>
        <v>Предложение организации1 полугодие</v>
      </c>
      <c r="BO7" s="563" t="str">
        <f t="shared" si="3"/>
        <v>Предложение организации2 полугодие</v>
      </c>
      <c r="BP7" s="563" t="str">
        <f t="shared" si="3"/>
        <v>Принято органом регулированияГод</v>
      </c>
      <c r="BQ7" s="563" t="str">
        <f t="shared" si="3"/>
        <v>Принято органом регулирования01.01.-30.09.</v>
      </c>
      <c r="BR7" s="563" t="str">
        <f t="shared" si="3"/>
        <v>Принято органом регулирования01.10.-31.12.</v>
      </c>
      <c r="BS7" s="563" t="str">
        <f t="shared" si="3"/>
        <v>Принято органом регулированияГод</v>
      </c>
      <c r="BT7" s="563" t="str">
        <f t="shared" si="3"/>
        <v>Принято органом регулирования1 полугодие</v>
      </c>
      <c r="BU7" s="563" t="str">
        <f t="shared" si="3"/>
        <v>Принято органом регулирования2 полугодие</v>
      </c>
      <c r="BV7" s="563" t="str">
        <f t="shared" si="3"/>
        <v>Принято органом регулированияГод</v>
      </c>
      <c r="BW7" s="563" t="str">
        <f t="shared" si="3"/>
        <v>Принято органом регулирования1 полугодие</v>
      </c>
      <c r="BX7" s="563" t="str">
        <f t="shared" si="3"/>
        <v>Принято органом регулирования2 полугодие</v>
      </c>
      <c r="BY7" s="563" t="str">
        <f t="shared" si="3"/>
        <v>Принято органом регулированияГод</v>
      </c>
      <c r="BZ7" s="563" t="str">
        <f t="shared" si="3"/>
        <v>Принято органом регулирования1 полугодие</v>
      </c>
      <c r="CA7" s="563" t="str">
        <f t="shared" si="3"/>
        <v>Принято органом регулирования2 полугодие</v>
      </c>
      <c r="CB7" s="563" t="str">
        <f t="shared" si="3"/>
        <v>Принято органом регулированияГод</v>
      </c>
      <c r="CC7" s="563" t="str">
        <f t="shared" si="3"/>
        <v>Принято органом регулирования1 полугодие</v>
      </c>
      <c r="CD7" s="563" t="str">
        <f t="shared" si="3"/>
        <v>Принято органом регулирования2 полугодие</v>
      </c>
      <c r="CE7" s="563" t="str">
        <f t="shared" si="3"/>
        <v>Принято органом регулированияГод</v>
      </c>
      <c r="CF7" s="563" t="str">
        <f t="shared" si="3"/>
        <v>Принято органом регулирования1 полугодие</v>
      </c>
      <c r="CG7" s="563" t="str">
        <f t="shared" si="3"/>
        <v>Принято органом регулирования2 полугодие</v>
      </c>
      <c r="CH7" s="563" t="str">
        <f t="shared" si="3"/>
        <v>Принято органом регулированияГод</v>
      </c>
      <c r="CI7" s="563" t="str">
        <f t="shared" si="3"/>
        <v>Принято органом регулирования1 полугодие</v>
      </c>
      <c r="CJ7" s="563" t="str">
        <f t="shared" si="3"/>
        <v>Принято органом регулирования2 полугодие</v>
      </c>
      <c r="CK7" s="563" t="str">
        <f t="shared" si="3"/>
        <v>Принято органом регулированияГод</v>
      </c>
      <c r="CL7" s="563" t="str">
        <f t="shared" si="3"/>
        <v>Принято органом регулирования1 полугодие</v>
      </c>
      <c r="CM7" s="563" t="str">
        <f t="shared" si="3"/>
        <v>Принято органом регулирования2 полугодие</v>
      </c>
      <c r="CN7" s="563" t="str">
        <f t="shared" si="3"/>
        <v>Принято органом регулированияГод</v>
      </c>
      <c r="CO7" s="563" t="str">
        <f t="shared" si="3"/>
        <v>Принято органом регулирования1 полугодие</v>
      </c>
      <c r="CP7" s="563" t="str">
        <f t="shared" si="3"/>
        <v>Принято органом регулирования2 полугодие</v>
      </c>
      <c r="CQ7" s="563" t="str">
        <f t="shared" si="3"/>
        <v>Принято органом регулированияГод</v>
      </c>
      <c r="CR7" s="563" t="str">
        <f t="shared" si="3"/>
        <v>Принято органом регулирования1 полугодие</v>
      </c>
      <c r="CS7" s="563" t="str">
        <f t="shared" si="3"/>
        <v>Принято органом регулирования2 полугодие</v>
      </c>
      <c r="CW7" s="902"/>
      <c r="CX7" s="903"/>
      <c r="CY7" s="903"/>
      <c r="CZ7" s="903"/>
      <c r="DA7" s="906"/>
      <c r="DB7" s="906"/>
    </row>
    <row r="8" spans="1:106" s="750" customFormat="1" ht="12" hidden="1" customHeight="1">
      <c r="A8" s="769"/>
      <c r="B8" s="614"/>
      <c r="C8" s="98"/>
      <c r="D8" s="98"/>
      <c r="E8" s="623"/>
      <c r="S8" s="566"/>
      <c r="CW8" s="902"/>
      <c r="CX8" s="903"/>
      <c r="CY8" s="903"/>
      <c r="CZ8" s="903"/>
      <c r="DA8" s="906"/>
      <c r="DB8" s="906"/>
    </row>
    <row r="9" spans="1:106" s="901" customFormat="1" ht="12" hidden="1" customHeight="1">
      <c r="A9" s="900" t="s">
        <v>327</v>
      </c>
      <c r="B9" s="878"/>
      <c r="E9" s="878"/>
      <c r="S9" s="892"/>
      <c r="AH9" s="901">
        <f>god-2</f>
        <v>2024</v>
      </c>
      <c r="AI9" s="901">
        <f>god-2</f>
        <v>2024</v>
      </c>
      <c r="AJ9" s="901">
        <f>god-2</f>
        <v>2024</v>
      </c>
      <c r="AK9" s="901">
        <f>god-1</f>
        <v>2025</v>
      </c>
      <c r="AL9" s="901">
        <f>god</f>
        <v>2026</v>
      </c>
      <c r="AM9" s="901">
        <f>god</f>
        <v>2026</v>
      </c>
      <c r="AN9" s="901">
        <f>god</f>
        <v>2026</v>
      </c>
      <c r="AO9" s="901">
        <f>god+1</f>
        <v>2027</v>
      </c>
      <c r="AP9" s="901">
        <f>god+1</f>
        <v>2027</v>
      </c>
      <c r="AQ9" s="901">
        <f>god+1</f>
        <v>2027</v>
      </c>
      <c r="AR9" s="901">
        <f>god+2</f>
        <v>2028</v>
      </c>
      <c r="AS9" s="901">
        <f>god+2</f>
        <v>2028</v>
      </c>
      <c r="AT9" s="901">
        <f>god+2</f>
        <v>2028</v>
      </c>
      <c r="AU9" s="901">
        <f>god+3</f>
        <v>2029</v>
      </c>
      <c r="AV9" s="901">
        <f>god+3</f>
        <v>2029</v>
      </c>
      <c r="AW9" s="901">
        <f>god+3</f>
        <v>2029</v>
      </c>
      <c r="AX9" s="901">
        <f>god+4</f>
        <v>2030</v>
      </c>
      <c r="AY9" s="901">
        <f>god+4</f>
        <v>2030</v>
      </c>
      <c r="AZ9" s="901">
        <f>god+4</f>
        <v>2030</v>
      </c>
      <c r="BA9" s="901">
        <f>god+5</f>
        <v>2031</v>
      </c>
      <c r="BB9" s="901">
        <f>god+5</f>
        <v>2031</v>
      </c>
      <c r="BC9" s="901">
        <f>god+5</f>
        <v>2031</v>
      </c>
      <c r="BD9" s="901">
        <f>god+6</f>
        <v>2032</v>
      </c>
      <c r="BE9" s="901">
        <f>god+6</f>
        <v>2032</v>
      </c>
      <c r="BF9" s="901">
        <f>god+6</f>
        <v>2032</v>
      </c>
      <c r="BG9" s="901">
        <f>god+7</f>
        <v>2033</v>
      </c>
      <c r="BH9" s="901">
        <f>god+7</f>
        <v>2033</v>
      </c>
      <c r="BI9" s="901">
        <f>god+7</f>
        <v>2033</v>
      </c>
      <c r="BJ9" s="901">
        <f>god+8</f>
        <v>2034</v>
      </c>
      <c r="BK9" s="901">
        <f>god+8</f>
        <v>2034</v>
      </c>
      <c r="BL9" s="901">
        <f>god+8</f>
        <v>2034</v>
      </c>
      <c r="BM9" s="901">
        <f>god+9</f>
        <v>2035</v>
      </c>
      <c r="BN9" s="901">
        <f>god+9</f>
        <v>2035</v>
      </c>
      <c r="BO9" s="901">
        <f>god+9</f>
        <v>2035</v>
      </c>
      <c r="BP9" s="901">
        <f>god</f>
        <v>2026</v>
      </c>
      <c r="BQ9" s="901">
        <f>god</f>
        <v>2026</v>
      </c>
      <c r="BR9" s="901">
        <f>god</f>
        <v>2026</v>
      </c>
      <c r="BS9" s="901">
        <f>god+1</f>
        <v>2027</v>
      </c>
      <c r="BT9" s="901">
        <f>god+1</f>
        <v>2027</v>
      </c>
      <c r="BU9" s="901">
        <f>god+1</f>
        <v>2027</v>
      </c>
      <c r="BV9" s="901">
        <f>god+2</f>
        <v>2028</v>
      </c>
      <c r="BW9" s="901">
        <f>god+2</f>
        <v>2028</v>
      </c>
      <c r="BX9" s="901">
        <f>god+2</f>
        <v>2028</v>
      </c>
      <c r="BY9" s="901">
        <f>god+3</f>
        <v>2029</v>
      </c>
      <c r="BZ9" s="901">
        <f>god+3</f>
        <v>2029</v>
      </c>
      <c r="CA9" s="901">
        <f>god+3</f>
        <v>2029</v>
      </c>
      <c r="CB9" s="901">
        <f>god+4</f>
        <v>2030</v>
      </c>
      <c r="CC9" s="901">
        <f>god+4</f>
        <v>2030</v>
      </c>
      <c r="CD9" s="901">
        <f>god+4</f>
        <v>2030</v>
      </c>
      <c r="CE9" s="901">
        <f>god+5</f>
        <v>2031</v>
      </c>
      <c r="CF9" s="901">
        <f>god+5</f>
        <v>2031</v>
      </c>
      <c r="CG9" s="901">
        <f>god+5</f>
        <v>2031</v>
      </c>
      <c r="CH9" s="901">
        <f>god+6</f>
        <v>2032</v>
      </c>
      <c r="CI9" s="901">
        <f>god+6</f>
        <v>2032</v>
      </c>
      <c r="CJ9" s="901">
        <f>god+6</f>
        <v>2032</v>
      </c>
      <c r="CK9" s="901">
        <f>god+7</f>
        <v>2033</v>
      </c>
      <c r="CL9" s="901">
        <f>god+7</f>
        <v>2033</v>
      </c>
      <c r="CM9" s="901">
        <f>god+7</f>
        <v>2033</v>
      </c>
      <c r="CN9" s="901">
        <f>god+8</f>
        <v>2034</v>
      </c>
      <c r="CO9" s="901">
        <f>god+8</f>
        <v>2034</v>
      </c>
      <c r="CP9" s="901">
        <f>god+8</f>
        <v>2034</v>
      </c>
      <c r="CQ9" s="901">
        <f>god+9</f>
        <v>2035</v>
      </c>
      <c r="CR9" s="901">
        <f>god+9</f>
        <v>2035</v>
      </c>
      <c r="CS9" s="901">
        <f>god+9</f>
        <v>2035</v>
      </c>
      <c r="CW9" s="902"/>
    </row>
    <row r="10" spans="1:106" s="901" customFormat="1" ht="12" hidden="1" customHeight="1">
      <c r="A10" s="900" t="s">
        <v>328</v>
      </c>
      <c r="B10" s="878"/>
      <c r="E10" s="878"/>
      <c r="S10" s="892"/>
      <c r="AH10" s="901" t="str">
        <f t="shared" ref="AH10:BM10" si="4">AH26</f>
        <v>Принято органом регулирования</v>
      </c>
      <c r="AI10" s="901" t="str">
        <f t="shared" si="4"/>
        <v>Факт по данным организации</v>
      </c>
      <c r="AJ10" s="901" t="str">
        <f t="shared" si="4"/>
        <v>Факт, принятый органом регулирования</v>
      </c>
      <c r="AK10" s="901" t="str">
        <f t="shared" si="4"/>
        <v>Принято органом регулирования</v>
      </c>
      <c r="AL10" s="901" t="str">
        <f t="shared" si="4"/>
        <v>Предложение организации</v>
      </c>
      <c r="AM10" s="901" t="str">
        <f t="shared" si="4"/>
        <v>Предложение организации</v>
      </c>
      <c r="AN10" s="901" t="str">
        <f t="shared" si="4"/>
        <v>Предложение организации</v>
      </c>
      <c r="AO10" s="901" t="str">
        <f t="shared" si="4"/>
        <v>Предложение организации</v>
      </c>
      <c r="AP10" s="901" t="str">
        <f t="shared" si="4"/>
        <v>Предложение организации</v>
      </c>
      <c r="AQ10" s="901" t="str">
        <f t="shared" si="4"/>
        <v>Предложение организации</v>
      </c>
      <c r="AR10" s="901" t="str">
        <f t="shared" si="4"/>
        <v>Предложение организации</v>
      </c>
      <c r="AS10" s="901" t="str">
        <f t="shared" si="4"/>
        <v>Предложение организации</v>
      </c>
      <c r="AT10" s="901" t="str">
        <f t="shared" si="4"/>
        <v>Предложение организации</v>
      </c>
      <c r="AU10" s="901" t="str">
        <f t="shared" si="4"/>
        <v>Предложение организации</v>
      </c>
      <c r="AV10" s="901" t="str">
        <f t="shared" si="4"/>
        <v>Предложение организации</v>
      </c>
      <c r="AW10" s="901" t="str">
        <f t="shared" si="4"/>
        <v>Предложение организации</v>
      </c>
      <c r="AX10" s="901" t="str">
        <f t="shared" si="4"/>
        <v>Предложение организации</v>
      </c>
      <c r="AY10" s="901" t="str">
        <f t="shared" si="4"/>
        <v>Предложение организации</v>
      </c>
      <c r="AZ10" s="901" t="str">
        <f t="shared" si="4"/>
        <v>Предложение организации</v>
      </c>
      <c r="BA10" s="901" t="str">
        <f t="shared" si="4"/>
        <v>Предложение организации</v>
      </c>
      <c r="BB10" s="901" t="str">
        <f t="shared" si="4"/>
        <v>Предложение организации</v>
      </c>
      <c r="BC10" s="901" t="str">
        <f t="shared" si="4"/>
        <v>Предложение организации</v>
      </c>
      <c r="BD10" s="901" t="str">
        <f t="shared" si="4"/>
        <v>Предложение организации</v>
      </c>
      <c r="BE10" s="901" t="str">
        <f t="shared" si="4"/>
        <v>Предложение организации</v>
      </c>
      <c r="BF10" s="901" t="str">
        <f t="shared" si="4"/>
        <v>Предложение организации</v>
      </c>
      <c r="BG10" s="901" t="str">
        <f t="shared" si="4"/>
        <v>Предложение организации</v>
      </c>
      <c r="BH10" s="901" t="str">
        <f t="shared" si="4"/>
        <v>Предложение организации</v>
      </c>
      <c r="BI10" s="901" t="str">
        <f t="shared" si="4"/>
        <v>Предложение организации</v>
      </c>
      <c r="BJ10" s="901" t="str">
        <f t="shared" si="4"/>
        <v>Предложение организации</v>
      </c>
      <c r="BK10" s="901" t="str">
        <f t="shared" si="4"/>
        <v>Предложение организации</v>
      </c>
      <c r="BL10" s="901" t="str">
        <f t="shared" si="4"/>
        <v>Предложение организации</v>
      </c>
      <c r="BM10" s="901" t="str">
        <f t="shared" si="4"/>
        <v>Предложение организации</v>
      </c>
      <c r="BN10" s="901" t="str">
        <f t="shared" ref="BN10:CS10" si="5">BN26</f>
        <v>Предложение организации</v>
      </c>
      <c r="BO10" s="901" t="str">
        <f t="shared" si="5"/>
        <v>Предложение организации</v>
      </c>
      <c r="BP10" s="901" t="str">
        <f t="shared" si="5"/>
        <v>Принято органом регулирования</v>
      </c>
      <c r="BQ10" s="901" t="str">
        <f t="shared" si="5"/>
        <v>Принято органом регулирования</v>
      </c>
      <c r="BR10" s="901" t="str">
        <f t="shared" si="5"/>
        <v>Принято органом регулирования</v>
      </c>
      <c r="BS10" s="901" t="str">
        <f t="shared" si="5"/>
        <v>Принято органом регулирования</v>
      </c>
      <c r="BT10" s="901" t="str">
        <f t="shared" si="5"/>
        <v>Принято органом регулирования</v>
      </c>
      <c r="BU10" s="901" t="str">
        <f t="shared" si="5"/>
        <v>Принято органом регулирования</v>
      </c>
      <c r="BV10" s="901" t="str">
        <f t="shared" si="5"/>
        <v>Принято органом регулирования</v>
      </c>
      <c r="BW10" s="901" t="str">
        <f t="shared" si="5"/>
        <v>Принято органом регулирования</v>
      </c>
      <c r="BX10" s="901" t="str">
        <f t="shared" si="5"/>
        <v>Принято органом регулирования</v>
      </c>
      <c r="BY10" s="901" t="str">
        <f t="shared" si="5"/>
        <v>Принято органом регулирования</v>
      </c>
      <c r="BZ10" s="901" t="str">
        <f t="shared" si="5"/>
        <v>Принято органом регулирования</v>
      </c>
      <c r="CA10" s="901" t="str">
        <f t="shared" si="5"/>
        <v>Принято органом регулирования</v>
      </c>
      <c r="CB10" s="901" t="str">
        <f t="shared" si="5"/>
        <v>Принято органом регулирования</v>
      </c>
      <c r="CC10" s="901" t="str">
        <f t="shared" si="5"/>
        <v>Принято органом регулирования</v>
      </c>
      <c r="CD10" s="901" t="str">
        <f t="shared" si="5"/>
        <v>Принято органом регулирования</v>
      </c>
      <c r="CE10" s="901" t="str">
        <f t="shared" si="5"/>
        <v>Принято органом регулирования</v>
      </c>
      <c r="CF10" s="901" t="str">
        <f t="shared" si="5"/>
        <v>Принято органом регулирования</v>
      </c>
      <c r="CG10" s="901" t="str">
        <f t="shared" si="5"/>
        <v>Принято органом регулирования</v>
      </c>
      <c r="CH10" s="901" t="str">
        <f t="shared" si="5"/>
        <v>Принято органом регулирования</v>
      </c>
      <c r="CI10" s="901" t="str">
        <f t="shared" si="5"/>
        <v>Принято органом регулирования</v>
      </c>
      <c r="CJ10" s="901" t="str">
        <f t="shared" si="5"/>
        <v>Принято органом регулирования</v>
      </c>
      <c r="CK10" s="901" t="str">
        <f t="shared" si="5"/>
        <v>Принято органом регулирования</v>
      </c>
      <c r="CL10" s="901" t="str">
        <f t="shared" si="5"/>
        <v>Принято органом регулирования</v>
      </c>
      <c r="CM10" s="901" t="str">
        <f t="shared" si="5"/>
        <v>Принято органом регулирования</v>
      </c>
      <c r="CN10" s="901" t="str">
        <f t="shared" si="5"/>
        <v>Принято органом регулирования</v>
      </c>
      <c r="CO10" s="901" t="str">
        <f t="shared" si="5"/>
        <v>Принято органом регулирования</v>
      </c>
      <c r="CP10" s="901" t="str">
        <f t="shared" si="5"/>
        <v>Принято органом регулирования</v>
      </c>
      <c r="CQ10" s="901" t="str">
        <f t="shared" si="5"/>
        <v>Принято органом регулирования</v>
      </c>
      <c r="CR10" s="901" t="str">
        <f t="shared" si="5"/>
        <v>Принято органом регулирования</v>
      </c>
      <c r="CS10" s="901" t="str">
        <f t="shared" si="5"/>
        <v>Принято органом регулирования</v>
      </c>
      <c r="CW10" s="902"/>
    </row>
    <row r="11" spans="1:106" s="901" customFormat="1" ht="12" hidden="1" customHeight="1">
      <c r="A11" s="900" t="s">
        <v>329</v>
      </c>
      <c r="B11" s="878"/>
      <c r="E11" s="878"/>
      <c r="G11" s="903"/>
      <c r="H11" s="903"/>
      <c r="I11" s="903"/>
      <c r="J11" s="903"/>
      <c r="K11" s="903"/>
      <c r="L11" s="903"/>
      <c r="M11" s="903"/>
      <c r="N11" s="903"/>
      <c r="O11" s="903"/>
      <c r="P11" s="903"/>
      <c r="Q11" s="903"/>
      <c r="S11" s="892"/>
      <c r="AH11" s="901" t="str">
        <f t="shared" ref="AH11:BM11" si="6">AH25</f>
        <v>Год</v>
      </c>
      <c r="AI11" s="901" t="str">
        <f t="shared" si="6"/>
        <v>Год</v>
      </c>
      <c r="AJ11" s="901" t="str">
        <f t="shared" si="6"/>
        <v>Год</v>
      </c>
      <c r="AK11" s="901" t="str">
        <f t="shared" si="6"/>
        <v>Год</v>
      </c>
      <c r="AL11" s="901" t="str">
        <f t="shared" si="6"/>
        <v>Год</v>
      </c>
      <c r="AM11" s="901" t="str">
        <f t="shared" si="6"/>
        <v>01.01.-30.09.</v>
      </c>
      <c r="AN11" s="901" t="str">
        <f t="shared" si="6"/>
        <v>01.10.-31.12.</v>
      </c>
      <c r="AO11" s="901" t="str">
        <f t="shared" si="6"/>
        <v>Год</v>
      </c>
      <c r="AP11" s="901" t="str">
        <f t="shared" si="6"/>
        <v>1 полугодие</v>
      </c>
      <c r="AQ11" s="901" t="str">
        <f t="shared" si="6"/>
        <v>2 полугодие</v>
      </c>
      <c r="AR11" s="901" t="str">
        <f t="shared" si="6"/>
        <v>Год</v>
      </c>
      <c r="AS11" s="901" t="str">
        <f t="shared" si="6"/>
        <v>1 полугодие</v>
      </c>
      <c r="AT11" s="901" t="str">
        <f t="shared" si="6"/>
        <v>2 полугодие</v>
      </c>
      <c r="AU11" s="901" t="str">
        <f t="shared" si="6"/>
        <v>Год</v>
      </c>
      <c r="AV11" s="901" t="str">
        <f t="shared" si="6"/>
        <v>1 полугодие</v>
      </c>
      <c r="AW11" s="901" t="str">
        <f t="shared" si="6"/>
        <v>2 полугодие</v>
      </c>
      <c r="AX11" s="901" t="str">
        <f t="shared" si="6"/>
        <v>Год</v>
      </c>
      <c r="AY11" s="901" t="str">
        <f t="shared" si="6"/>
        <v>1 полугодие</v>
      </c>
      <c r="AZ11" s="901" t="str">
        <f t="shared" si="6"/>
        <v>2 полугодие</v>
      </c>
      <c r="BA11" s="901" t="str">
        <f t="shared" si="6"/>
        <v>Год</v>
      </c>
      <c r="BB11" s="901" t="str">
        <f t="shared" si="6"/>
        <v>1 полугодие</v>
      </c>
      <c r="BC11" s="901" t="str">
        <f t="shared" si="6"/>
        <v>2 полугодие</v>
      </c>
      <c r="BD11" s="901" t="str">
        <f t="shared" si="6"/>
        <v>Год</v>
      </c>
      <c r="BE11" s="901" t="str">
        <f t="shared" si="6"/>
        <v>1 полугодие</v>
      </c>
      <c r="BF11" s="901" t="str">
        <f t="shared" si="6"/>
        <v>2 полугодие</v>
      </c>
      <c r="BG11" s="901" t="str">
        <f t="shared" si="6"/>
        <v>Год</v>
      </c>
      <c r="BH11" s="901" t="str">
        <f t="shared" si="6"/>
        <v>1 полугодие</v>
      </c>
      <c r="BI11" s="901" t="str">
        <f t="shared" si="6"/>
        <v>2 полугодие</v>
      </c>
      <c r="BJ11" s="901" t="str">
        <f t="shared" si="6"/>
        <v>Год</v>
      </c>
      <c r="BK11" s="901" t="str">
        <f t="shared" si="6"/>
        <v>1 полугодие</v>
      </c>
      <c r="BL11" s="901" t="str">
        <f t="shared" si="6"/>
        <v>2 полугодие</v>
      </c>
      <c r="BM11" s="901" t="str">
        <f t="shared" si="6"/>
        <v>Год</v>
      </c>
      <c r="BN11" s="901" t="str">
        <f t="shared" ref="BN11:CS11" si="7">BN25</f>
        <v>1 полугодие</v>
      </c>
      <c r="BO11" s="901" t="str">
        <f t="shared" si="7"/>
        <v>2 полугодие</v>
      </c>
      <c r="BP11" s="901" t="str">
        <f t="shared" si="7"/>
        <v>Год</v>
      </c>
      <c r="BQ11" s="901" t="str">
        <f t="shared" si="7"/>
        <v>01.01.-30.09.</v>
      </c>
      <c r="BR11" s="901" t="str">
        <f t="shared" si="7"/>
        <v>01.10.-31.12.</v>
      </c>
      <c r="BS11" s="901" t="str">
        <f t="shared" si="7"/>
        <v>Год</v>
      </c>
      <c r="BT11" s="901" t="str">
        <f t="shared" si="7"/>
        <v>1 полугодие</v>
      </c>
      <c r="BU11" s="901" t="str">
        <f t="shared" si="7"/>
        <v>2 полугодие</v>
      </c>
      <c r="BV11" s="901" t="str">
        <f t="shared" si="7"/>
        <v>Год</v>
      </c>
      <c r="BW11" s="901" t="str">
        <f t="shared" si="7"/>
        <v>1 полугодие</v>
      </c>
      <c r="BX11" s="901" t="str">
        <f t="shared" si="7"/>
        <v>2 полугодие</v>
      </c>
      <c r="BY11" s="901" t="str">
        <f t="shared" si="7"/>
        <v>Год</v>
      </c>
      <c r="BZ11" s="901" t="str">
        <f t="shared" si="7"/>
        <v>1 полугодие</v>
      </c>
      <c r="CA11" s="901" t="str">
        <f t="shared" si="7"/>
        <v>2 полугодие</v>
      </c>
      <c r="CB11" s="901" t="str">
        <f t="shared" si="7"/>
        <v>Год</v>
      </c>
      <c r="CC11" s="901" t="str">
        <f t="shared" si="7"/>
        <v>1 полугодие</v>
      </c>
      <c r="CD11" s="901" t="str">
        <f t="shared" si="7"/>
        <v>2 полугодие</v>
      </c>
      <c r="CE11" s="901" t="str">
        <f t="shared" si="7"/>
        <v>Год</v>
      </c>
      <c r="CF11" s="901" t="str">
        <f t="shared" si="7"/>
        <v>1 полугодие</v>
      </c>
      <c r="CG11" s="901" t="str">
        <f t="shared" si="7"/>
        <v>2 полугодие</v>
      </c>
      <c r="CH11" s="901" t="str">
        <f t="shared" si="7"/>
        <v>Год</v>
      </c>
      <c r="CI11" s="901" t="str">
        <f t="shared" si="7"/>
        <v>1 полугодие</v>
      </c>
      <c r="CJ11" s="901" t="str">
        <f t="shared" si="7"/>
        <v>2 полугодие</v>
      </c>
      <c r="CK11" s="901" t="str">
        <f t="shared" si="7"/>
        <v>Год</v>
      </c>
      <c r="CL11" s="901" t="str">
        <f t="shared" si="7"/>
        <v>1 полугодие</v>
      </c>
      <c r="CM11" s="901" t="str">
        <f t="shared" si="7"/>
        <v>2 полугодие</v>
      </c>
      <c r="CN11" s="901" t="str">
        <f t="shared" si="7"/>
        <v>Год</v>
      </c>
      <c r="CO11" s="901" t="str">
        <f t="shared" si="7"/>
        <v>1 полугодие</v>
      </c>
      <c r="CP11" s="901" t="str">
        <f t="shared" si="7"/>
        <v>2 полугодие</v>
      </c>
      <c r="CQ11" s="901" t="str">
        <f t="shared" si="7"/>
        <v>Год</v>
      </c>
      <c r="CR11" s="901" t="str">
        <f t="shared" si="7"/>
        <v>1 полугодие</v>
      </c>
      <c r="CS11" s="901" t="str">
        <f t="shared" si="7"/>
        <v>2 полугодие</v>
      </c>
      <c r="CT11" s="901" t="str">
        <f>CT24</f>
        <v>Ссылка на правовую норму (основание для принятия показателя в расчет тарифа)</v>
      </c>
      <c r="CW11" s="902"/>
    </row>
    <row r="12" spans="1:106" s="901" customFormat="1" ht="12" hidden="1" customHeight="1">
      <c r="A12" s="900" t="s">
        <v>286</v>
      </c>
      <c r="B12" s="878"/>
      <c r="E12" s="878"/>
      <c r="G12" s="903"/>
      <c r="H12" s="903"/>
      <c r="I12" s="903"/>
      <c r="J12" s="903"/>
      <c r="K12" s="903"/>
      <c r="L12" s="903"/>
      <c r="M12" s="903"/>
      <c r="N12" s="903"/>
      <c r="O12" s="903"/>
      <c r="P12" s="903"/>
      <c r="Q12" s="903"/>
      <c r="S12" s="892"/>
      <c r="AE12" s="901" t="s">
        <v>277</v>
      </c>
      <c r="AF12" s="901" t="s">
        <v>561</v>
      </c>
      <c r="CW12" s="902"/>
    </row>
    <row r="13" spans="1:106" s="1016" customFormat="1" ht="12" hidden="1" customHeight="1">
      <c r="A13" s="769"/>
      <c r="B13" s="614"/>
      <c r="E13" s="623"/>
      <c r="G13" s="563"/>
      <c r="H13" s="563"/>
      <c r="I13" s="563"/>
      <c r="J13" s="563"/>
      <c r="K13" s="563"/>
      <c r="L13" s="563"/>
      <c r="M13" s="563"/>
      <c r="N13" s="563"/>
      <c r="O13" s="563"/>
      <c r="P13" s="563"/>
      <c r="Q13" s="563"/>
      <c r="S13" s="714"/>
      <c r="CW13" s="902"/>
      <c r="CX13" s="901"/>
      <c r="CY13" s="901"/>
      <c r="CZ13" s="901"/>
      <c r="DA13" s="904"/>
      <c r="DB13" s="904"/>
    </row>
    <row r="14" spans="1:106" s="1016" customFormat="1" ht="12" hidden="1" customHeight="1">
      <c r="A14" s="769"/>
      <c r="B14" s="614"/>
      <c r="E14" s="623"/>
      <c r="G14" s="563"/>
      <c r="H14" s="563"/>
      <c r="I14" s="563"/>
      <c r="J14" s="563"/>
      <c r="K14" s="563"/>
      <c r="L14" s="563"/>
      <c r="M14" s="563"/>
      <c r="N14" s="563"/>
      <c r="O14" s="563"/>
      <c r="P14" s="563"/>
      <c r="Q14" s="563"/>
      <c r="S14" s="714"/>
      <c r="CW14" s="902"/>
      <c r="CX14" s="901"/>
      <c r="CY14" s="901"/>
      <c r="CZ14" s="901"/>
      <c r="DA14" s="904"/>
      <c r="DB14" s="904"/>
    </row>
    <row r="15" spans="1:106" s="1016" customFormat="1" ht="12" hidden="1" customHeight="1">
      <c r="A15" s="769"/>
      <c r="B15" s="614"/>
      <c r="E15" s="623"/>
      <c r="G15" s="563"/>
      <c r="H15" s="563"/>
      <c r="I15" s="563"/>
      <c r="J15" s="563"/>
      <c r="K15" s="563"/>
      <c r="L15" s="563"/>
      <c r="M15" s="563"/>
      <c r="N15" s="563"/>
      <c r="O15" s="563"/>
      <c r="P15" s="563"/>
      <c r="Q15" s="563"/>
      <c r="S15" s="714"/>
      <c r="CW15" s="902"/>
      <c r="CX15" s="901"/>
      <c r="CY15" s="901"/>
      <c r="CZ15" s="901"/>
      <c r="DA15" s="904"/>
      <c r="DB15" s="904"/>
    </row>
    <row r="16" spans="1:106" s="1016" customFormat="1" ht="12" hidden="1" customHeight="1">
      <c r="A16" s="769"/>
      <c r="B16" s="614"/>
      <c r="E16" s="623"/>
      <c r="G16" s="563"/>
      <c r="H16" s="563"/>
      <c r="I16" s="563"/>
      <c r="J16" s="563"/>
      <c r="K16" s="563"/>
      <c r="L16" s="563"/>
      <c r="M16" s="563"/>
      <c r="N16" s="563"/>
      <c r="O16" s="563"/>
      <c r="P16" s="563"/>
      <c r="Q16" s="563"/>
      <c r="S16" s="714"/>
      <c r="CW16" s="902"/>
      <c r="CX16" s="901"/>
      <c r="CY16" s="901"/>
      <c r="CZ16" s="901"/>
      <c r="DA16" s="904"/>
      <c r="DB16" s="904"/>
    </row>
    <row r="17" spans="1:106" s="1016" customFormat="1" ht="12" hidden="1" customHeight="1">
      <c r="A17" s="769"/>
      <c r="B17" s="614"/>
      <c r="E17" s="623"/>
      <c r="G17" s="563"/>
      <c r="H17" s="563"/>
      <c r="I17" s="563"/>
      <c r="J17" s="563"/>
      <c r="K17" s="563"/>
      <c r="L17" s="563"/>
      <c r="M17" s="563"/>
      <c r="N17" s="563"/>
      <c r="O17" s="563"/>
      <c r="P17" s="563"/>
      <c r="Q17" s="563"/>
      <c r="S17" s="714"/>
      <c r="CW17" s="902"/>
      <c r="CX17" s="901"/>
      <c r="CY17" s="901"/>
      <c r="CZ17" s="901"/>
      <c r="DA17" s="904"/>
      <c r="DB17" s="904"/>
    </row>
    <row r="18" spans="1:106" s="1016" customFormat="1" ht="12" hidden="1" customHeight="1">
      <c r="A18" s="775" t="s">
        <v>385</v>
      </c>
      <c r="B18" s="614"/>
      <c r="E18" s="623"/>
      <c r="G18" s="563"/>
      <c r="H18" s="563"/>
      <c r="I18" s="563"/>
      <c r="J18" s="563"/>
      <c r="K18" s="563"/>
      <c r="L18" s="563"/>
      <c r="M18" s="563"/>
      <c r="N18" s="563"/>
      <c r="O18" s="563"/>
      <c r="P18" s="563"/>
      <c r="Q18" s="563"/>
      <c r="S18" s="714"/>
      <c r="AE18" s="98" t="s">
        <v>562</v>
      </c>
      <c r="AF18" s="98" t="s">
        <v>563</v>
      </c>
      <c r="CW18" s="902"/>
      <c r="CX18" s="901"/>
      <c r="CY18" s="901"/>
      <c r="CZ18" s="901"/>
      <c r="DA18" s="904"/>
      <c r="DB18" s="904"/>
    </row>
    <row r="19" spans="1:106" s="1016" customFormat="1" ht="12" hidden="1" customHeight="1">
      <c r="A19" s="769"/>
      <c r="B19" s="614"/>
      <c r="E19" s="623"/>
      <c r="G19" s="563"/>
      <c r="H19" s="563"/>
      <c r="I19" s="563"/>
      <c r="J19" s="563"/>
      <c r="K19" s="563"/>
      <c r="L19" s="563"/>
      <c r="M19" s="563"/>
      <c r="N19" s="563"/>
      <c r="O19" s="563"/>
      <c r="P19" s="563"/>
      <c r="Q19" s="563"/>
      <c r="S19" s="714"/>
      <c r="CW19" s="902"/>
      <c r="CX19" s="901"/>
      <c r="CY19" s="901"/>
      <c r="CZ19" s="901"/>
      <c r="DA19" s="904"/>
      <c r="DB19" s="904"/>
    </row>
    <row r="20" spans="1:106" s="1016" customFormat="1" ht="12" hidden="1" customHeight="1">
      <c r="A20" s="769"/>
      <c r="B20" s="614"/>
      <c r="E20" s="623"/>
      <c r="G20" s="563"/>
      <c r="H20" s="563"/>
      <c r="I20" s="563"/>
      <c r="J20" s="563"/>
      <c r="K20" s="563"/>
      <c r="L20" s="563"/>
      <c r="M20" s="563"/>
      <c r="N20" s="563"/>
      <c r="O20" s="563"/>
      <c r="P20" s="563"/>
      <c r="Q20" s="563"/>
      <c r="S20" s="714"/>
      <c r="CW20" s="902"/>
      <c r="CX20" s="901"/>
      <c r="CY20" s="901"/>
      <c r="CZ20" s="901"/>
      <c r="DA20" s="904"/>
      <c r="DB20" s="904"/>
    </row>
    <row r="21" spans="1:106" s="646" customFormat="1" ht="11.1" customHeight="1">
      <c r="A21" s="769"/>
      <c r="B21" s="614"/>
      <c r="C21" s="98"/>
      <c r="D21" s="98"/>
      <c r="E21" s="623">
        <v>11.4</v>
      </c>
      <c r="F21" s="98"/>
      <c r="G21" s="563"/>
      <c r="H21" s="563"/>
      <c r="I21" s="563"/>
      <c r="J21" s="563"/>
      <c r="K21" s="563"/>
      <c r="L21" s="563"/>
      <c r="M21" s="563"/>
      <c r="N21" s="563"/>
      <c r="O21" s="563"/>
      <c r="P21" s="563"/>
      <c r="Q21" s="563"/>
      <c r="R21" s="98"/>
      <c r="S21" s="714"/>
      <c r="T21" s="98"/>
      <c r="U21" s="98"/>
      <c r="V21" s="98"/>
      <c r="W21" s="98"/>
      <c r="X21" s="98"/>
      <c r="Y21" s="98"/>
      <c r="Z21" s="98"/>
      <c r="AE21" s="315" t="str">
        <f>tpl_title</f>
        <v>Кемеровская область / 2026 / АО "СУЭК-Кузбасс" (ИНН:4212024138, КПП:421201001) / ДПР: 2024-2028</v>
      </c>
      <c r="CW21" s="902"/>
      <c r="CX21" s="907"/>
      <c r="CY21" s="907"/>
      <c r="CZ21" s="907"/>
      <c r="DA21" s="908"/>
      <c r="DB21" s="908"/>
    </row>
    <row r="22" spans="1:106" s="750" customFormat="1" ht="19.5" customHeight="1">
      <c r="A22" s="315"/>
      <c r="B22" s="614"/>
      <c r="C22" s="116"/>
      <c r="D22" s="116"/>
      <c r="E22" s="623">
        <v>20.100000000000001</v>
      </c>
      <c r="F22" s="116"/>
      <c r="R22" s="116"/>
      <c r="S22" s="116"/>
      <c r="T22" s="116"/>
      <c r="U22" s="116"/>
      <c r="V22" s="116"/>
      <c r="W22" s="116"/>
      <c r="X22" s="116"/>
      <c r="Y22" s="116"/>
      <c r="Z22" s="116"/>
      <c r="AD22" s="305" t="s">
        <v>35</v>
      </c>
      <c r="AE22" s="305"/>
      <c r="AF22" s="206"/>
      <c r="AG22" s="240"/>
      <c r="AH22" s="240"/>
      <c r="AI22" s="240"/>
      <c r="AJ22" s="240"/>
      <c r="AK22" s="240"/>
      <c r="AL22" s="240"/>
      <c r="AM22" s="240"/>
      <c r="AN22" s="240"/>
      <c r="AO22" s="240"/>
      <c r="AP22" s="240"/>
      <c r="AQ22" s="240"/>
      <c r="AR22" s="240"/>
      <c r="AS22" s="240"/>
      <c r="AT22" s="240"/>
      <c r="AU22" s="240"/>
      <c r="AV22" s="240"/>
      <c r="AW22" s="240"/>
      <c r="AX22" s="240"/>
      <c r="AY22" s="240"/>
      <c r="AZ22" s="240"/>
      <c r="BA22" s="240"/>
      <c r="BB22" s="240"/>
      <c r="BC22" s="240"/>
      <c r="BD22" s="240"/>
      <c r="BE22" s="240"/>
      <c r="BF22" s="240"/>
      <c r="CW22" s="909"/>
      <c r="CX22" s="888"/>
      <c r="CY22" s="888"/>
      <c r="CZ22" s="888"/>
      <c r="DA22" s="910"/>
      <c r="DB22" s="910"/>
    </row>
    <row r="23" spans="1:106" ht="11.1" customHeight="1">
      <c r="E23" s="623">
        <v>11.4</v>
      </c>
      <c r="AO23" s="1110"/>
      <c r="AP23" s="1110"/>
      <c r="AQ23" s="1110"/>
      <c r="AR23" s="1110"/>
      <c r="AS23" s="1110"/>
      <c r="AT23" s="1110"/>
      <c r="AU23" s="1110"/>
      <c r="AV23" s="1110"/>
      <c r="AW23" s="1110"/>
      <c r="AX23" s="1110"/>
      <c r="AY23" s="1110"/>
      <c r="AZ23" s="1110"/>
      <c r="BA23" s="1110"/>
      <c r="BB23" s="1110"/>
      <c r="BC23" s="1110"/>
      <c r="BD23" s="1110"/>
      <c r="BE23" s="1110"/>
      <c r="BF23" s="1110"/>
      <c r="BG23" s="1110"/>
      <c r="BH23" s="1110"/>
      <c r="BI23" s="1110"/>
      <c r="BJ23" s="1110"/>
      <c r="BK23" s="1110"/>
      <c r="BL23" s="1110"/>
      <c r="BM23" s="1110"/>
      <c r="BN23" s="1110"/>
      <c r="BO23" s="1110"/>
      <c r="BP23" s="1110"/>
      <c r="BQ23" s="1110"/>
      <c r="BR23" s="1110"/>
      <c r="BS23" s="1110"/>
      <c r="BT23" s="1110"/>
      <c r="BU23" s="1110"/>
      <c r="BV23" s="1110"/>
      <c r="BW23" s="1110"/>
      <c r="BX23" s="1110"/>
      <c r="BY23" s="1110"/>
      <c r="BZ23" s="1110"/>
      <c r="CA23" s="1110"/>
      <c r="CB23" s="1110"/>
      <c r="CC23" s="1110"/>
      <c r="CD23" s="1110"/>
      <c r="CE23" s="1110"/>
      <c r="CF23" s="1110"/>
      <c r="CG23" s="1110"/>
      <c r="CH23" s="1110"/>
      <c r="CI23" s="1110"/>
      <c r="CJ23" s="1110"/>
      <c r="CK23" s="1110"/>
      <c r="CL23" s="1110"/>
      <c r="CM23" s="1110"/>
      <c r="CN23" s="1110"/>
      <c r="CO23" s="1110"/>
      <c r="CP23" s="1110"/>
      <c r="CQ23" s="1110"/>
      <c r="CR23" s="1110"/>
      <c r="CS23" s="1110"/>
    </row>
    <row r="24" spans="1:106" ht="15.4" customHeight="1">
      <c r="E24" s="623">
        <v>15.8</v>
      </c>
      <c r="AB24" s="1457" t="s">
        <v>564</v>
      </c>
      <c r="AC24" s="1457"/>
      <c r="AD24" s="1457"/>
      <c r="AE24" s="1457" t="s">
        <v>565</v>
      </c>
      <c r="AF24" s="1457"/>
      <c r="AG24" s="1466" t="s">
        <v>331</v>
      </c>
      <c r="AH24" s="640" t="str">
        <f>god-2&amp;" год"</f>
        <v>2024 год</v>
      </c>
      <c r="AI24" s="1006" t="str">
        <f>god-2&amp;" год"</f>
        <v>2024 год</v>
      </c>
      <c r="AJ24" s="323" t="str">
        <f>god-2&amp;" год"</f>
        <v>2024 год</v>
      </c>
      <c r="AK24" s="112" t="str">
        <f>god-1&amp;" год"</f>
        <v>2025 год</v>
      </c>
      <c r="AL24" s="1001" t="str">
        <f>god&amp;" год"</f>
        <v>2026 год</v>
      </c>
      <c r="AM24" s="1001" t="str">
        <f>AL24</f>
        <v>2026 год</v>
      </c>
      <c r="AN24" s="1001" t="str">
        <f>AM24</f>
        <v>2026 год</v>
      </c>
      <c r="AO24" s="1001" t="str">
        <f>god+1&amp;" год"</f>
        <v>2027 год</v>
      </c>
      <c r="AP24" s="1001" t="str">
        <f>AO24</f>
        <v>2027 год</v>
      </c>
      <c r="AQ24" s="1001" t="str">
        <f>AP24</f>
        <v>2027 год</v>
      </c>
      <c r="AR24" s="1001" t="str">
        <f>god+2&amp;" год"</f>
        <v>2028 год</v>
      </c>
      <c r="AS24" s="1001" t="str">
        <f>AR24</f>
        <v>2028 год</v>
      </c>
      <c r="AT24" s="1001" t="str">
        <f>AS24</f>
        <v>2028 год</v>
      </c>
      <c r="AU24" s="1001" t="str">
        <f>god+3&amp;" год"</f>
        <v>2029 год</v>
      </c>
      <c r="AV24" s="1001" t="str">
        <f>AU24</f>
        <v>2029 год</v>
      </c>
      <c r="AW24" s="1001" t="str">
        <f>AV24</f>
        <v>2029 год</v>
      </c>
      <c r="AX24" s="1001" t="str">
        <f>god+4&amp;" год"</f>
        <v>2030 год</v>
      </c>
      <c r="AY24" s="1001" t="str">
        <f>AX24</f>
        <v>2030 год</v>
      </c>
      <c r="AZ24" s="1001" t="str">
        <f>AY24</f>
        <v>2030 год</v>
      </c>
      <c r="BA24" s="1001" t="str">
        <f>god+5&amp;" год"</f>
        <v>2031 год</v>
      </c>
      <c r="BB24" s="1001" t="str">
        <f>BA24</f>
        <v>2031 год</v>
      </c>
      <c r="BC24" s="1001" t="str">
        <f>BB24</f>
        <v>2031 год</v>
      </c>
      <c r="BD24" s="1001" t="str">
        <f>god+6&amp;" год"</f>
        <v>2032 год</v>
      </c>
      <c r="BE24" s="1001" t="str">
        <f>BD24</f>
        <v>2032 год</v>
      </c>
      <c r="BF24" s="1001" t="str">
        <f>BE24</f>
        <v>2032 год</v>
      </c>
      <c r="BG24" s="1001" t="str">
        <f>god+7&amp;" год"</f>
        <v>2033 год</v>
      </c>
      <c r="BH24" s="1001" t="str">
        <f>BG24</f>
        <v>2033 год</v>
      </c>
      <c r="BI24" s="1001" t="str">
        <f>BH24</f>
        <v>2033 год</v>
      </c>
      <c r="BJ24" s="1001" t="str">
        <f>god+8&amp;" год"</f>
        <v>2034 год</v>
      </c>
      <c r="BK24" s="1001" t="str">
        <f>BJ24</f>
        <v>2034 год</v>
      </c>
      <c r="BL24" s="1001" t="str">
        <f>BK24</f>
        <v>2034 год</v>
      </c>
      <c r="BM24" s="1001" t="str">
        <f>god+9&amp;" год"</f>
        <v>2035 год</v>
      </c>
      <c r="BN24" s="1001" t="str">
        <f>BM24</f>
        <v>2035 год</v>
      </c>
      <c r="BO24" s="1001" t="str">
        <f>BN24</f>
        <v>2035 год</v>
      </c>
      <c r="BP24" s="108" t="str">
        <f>god&amp;" год"</f>
        <v>2026 год</v>
      </c>
      <c r="BQ24" s="108" t="str">
        <f>BP24</f>
        <v>2026 год</v>
      </c>
      <c r="BR24" s="108" t="str">
        <f>BQ24</f>
        <v>2026 год</v>
      </c>
      <c r="BS24" s="108" t="str">
        <f>god+1&amp;" год"</f>
        <v>2027 год</v>
      </c>
      <c r="BT24" s="108" t="str">
        <f>BS24</f>
        <v>2027 год</v>
      </c>
      <c r="BU24" s="108" t="str">
        <f>BT24</f>
        <v>2027 год</v>
      </c>
      <c r="BV24" s="108" t="str">
        <f>god+2&amp;" год"</f>
        <v>2028 год</v>
      </c>
      <c r="BW24" s="108" t="str">
        <f>BV24</f>
        <v>2028 год</v>
      </c>
      <c r="BX24" s="108" t="str">
        <f>BW24</f>
        <v>2028 год</v>
      </c>
      <c r="BY24" s="324" t="str">
        <f>god+3&amp;" год"</f>
        <v>2029 год</v>
      </c>
      <c r="BZ24" s="108" t="str">
        <f>BY24</f>
        <v>2029 год</v>
      </c>
      <c r="CA24" s="108" t="str">
        <f>BZ24</f>
        <v>2029 год</v>
      </c>
      <c r="CB24" s="107" t="str">
        <f>god+4&amp;" год"</f>
        <v>2030 год</v>
      </c>
      <c r="CC24" s="108" t="str">
        <f>CB24</f>
        <v>2030 год</v>
      </c>
      <c r="CD24" s="108" t="str">
        <f>CC24</f>
        <v>2030 год</v>
      </c>
      <c r="CE24" s="476" t="str">
        <f>god+5&amp;" год"</f>
        <v>2031 год</v>
      </c>
      <c r="CF24" s="108" t="str">
        <f>CE24</f>
        <v>2031 год</v>
      </c>
      <c r="CG24" s="108" t="str">
        <f>CF24</f>
        <v>2031 год</v>
      </c>
      <c r="CH24" s="108" t="str">
        <f>god+6&amp;" год"</f>
        <v>2032 год</v>
      </c>
      <c r="CI24" s="108" t="str">
        <f>CH24</f>
        <v>2032 год</v>
      </c>
      <c r="CJ24" s="108" t="str">
        <f>CI24</f>
        <v>2032 год</v>
      </c>
      <c r="CK24" s="108" t="str">
        <f>god+7&amp;" год"</f>
        <v>2033 год</v>
      </c>
      <c r="CL24" s="108" t="str">
        <f>CK24</f>
        <v>2033 год</v>
      </c>
      <c r="CM24" s="108" t="str">
        <f>CL24</f>
        <v>2033 год</v>
      </c>
      <c r="CN24" s="324" t="str">
        <f>god+8&amp;" год"</f>
        <v>2034 год</v>
      </c>
      <c r="CO24" s="108" t="str">
        <f>CN24</f>
        <v>2034 год</v>
      </c>
      <c r="CP24" s="108" t="str">
        <f>CO24</f>
        <v>2034 год</v>
      </c>
      <c r="CQ24" s="107" t="str">
        <f>god+9&amp;" год"</f>
        <v>2035 год</v>
      </c>
      <c r="CR24" s="108" t="str">
        <f>CQ24</f>
        <v>2035 год</v>
      </c>
      <c r="CS24" s="108" t="str">
        <f>CR24</f>
        <v>2035 год</v>
      </c>
      <c r="CT24" s="1416" t="s">
        <v>486</v>
      </c>
    </row>
    <row r="25" spans="1:106" ht="15.4" customHeight="1">
      <c r="E25" s="623">
        <v>15.8</v>
      </c>
      <c r="AB25" s="1457"/>
      <c r="AC25" s="1457"/>
      <c r="AD25" s="1457"/>
      <c r="AE25" s="1457"/>
      <c r="AF25" s="1457"/>
      <c r="AG25" s="1466"/>
      <c r="AH25" s="640" t="s">
        <v>566</v>
      </c>
      <c r="AI25" s="1006" t="s">
        <v>566</v>
      </c>
      <c r="AJ25" s="323" t="s">
        <v>566</v>
      </c>
      <c r="AK25" s="323" t="s">
        <v>566</v>
      </c>
      <c r="AL25" s="1006" t="s">
        <v>566</v>
      </c>
      <c r="AM25" s="1002" t="str">
        <f>IF(god=2026,"01.01.-30.09.","1 полугодие")</f>
        <v>01.01.-30.09.</v>
      </c>
      <c r="AN25" s="1002" t="str">
        <f>IF(god=2026,"01.10.-31.12.","2 полугодие")</f>
        <v>01.10.-31.12.</v>
      </c>
      <c r="AO25" s="1006" t="s">
        <v>566</v>
      </c>
      <c r="AP25" s="1002" t="str">
        <f>IF(god=2025,"01.01.-30.09.","1 полугодие")</f>
        <v>1 полугодие</v>
      </c>
      <c r="AQ25" s="1002" t="str">
        <f>IF(god=2025,"01.10.-31.12.","2 полугодие")</f>
        <v>2 полугодие</v>
      </c>
      <c r="AR25" s="1006" t="s">
        <v>566</v>
      </c>
      <c r="AS25" s="1002" t="s">
        <v>567</v>
      </c>
      <c r="AT25" s="1002" t="s">
        <v>568</v>
      </c>
      <c r="AU25" s="1006" t="s">
        <v>566</v>
      </c>
      <c r="AV25" s="1002" t="s">
        <v>567</v>
      </c>
      <c r="AW25" s="1002" t="s">
        <v>568</v>
      </c>
      <c r="AX25" s="1006" t="s">
        <v>566</v>
      </c>
      <c r="AY25" s="1002" t="s">
        <v>567</v>
      </c>
      <c r="AZ25" s="1002" t="s">
        <v>568</v>
      </c>
      <c r="BA25" s="1006" t="s">
        <v>566</v>
      </c>
      <c r="BB25" s="1002" t="s">
        <v>567</v>
      </c>
      <c r="BC25" s="1002" t="s">
        <v>568</v>
      </c>
      <c r="BD25" s="1006" t="s">
        <v>566</v>
      </c>
      <c r="BE25" s="1002" t="s">
        <v>567</v>
      </c>
      <c r="BF25" s="1002" t="s">
        <v>568</v>
      </c>
      <c r="BG25" s="1006" t="s">
        <v>566</v>
      </c>
      <c r="BH25" s="1002" t="s">
        <v>567</v>
      </c>
      <c r="BI25" s="1002" t="s">
        <v>568</v>
      </c>
      <c r="BJ25" s="1006" t="s">
        <v>566</v>
      </c>
      <c r="BK25" s="1002" t="s">
        <v>567</v>
      </c>
      <c r="BL25" s="1002" t="s">
        <v>568</v>
      </c>
      <c r="BM25" s="1006" t="s">
        <v>566</v>
      </c>
      <c r="BN25" s="1002" t="s">
        <v>567</v>
      </c>
      <c r="BO25" s="1002" t="s">
        <v>568</v>
      </c>
      <c r="BP25" s="323" t="s">
        <v>566</v>
      </c>
      <c r="BQ25" s="829" t="str">
        <f>IF(god=2026,"01.01.-30.09.","1 полугодие")</f>
        <v>01.01.-30.09.</v>
      </c>
      <c r="BR25" s="324" t="str">
        <f>IF(god=2026,"01.10.-31.12.","2 полугодие")</f>
        <v>01.10.-31.12.</v>
      </c>
      <c r="BS25" s="323" t="s">
        <v>566</v>
      </c>
      <c r="BT25" s="324" t="str">
        <f>IF(god=2025,"01.01.-30.09.","1 полугодие")</f>
        <v>1 полугодие</v>
      </c>
      <c r="BU25" s="324" t="str">
        <f>IF(god=2025,"01.10.-31.12.","2 полугодие")</f>
        <v>2 полугодие</v>
      </c>
      <c r="BV25" s="323" t="s">
        <v>566</v>
      </c>
      <c r="BW25" s="324" t="s">
        <v>567</v>
      </c>
      <c r="BX25" s="324" t="s">
        <v>568</v>
      </c>
      <c r="BY25" s="323" t="s">
        <v>566</v>
      </c>
      <c r="BZ25" s="324" t="s">
        <v>567</v>
      </c>
      <c r="CA25" s="324" t="s">
        <v>568</v>
      </c>
      <c r="CB25" s="323" t="s">
        <v>566</v>
      </c>
      <c r="CC25" s="324" t="s">
        <v>567</v>
      </c>
      <c r="CD25" s="323" t="s">
        <v>568</v>
      </c>
      <c r="CE25" s="323" t="s">
        <v>566</v>
      </c>
      <c r="CF25" s="324" t="s">
        <v>567</v>
      </c>
      <c r="CG25" s="324" t="s">
        <v>568</v>
      </c>
      <c r="CH25" s="323" t="s">
        <v>566</v>
      </c>
      <c r="CI25" s="324" t="s">
        <v>567</v>
      </c>
      <c r="CJ25" s="324" t="s">
        <v>568</v>
      </c>
      <c r="CK25" s="323" t="s">
        <v>566</v>
      </c>
      <c r="CL25" s="324" t="s">
        <v>567</v>
      </c>
      <c r="CM25" s="324" t="s">
        <v>568</v>
      </c>
      <c r="CN25" s="323" t="s">
        <v>566</v>
      </c>
      <c r="CO25" s="324" t="s">
        <v>567</v>
      </c>
      <c r="CP25" s="324" t="s">
        <v>568</v>
      </c>
      <c r="CQ25" s="323" t="s">
        <v>566</v>
      </c>
      <c r="CR25" s="324" t="s">
        <v>567</v>
      </c>
      <c r="CS25" s="324" t="s">
        <v>568</v>
      </c>
      <c r="CT25" s="1416"/>
    </row>
    <row r="26" spans="1:106" ht="52.7" customHeight="1">
      <c r="E26" s="623">
        <v>54</v>
      </c>
      <c r="AB26" s="1457"/>
      <c r="AC26" s="1457"/>
      <c r="AD26" s="1457"/>
      <c r="AE26" s="1457"/>
      <c r="AF26" s="1457"/>
      <c r="AG26" s="1466"/>
      <c r="AH26" s="476" t="s">
        <v>304</v>
      </c>
      <c r="AI26" s="1001" t="s">
        <v>487</v>
      </c>
      <c r="AJ26" s="108" t="s">
        <v>488</v>
      </c>
      <c r="AK26" s="108" t="s">
        <v>304</v>
      </c>
      <c r="AL26" s="1002" t="s">
        <v>305</v>
      </c>
      <c r="AM26" s="1002" t="s">
        <v>305</v>
      </c>
      <c r="AN26" s="1002" t="s">
        <v>305</v>
      </c>
      <c r="AO26" s="1002" t="s">
        <v>305</v>
      </c>
      <c r="AP26" s="1002" t="s">
        <v>305</v>
      </c>
      <c r="AQ26" s="1002" t="s">
        <v>305</v>
      </c>
      <c r="AR26" s="1002" t="s">
        <v>305</v>
      </c>
      <c r="AS26" s="1002" t="s">
        <v>305</v>
      </c>
      <c r="AT26" s="1002" t="s">
        <v>305</v>
      </c>
      <c r="AU26" s="1002" t="s">
        <v>305</v>
      </c>
      <c r="AV26" s="1002" t="s">
        <v>305</v>
      </c>
      <c r="AW26" s="1002" t="s">
        <v>305</v>
      </c>
      <c r="AX26" s="1002" t="s">
        <v>305</v>
      </c>
      <c r="AY26" s="1002" t="s">
        <v>305</v>
      </c>
      <c r="AZ26" s="1002" t="s">
        <v>305</v>
      </c>
      <c r="BA26" s="1002" t="s">
        <v>305</v>
      </c>
      <c r="BB26" s="1002" t="s">
        <v>305</v>
      </c>
      <c r="BC26" s="1002" t="s">
        <v>305</v>
      </c>
      <c r="BD26" s="1002" t="s">
        <v>305</v>
      </c>
      <c r="BE26" s="1002" t="s">
        <v>305</v>
      </c>
      <c r="BF26" s="1002" t="s">
        <v>305</v>
      </c>
      <c r="BG26" s="1002" t="s">
        <v>305</v>
      </c>
      <c r="BH26" s="1002" t="s">
        <v>305</v>
      </c>
      <c r="BI26" s="1002" t="s">
        <v>305</v>
      </c>
      <c r="BJ26" s="1002" t="s">
        <v>305</v>
      </c>
      <c r="BK26" s="1002" t="s">
        <v>305</v>
      </c>
      <c r="BL26" s="1002" t="s">
        <v>305</v>
      </c>
      <c r="BM26" s="1002" t="s">
        <v>305</v>
      </c>
      <c r="BN26" s="1002" t="s">
        <v>305</v>
      </c>
      <c r="BO26" s="1002" t="s">
        <v>305</v>
      </c>
      <c r="BP26" s="324" t="s">
        <v>304</v>
      </c>
      <c r="BQ26" s="324" t="s">
        <v>304</v>
      </c>
      <c r="BR26" s="324" t="s">
        <v>304</v>
      </c>
      <c r="BS26" s="324" t="s">
        <v>304</v>
      </c>
      <c r="BT26" s="324" t="s">
        <v>304</v>
      </c>
      <c r="BU26" s="324" t="s">
        <v>304</v>
      </c>
      <c r="BV26" s="324" t="s">
        <v>304</v>
      </c>
      <c r="BW26" s="324" t="s">
        <v>304</v>
      </c>
      <c r="BX26" s="324" t="s">
        <v>304</v>
      </c>
      <c r="BY26" s="324" t="s">
        <v>304</v>
      </c>
      <c r="BZ26" s="324" t="s">
        <v>304</v>
      </c>
      <c r="CA26" s="324" t="s">
        <v>304</v>
      </c>
      <c r="CB26" s="324" t="s">
        <v>304</v>
      </c>
      <c r="CC26" s="324" t="s">
        <v>304</v>
      </c>
      <c r="CD26" s="324" t="s">
        <v>304</v>
      </c>
      <c r="CE26" s="324" t="s">
        <v>304</v>
      </c>
      <c r="CF26" s="324" t="s">
        <v>304</v>
      </c>
      <c r="CG26" s="324" t="s">
        <v>304</v>
      </c>
      <c r="CH26" s="324" t="s">
        <v>304</v>
      </c>
      <c r="CI26" s="324" t="s">
        <v>304</v>
      </c>
      <c r="CJ26" s="324" t="s">
        <v>304</v>
      </c>
      <c r="CK26" s="324" t="s">
        <v>304</v>
      </c>
      <c r="CL26" s="324" t="s">
        <v>304</v>
      </c>
      <c r="CM26" s="324" t="s">
        <v>304</v>
      </c>
      <c r="CN26" s="324" t="s">
        <v>304</v>
      </c>
      <c r="CO26" s="324" t="s">
        <v>304</v>
      </c>
      <c r="CP26" s="324" t="s">
        <v>304</v>
      </c>
      <c r="CQ26" s="324" t="s">
        <v>304</v>
      </c>
      <c r="CR26" s="324" t="s">
        <v>304</v>
      </c>
      <c r="CS26" s="324" t="s">
        <v>304</v>
      </c>
      <c r="CT26" s="1416"/>
    </row>
    <row r="27" spans="1:106" ht="12" hidden="1" customHeight="1">
      <c r="E27" s="623">
        <v>0</v>
      </c>
      <c r="AB27" s="516"/>
      <c r="AC27" s="516"/>
      <c r="AD27" s="677"/>
      <c r="AE27" s="516"/>
      <c r="AF27" s="516"/>
      <c r="AG27" s="677"/>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403"/>
      <c r="CC27" s="109"/>
      <c r="CD27" s="414"/>
      <c r="CE27" s="414"/>
      <c r="CF27" s="109"/>
      <c r="CG27" s="109"/>
      <c r="CH27" s="109"/>
      <c r="CI27" s="109"/>
      <c r="CJ27" s="109"/>
      <c r="CK27" s="109"/>
      <c r="CL27" s="109"/>
      <c r="CM27" s="109"/>
      <c r="CN27" s="109"/>
      <c r="CO27" s="109"/>
      <c r="CP27" s="109"/>
      <c r="CQ27" s="403"/>
      <c r="CR27" s="109"/>
      <c r="CS27" s="109"/>
      <c r="CT27" s="109"/>
    </row>
    <row r="28" spans="1:106" ht="16.7" hidden="1" customHeight="1">
      <c r="E28" s="623">
        <v>17.100000000000001</v>
      </c>
      <c r="F28" s="714">
        <f>Y28</f>
        <v>0</v>
      </c>
      <c r="G28" s="150" t="str">
        <f>INDEX('Общие сведения'!$AE$169:$AE$202,MATCH($F28,'Общие сведения'!$Z$169:$Z$202,0))</f>
        <v>Теплоснабжение</v>
      </c>
      <c r="H28" s="150" t="str">
        <f>INDEX('Общие сведения'!$AK$169:$AK$202,MATCH($F28,'Общие сведения'!$Z$169:$Z$202,0))</f>
        <v>одноставочный</v>
      </c>
      <c r="I28" s="150" t="str">
        <f>INDEX('Общие сведения'!$AH$169:$AH$202,MATCH($F28,'Общие сведения'!$Z$169:$Z$202,0))</f>
        <v>Производство</v>
      </c>
      <c r="J28" s="150" t="str">
        <f>INDEX('Общие сведения'!$AI$169:$AI$202,MATCH($F28,'Общие сведения'!$Z$169:$Z$202,0))</f>
        <v>Тарифы на теплоноситель</v>
      </c>
      <c r="K28" s="150">
        <f>INDEX('Общие сведения'!$AJ$169:$AJ$202,MATCH($F28,'Общие сведения'!$Z$169:$Z$202,0))</f>
        <v>0</v>
      </c>
      <c r="S28" s="98" t="b">
        <f>Y28&gt;0</f>
        <v>0</v>
      </c>
      <c r="U28" s="645" t="b">
        <f t="shared" ref="U28:U91" si="8">AND(S28,IF(ISBLANK(T28),TRUE,T28))</f>
        <v>0</v>
      </c>
      <c r="W28" s="113" t="s">
        <v>228</v>
      </c>
      <c r="Y28" s="1467">
        <v>0</v>
      </c>
      <c r="Z28" s="1382"/>
      <c r="AB28" s="371" t="str">
        <f>INDEX('Общие сведения'!$AG$169:$AG$202,MATCH(F28,'Общие сведения'!$Z$169:$Z$202,0))</f>
        <v>Тариф 0 (Теплоснабжение) - Тарифы на теплоноситель</v>
      </c>
      <c r="AC28" s="371"/>
      <c r="AD28" s="200"/>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7"/>
      <c r="BK28" s="197"/>
      <c r="BL28" s="197"/>
      <c r="BM28" s="197"/>
      <c r="BN28" s="197"/>
      <c r="BO28" s="197"/>
      <c r="BP28" s="197"/>
      <c r="BQ28" s="197"/>
      <c r="BR28" s="197"/>
      <c r="BS28" s="197"/>
      <c r="BT28" s="197"/>
      <c r="BU28" s="197"/>
      <c r="BV28" s="197"/>
      <c r="BW28" s="197"/>
      <c r="BX28" s="197"/>
      <c r="BY28" s="197"/>
      <c r="BZ28" s="197"/>
      <c r="CA28" s="197"/>
      <c r="CB28" s="197"/>
      <c r="CC28" s="197"/>
      <c r="CD28" s="248"/>
      <c r="CE28" s="248"/>
      <c r="CF28" s="197"/>
      <c r="CG28" s="197"/>
      <c r="CH28" s="197"/>
      <c r="CI28" s="197"/>
      <c r="CJ28" s="197"/>
      <c r="CK28" s="197"/>
      <c r="CL28" s="197"/>
      <c r="CM28" s="197"/>
      <c r="CN28" s="197"/>
      <c r="CO28" s="197"/>
      <c r="CP28" s="197"/>
      <c r="CQ28" s="197"/>
      <c r="CR28" s="197"/>
      <c r="CS28" s="197"/>
      <c r="CT28" s="197"/>
      <c r="CW28" s="902" t="str">
        <f>IF(AND(ISNUMBER(VALUE(TRIM(SUBSTITUTE(AD28,".","")))),TRIM(SUBSTITUTE(AD28,".",""))&lt;&gt;""),"P"&amp;SUBSTITUTE(AD28,".",""),"")</f>
        <v/>
      </c>
    </row>
    <row r="29" spans="1:106" ht="16.7" hidden="1" customHeight="1">
      <c r="E29" s="623">
        <v>17.100000000000001</v>
      </c>
      <c r="F29" s="714">
        <f t="shared" ref="F29:F60" ca="1" si="9">OFFSET(G29,-1,-1)</f>
        <v>0</v>
      </c>
      <c r="R29" s="714" t="s">
        <v>569</v>
      </c>
      <c r="S29" s="98" t="b">
        <f t="shared" ref="S29:S60" ca="1" si="10">OFFSET(T29,-1,-1)</f>
        <v>0</v>
      </c>
      <c r="U29" s="645" t="b">
        <f t="shared" ca="1" si="8"/>
        <v>0</v>
      </c>
      <c r="Y29" s="1382"/>
      <c r="Z29" s="1382"/>
      <c r="AB29" s="1468" t="s">
        <v>570</v>
      </c>
      <c r="AD29" s="99">
        <v>1</v>
      </c>
      <c r="AE29" s="1443" t="s">
        <v>571</v>
      </c>
      <c r="AF29" s="1444"/>
      <c r="AG29" s="99" t="s">
        <v>572</v>
      </c>
      <c r="AH29" s="28"/>
      <c r="AI29" s="29"/>
      <c r="AJ29" s="29"/>
      <c r="AK29" s="29"/>
      <c r="AL29" s="674">
        <f>AM29+AN29</f>
        <v>0</v>
      </c>
      <c r="AM29" s="29"/>
      <c r="AN29" s="29"/>
      <c r="AO29" s="674">
        <f>AP29+AQ29</f>
        <v>0</v>
      </c>
      <c r="AP29" s="1111"/>
      <c r="AQ29" s="1111"/>
      <c r="AR29" s="674">
        <f>AS29+AT29</f>
        <v>0</v>
      </c>
      <c r="AS29" s="1111"/>
      <c r="AT29" s="1111"/>
      <c r="AU29" s="674">
        <f>AV29+AW29</f>
        <v>0</v>
      </c>
      <c r="AV29" s="29"/>
      <c r="AW29" s="29"/>
      <c r="AX29" s="674">
        <f>AY29+AZ29</f>
        <v>0</v>
      </c>
      <c r="AY29" s="29"/>
      <c r="AZ29" s="29"/>
      <c r="BA29" s="674">
        <f>BB29+BC29</f>
        <v>0</v>
      </c>
      <c r="BB29" s="29"/>
      <c r="BC29" s="29"/>
      <c r="BD29" s="674">
        <f>BE29+BF29</f>
        <v>0</v>
      </c>
      <c r="BE29" s="29"/>
      <c r="BF29" s="29"/>
      <c r="BG29" s="674">
        <f>BH29+BI29</f>
        <v>0</v>
      </c>
      <c r="BH29" s="29"/>
      <c r="BI29" s="29"/>
      <c r="BJ29" s="674">
        <f>BK29+BL29</f>
        <v>0</v>
      </c>
      <c r="BK29" s="29"/>
      <c r="BL29" s="29"/>
      <c r="BM29" s="674">
        <f>BN29+BO29</f>
        <v>0</v>
      </c>
      <c r="BN29" s="29"/>
      <c r="BO29" s="29"/>
      <c r="BP29" s="674">
        <f>BQ29+BR29</f>
        <v>0</v>
      </c>
      <c r="BQ29" s="762"/>
      <c r="BR29" s="762"/>
      <c r="BS29" s="674">
        <f>BT29+BU29</f>
        <v>0</v>
      </c>
      <c r="BT29" s="1111"/>
      <c r="BU29" s="1111"/>
      <c r="BV29" s="674">
        <f>BW29+BX29</f>
        <v>0</v>
      </c>
      <c r="BW29" s="1111"/>
      <c r="BX29" s="1111"/>
      <c r="BY29" s="674">
        <f>BZ29+CA29</f>
        <v>0</v>
      </c>
      <c r="BZ29" s="29"/>
      <c r="CA29" s="29"/>
      <c r="CB29" s="674">
        <f>CC29+CD29</f>
        <v>0</v>
      </c>
      <c r="CC29" s="29"/>
      <c r="CD29" s="29"/>
      <c r="CE29" s="674">
        <f>CF29+CG29</f>
        <v>0</v>
      </c>
      <c r="CF29" s="29"/>
      <c r="CG29" s="29"/>
      <c r="CH29" s="674">
        <f>CI29+CJ29</f>
        <v>0</v>
      </c>
      <c r="CI29" s="29"/>
      <c r="CJ29" s="29"/>
      <c r="CK29" s="674">
        <f>CL29+CM29</f>
        <v>0</v>
      </c>
      <c r="CL29" s="29"/>
      <c r="CM29" s="29"/>
      <c r="CN29" s="674">
        <f>CO29+CP29</f>
        <v>0</v>
      </c>
      <c r="CO29" s="29"/>
      <c r="CP29" s="29"/>
      <c r="CQ29" s="674">
        <f>CR29+CS29</f>
        <v>0</v>
      </c>
      <c r="CR29" s="29"/>
      <c r="CS29" s="29"/>
      <c r="CT29" s="22"/>
      <c r="CW29" s="902" t="s">
        <v>573</v>
      </c>
    </row>
    <row r="30" spans="1:106" ht="16.7" hidden="1" customHeight="1">
      <c r="E30" s="623">
        <v>17.100000000000001</v>
      </c>
      <c r="F30" s="714">
        <f t="shared" ca="1" si="9"/>
        <v>0</v>
      </c>
      <c r="R30" s="714" t="s">
        <v>569</v>
      </c>
      <c r="S30" s="98" t="b">
        <f t="shared" ca="1" si="10"/>
        <v>0</v>
      </c>
      <c r="U30" s="645" t="b">
        <f t="shared" ca="1" si="8"/>
        <v>0</v>
      </c>
      <c r="Y30" s="1382"/>
      <c r="Z30" s="1382"/>
      <c r="AB30" s="1469"/>
      <c r="AD30" s="99">
        <v>2</v>
      </c>
      <c r="AE30" s="1443" t="s">
        <v>574</v>
      </c>
      <c r="AF30" s="1444"/>
      <c r="AG30" s="99" t="s">
        <v>572</v>
      </c>
      <c r="AH30" s="672">
        <f t="shared" ref="AH30:BM30" si="11">AH31+AH33</f>
        <v>0</v>
      </c>
      <c r="AI30" s="674">
        <f t="shared" si="11"/>
        <v>0</v>
      </c>
      <c r="AJ30" s="674">
        <f t="shared" si="11"/>
        <v>0</v>
      </c>
      <c r="AK30" s="674">
        <f t="shared" si="11"/>
        <v>0</v>
      </c>
      <c r="AL30" s="674">
        <f t="shared" si="11"/>
        <v>0</v>
      </c>
      <c r="AM30" s="674">
        <f t="shared" si="11"/>
        <v>0</v>
      </c>
      <c r="AN30" s="674">
        <f t="shared" si="11"/>
        <v>0</v>
      </c>
      <c r="AO30" s="674">
        <f t="shared" si="11"/>
        <v>0</v>
      </c>
      <c r="AP30" s="674">
        <f t="shared" si="11"/>
        <v>0</v>
      </c>
      <c r="AQ30" s="674">
        <f t="shared" si="11"/>
        <v>0</v>
      </c>
      <c r="AR30" s="674">
        <f t="shared" si="11"/>
        <v>0</v>
      </c>
      <c r="AS30" s="674">
        <f t="shared" si="11"/>
        <v>0</v>
      </c>
      <c r="AT30" s="674">
        <f t="shared" si="11"/>
        <v>0</v>
      </c>
      <c r="AU30" s="674">
        <f t="shared" si="11"/>
        <v>0</v>
      </c>
      <c r="AV30" s="674">
        <f t="shared" si="11"/>
        <v>0</v>
      </c>
      <c r="AW30" s="674">
        <f t="shared" si="11"/>
        <v>0</v>
      </c>
      <c r="AX30" s="674">
        <f t="shared" si="11"/>
        <v>0</v>
      </c>
      <c r="AY30" s="674">
        <f t="shared" si="11"/>
        <v>0</v>
      </c>
      <c r="AZ30" s="674">
        <f t="shared" si="11"/>
        <v>0</v>
      </c>
      <c r="BA30" s="674">
        <f t="shared" si="11"/>
        <v>0</v>
      </c>
      <c r="BB30" s="674">
        <f t="shared" si="11"/>
        <v>0</v>
      </c>
      <c r="BC30" s="674">
        <f t="shared" si="11"/>
        <v>0</v>
      </c>
      <c r="BD30" s="674">
        <f t="shared" si="11"/>
        <v>0</v>
      </c>
      <c r="BE30" s="674">
        <f t="shared" si="11"/>
        <v>0</v>
      </c>
      <c r="BF30" s="674">
        <f t="shared" si="11"/>
        <v>0</v>
      </c>
      <c r="BG30" s="674">
        <f t="shared" si="11"/>
        <v>0</v>
      </c>
      <c r="BH30" s="674">
        <f t="shared" si="11"/>
        <v>0</v>
      </c>
      <c r="BI30" s="674">
        <f t="shared" si="11"/>
        <v>0</v>
      </c>
      <c r="BJ30" s="674">
        <f t="shared" si="11"/>
        <v>0</v>
      </c>
      <c r="BK30" s="674">
        <f t="shared" si="11"/>
        <v>0</v>
      </c>
      <c r="BL30" s="674">
        <f t="shared" si="11"/>
        <v>0</v>
      </c>
      <c r="BM30" s="674">
        <f t="shared" si="11"/>
        <v>0</v>
      </c>
      <c r="BN30" s="674">
        <f t="shared" ref="BN30:CS30" si="12">BN31+BN33</f>
        <v>0</v>
      </c>
      <c r="BO30" s="674">
        <f t="shared" si="12"/>
        <v>0</v>
      </c>
      <c r="BP30" s="674">
        <f t="shared" si="12"/>
        <v>0</v>
      </c>
      <c r="BQ30" s="674">
        <f t="shared" si="12"/>
        <v>0</v>
      </c>
      <c r="BR30" s="674">
        <f t="shared" si="12"/>
        <v>0</v>
      </c>
      <c r="BS30" s="674">
        <f t="shared" si="12"/>
        <v>0</v>
      </c>
      <c r="BT30" s="674">
        <f t="shared" si="12"/>
        <v>0</v>
      </c>
      <c r="BU30" s="674">
        <f t="shared" si="12"/>
        <v>0</v>
      </c>
      <c r="BV30" s="674">
        <f t="shared" si="12"/>
        <v>0</v>
      </c>
      <c r="BW30" s="674">
        <f t="shared" si="12"/>
        <v>0</v>
      </c>
      <c r="BX30" s="674">
        <f t="shared" si="12"/>
        <v>0</v>
      </c>
      <c r="BY30" s="674">
        <f t="shared" si="12"/>
        <v>0</v>
      </c>
      <c r="BZ30" s="674">
        <f t="shared" si="12"/>
        <v>0</v>
      </c>
      <c r="CA30" s="674">
        <f t="shared" si="12"/>
        <v>0</v>
      </c>
      <c r="CB30" s="674">
        <f t="shared" si="12"/>
        <v>0</v>
      </c>
      <c r="CC30" s="674">
        <f t="shared" si="12"/>
        <v>0</v>
      </c>
      <c r="CD30" s="674">
        <f t="shared" si="12"/>
        <v>0</v>
      </c>
      <c r="CE30" s="674">
        <f t="shared" si="12"/>
        <v>0</v>
      </c>
      <c r="CF30" s="674">
        <f t="shared" si="12"/>
        <v>0</v>
      </c>
      <c r="CG30" s="674">
        <f t="shared" si="12"/>
        <v>0</v>
      </c>
      <c r="CH30" s="674">
        <f t="shared" si="12"/>
        <v>0</v>
      </c>
      <c r="CI30" s="674">
        <f t="shared" si="12"/>
        <v>0</v>
      </c>
      <c r="CJ30" s="674">
        <f t="shared" si="12"/>
        <v>0</v>
      </c>
      <c r="CK30" s="674">
        <f t="shared" si="12"/>
        <v>0</v>
      </c>
      <c r="CL30" s="674">
        <f t="shared" si="12"/>
        <v>0</v>
      </c>
      <c r="CM30" s="674">
        <f t="shared" si="12"/>
        <v>0</v>
      </c>
      <c r="CN30" s="674">
        <f t="shared" si="12"/>
        <v>0</v>
      </c>
      <c r="CO30" s="674">
        <f t="shared" si="12"/>
        <v>0</v>
      </c>
      <c r="CP30" s="674">
        <f t="shared" si="12"/>
        <v>0</v>
      </c>
      <c r="CQ30" s="674">
        <f t="shared" si="12"/>
        <v>0</v>
      </c>
      <c r="CR30" s="674">
        <f t="shared" si="12"/>
        <v>0</v>
      </c>
      <c r="CS30" s="674">
        <f t="shared" si="12"/>
        <v>0</v>
      </c>
      <c r="CT30" s="22"/>
      <c r="CW30" s="902" t="s">
        <v>575</v>
      </c>
    </row>
    <row r="31" spans="1:106" ht="16.7" hidden="1" customHeight="1">
      <c r="E31" s="623">
        <v>17.100000000000001</v>
      </c>
      <c r="F31" s="714">
        <f t="shared" ca="1" si="9"/>
        <v>0</v>
      </c>
      <c r="R31" s="714" t="s">
        <v>569</v>
      </c>
      <c r="S31" s="98" t="b">
        <f t="shared" ca="1" si="10"/>
        <v>0</v>
      </c>
      <c r="U31" s="645" t="b">
        <f t="shared" ca="1" si="8"/>
        <v>0</v>
      </c>
      <c r="Y31" s="1382"/>
      <c r="Z31" s="1382"/>
      <c r="AB31" s="1469"/>
      <c r="AD31" s="99" t="s">
        <v>346</v>
      </c>
      <c r="AE31" s="1455" t="s">
        <v>576</v>
      </c>
      <c r="AF31" s="1456"/>
      <c r="AG31" s="99" t="s">
        <v>572</v>
      </c>
      <c r="AH31" s="28"/>
      <c r="AI31" s="29"/>
      <c r="AJ31" s="29"/>
      <c r="AK31" s="29"/>
      <c r="AL31" s="674">
        <f>AM31+AN31</f>
        <v>0</v>
      </c>
      <c r="AM31" s="29"/>
      <c r="AN31" s="29"/>
      <c r="AO31" s="674">
        <f>AP31+AQ31</f>
        <v>0</v>
      </c>
      <c r="AP31" s="1111"/>
      <c r="AQ31" s="1111"/>
      <c r="AR31" s="674">
        <f>AS31+AT31</f>
        <v>0</v>
      </c>
      <c r="AS31" s="1111"/>
      <c r="AT31" s="1111"/>
      <c r="AU31" s="674">
        <f>AV31+AW31</f>
        <v>0</v>
      </c>
      <c r="AV31" s="29"/>
      <c r="AW31" s="29"/>
      <c r="AX31" s="674">
        <f>AY31+AZ31</f>
        <v>0</v>
      </c>
      <c r="AY31" s="29"/>
      <c r="AZ31" s="29"/>
      <c r="BA31" s="674">
        <f>BB31+BC31</f>
        <v>0</v>
      </c>
      <c r="BB31" s="29"/>
      <c r="BC31" s="29"/>
      <c r="BD31" s="674">
        <f>BE31+BF31</f>
        <v>0</v>
      </c>
      <c r="BE31" s="29"/>
      <c r="BF31" s="29"/>
      <c r="BG31" s="674">
        <f>BH31+BI31</f>
        <v>0</v>
      </c>
      <c r="BH31" s="29"/>
      <c r="BI31" s="29"/>
      <c r="BJ31" s="674">
        <f>BK31+BL31</f>
        <v>0</v>
      </c>
      <c r="BK31" s="29"/>
      <c r="BL31" s="29"/>
      <c r="BM31" s="674">
        <f>BN31+BO31</f>
        <v>0</v>
      </c>
      <c r="BN31" s="29"/>
      <c r="BO31" s="29"/>
      <c r="BP31" s="674">
        <f>BQ31+BR31</f>
        <v>0</v>
      </c>
      <c r="BQ31" s="762"/>
      <c r="BR31" s="762"/>
      <c r="BS31" s="674">
        <f>BT31+BU31</f>
        <v>0</v>
      </c>
      <c r="BT31" s="1111"/>
      <c r="BU31" s="1111"/>
      <c r="BV31" s="674">
        <f>BW31+BX31</f>
        <v>0</v>
      </c>
      <c r="BW31" s="1111"/>
      <c r="BX31" s="1111"/>
      <c r="BY31" s="674">
        <f>BZ31+CA31</f>
        <v>0</v>
      </c>
      <c r="BZ31" s="29"/>
      <c r="CA31" s="29"/>
      <c r="CB31" s="674">
        <f>CC31+CD31</f>
        <v>0</v>
      </c>
      <c r="CC31" s="29"/>
      <c r="CD31" s="29"/>
      <c r="CE31" s="674">
        <f>CF31+CG31</f>
        <v>0</v>
      </c>
      <c r="CF31" s="29"/>
      <c r="CG31" s="29"/>
      <c r="CH31" s="674">
        <f>CI31+CJ31</f>
        <v>0</v>
      </c>
      <c r="CI31" s="29"/>
      <c r="CJ31" s="29"/>
      <c r="CK31" s="674">
        <f>CL31+CM31</f>
        <v>0</v>
      </c>
      <c r="CL31" s="29"/>
      <c r="CM31" s="29"/>
      <c r="CN31" s="674">
        <f>CO31+CP31</f>
        <v>0</v>
      </c>
      <c r="CO31" s="29"/>
      <c r="CP31" s="29"/>
      <c r="CQ31" s="674">
        <f>CR31+CS31</f>
        <v>0</v>
      </c>
      <c r="CR31" s="29"/>
      <c r="CS31" s="29"/>
      <c r="CT31" s="22"/>
      <c r="CW31" s="902" t="s">
        <v>577</v>
      </c>
    </row>
    <row r="32" spans="1:106" ht="16.7" hidden="1" customHeight="1">
      <c r="E32" s="623">
        <v>17.100000000000001</v>
      </c>
      <c r="F32" s="714">
        <f t="shared" ca="1" si="9"/>
        <v>0</v>
      </c>
      <c r="R32" s="714" t="s">
        <v>569</v>
      </c>
      <c r="S32" s="98" t="b">
        <f t="shared" ca="1" si="10"/>
        <v>0</v>
      </c>
      <c r="U32" s="645" t="b">
        <f t="shared" ca="1" si="8"/>
        <v>0</v>
      </c>
      <c r="Y32" s="1382"/>
      <c r="Z32" s="1382"/>
      <c r="AB32" s="1469"/>
      <c r="AD32" s="99" t="s">
        <v>349</v>
      </c>
      <c r="AE32" s="1460" t="s">
        <v>578</v>
      </c>
      <c r="AF32" s="1461"/>
      <c r="AG32" s="99" t="s">
        <v>388</v>
      </c>
      <c r="AH32" s="678">
        <f t="shared" ref="AH32:BM32" si="13">IFERROR(AH31/AH29,0)</f>
        <v>0</v>
      </c>
      <c r="AI32" s="679">
        <f t="shared" si="13"/>
        <v>0</v>
      </c>
      <c r="AJ32" s="679">
        <f t="shared" si="13"/>
        <v>0</v>
      </c>
      <c r="AK32" s="679">
        <f t="shared" si="13"/>
        <v>0</v>
      </c>
      <c r="AL32" s="679">
        <f t="shared" si="13"/>
        <v>0</v>
      </c>
      <c r="AM32" s="679">
        <f t="shared" si="13"/>
        <v>0</v>
      </c>
      <c r="AN32" s="679">
        <f t="shared" si="13"/>
        <v>0</v>
      </c>
      <c r="AO32" s="679">
        <f t="shared" si="13"/>
        <v>0</v>
      </c>
      <c r="AP32" s="679">
        <f t="shared" si="13"/>
        <v>0</v>
      </c>
      <c r="AQ32" s="679">
        <f t="shared" si="13"/>
        <v>0</v>
      </c>
      <c r="AR32" s="679">
        <f t="shared" si="13"/>
        <v>0</v>
      </c>
      <c r="AS32" s="679">
        <f t="shared" si="13"/>
        <v>0</v>
      </c>
      <c r="AT32" s="679">
        <f t="shared" si="13"/>
        <v>0</v>
      </c>
      <c r="AU32" s="679">
        <f t="shared" si="13"/>
        <v>0</v>
      </c>
      <c r="AV32" s="679">
        <f t="shared" si="13"/>
        <v>0</v>
      </c>
      <c r="AW32" s="679">
        <f t="shared" si="13"/>
        <v>0</v>
      </c>
      <c r="AX32" s="679">
        <f t="shared" si="13"/>
        <v>0</v>
      </c>
      <c r="AY32" s="679">
        <f t="shared" si="13"/>
        <v>0</v>
      </c>
      <c r="AZ32" s="679">
        <f t="shared" si="13"/>
        <v>0</v>
      </c>
      <c r="BA32" s="679">
        <f t="shared" si="13"/>
        <v>0</v>
      </c>
      <c r="BB32" s="679">
        <f t="shared" si="13"/>
        <v>0</v>
      </c>
      <c r="BC32" s="679">
        <f t="shared" si="13"/>
        <v>0</v>
      </c>
      <c r="BD32" s="679">
        <f t="shared" si="13"/>
        <v>0</v>
      </c>
      <c r="BE32" s="679">
        <f t="shared" si="13"/>
        <v>0</v>
      </c>
      <c r="BF32" s="679">
        <f t="shared" si="13"/>
        <v>0</v>
      </c>
      <c r="BG32" s="679">
        <f t="shared" si="13"/>
        <v>0</v>
      </c>
      <c r="BH32" s="679">
        <f t="shared" si="13"/>
        <v>0</v>
      </c>
      <c r="BI32" s="679">
        <f t="shared" si="13"/>
        <v>0</v>
      </c>
      <c r="BJ32" s="679">
        <f t="shared" si="13"/>
        <v>0</v>
      </c>
      <c r="BK32" s="679">
        <f t="shared" si="13"/>
        <v>0</v>
      </c>
      <c r="BL32" s="679">
        <f t="shared" si="13"/>
        <v>0</v>
      </c>
      <c r="BM32" s="679">
        <f t="shared" si="13"/>
        <v>0</v>
      </c>
      <c r="BN32" s="679">
        <f t="shared" ref="BN32:CS32" si="14">IFERROR(BN31/BN29,0)</f>
        <v>0</v>
      </c>
      <c r="BO32" s="679">
        <f t="shared" si="14"/>
        <v>0</v>
      </c>
      <c r="BP32" s="679">
        <f t="shared" si="14"/>
        <v>0</v>
      </c>
      <c r="BQ32" s="679">
        <f t="shared" si="14"/>
        <v>0</v>
      </c>
      <c r="BR32" s="679">
        <f t="shared" si="14"/>
        <v>0</v>
      </c>
      <c r="BS32" s="679">
        <f t="shared" si="14"/>
        <v>0</v>
      </c>
      <c r="BT32" s="679">
        <f t="shared" si="14"/>
        <v>0</v>
      </c>
      <c r="BU32" s="679">
        <f t="shared" si="14"/>
        <v>0</v>
      </c>
      <c r="BV32" s="679">
        <f t="shared" si="14"/>
        <v>0</v>
      </c>
      <c r="BW32" s="679">
        <f t="shared" si="14"/>
        <v>0</v>
      </c>
      <c r="BX32" s="679">
        <f t="shared" si="14"/>
        <v>0</v>
      </c>
      <c r="BY32" s="679">
        <f t="shared" si="14"/>
        <v>0</v>
      </c>
      <c r="BZ32" s="679">
        <f t="shared" si="14"/>
        <v>0</v>
      </c>
      <c r="CA32" s="679">
        <f t="shared" si="14"/>
        <v>0</v>
      </c>
      <c r="CB32" s="679">
        <f t="shared" si="14"/>
        <v>0</v>
      </c>
      <c r="CC32" s="679">
        <f t="shared" si="14"/>
        <v>0</v>
      </c>
      <c r="CD32" s="679">
        <f t="shared" si="14"/>
        <v>0</v>
      </c>
      <c r="CE32" s="679">
        <f t="shared" si="14"/>
        <v>0</v>
      </c>
      <c r="CF32" s="679">
        <f t="shared" si="14"/>
        <v>0</v>
      </c>
      <c r="CG32" s="679">
        <f t="shared" si="14"/>
        <v>0</v>
      </c>
      <c r="CH32" s="679">
        <f t="shared" si="14"/>
        <v>0</v>
      </c>
      <c r="CI32" s="679">
        <f t="shared" si="14"/>
        <v>0</v>
      </c>
      <c r="CJ32" s="679">
        <f t="shared" si="14"/>
        <v>0</v>
      </c>
      <c r="CK32" s="679">
        <f t="shared" si="14"/>
        <v>0</v>
      </c>
      <c r="CL32" s="679">
        <f t="shared" si="14"/>
        <v>0</v>
      </c>
      <c r="CM32" s="679">
        <f t="shared" si="14"/>
        <v>0</v>
      </c>
      <c r="CN32" s="679">
        <f t="shared" si="14"/>
        <v>0</v>
      </c>
      <c r="CO32" s="679">
        <f t="shared" si="14"/>
        <v>0</v>
      </c>
      <c r="CP32" s="679">
        <f t="shared" si="14"/>
        <v>0</v>
      </c>
      <c r="CQ32" s="679">
        <f t="shared" si="14"/>
        <v>0</v>
      </c>
      <c r="CR32" s="679">
        <f t="shared" si="14"/>
        <v>0</v>
      </c>
      <c r="CS32" s="679">
        <f t="shared" si="14"/>
        <v>0</v>
      </c>
      <c r="CT32" s="22"/>
      <c r="CW32" s="902" t="s">
        <v>579</v>
      </c>
    </row>
    <row r="33" spans="5:101" ht="16.7" hidden="1" customHeight="1">
      <c r="E33" s="623">
        <v>17.100000000000001</v>
      </c>
      <c r="F33" s="714">
        <f t="shared" ca="1" si="9"/>
        <v>0</v>
      </c>
      <c r="R33" s="714" t="s">
        <v>569</v>
      </c>
      <c r="S33" s="98" t="b">
        <f t="shared" ca="1" si="10"/>
        <v>0</v>
      </c>
      <c r="U33" s="645" t="b">
        <f t="shared" ca="1" si="8"/>
        <v>0</v>
      </c>
      <c r="Y33" s="1382"/>
      <c r="Z33" s="1382"/>
      <c r="AB33" s="1469"/>
      <c r="AD33" s="99" t="s">
        <v>373</v>
      </c>
      <c r="AE33" s="1455" t="s">
        <v>580</v>
      </c>
      <c r="AF33" s="1456"/>
      <c r="AG33" s="99" t="s">
        <v>572</v>
      </c>
      <c r="AH33" s="28"/>
      <c r="AI33" s="29"/>
      <c r="AJ33" s="29"/>
      <c r="AK33" s="29"/>
      <c r="AL33" s="674">
        <f>AM33+AN33</f>
        <v>0</v>
      </c>
      <c r="AM33" s="29"/>
      <c r="AN33" s="29"/>
      <c r="AO33" s="674">
        <f>AP33+AQ33</f>
        <v>0</v>
      </c>
      <c r="AP33" s="1111"/>
      <c r="AQ33" s="1111"/>
      <c r="AR33" s="674">
        <f>AS33+AT33</f>
        <v>0</v>
      </c>
      <c r="AS33" s="1111"/>
      <c r="AT33" s="1111"/>
      <c r="AU33" s="674">
        <f>AV33+AW33</f>
        <v>0</v>
      </c>
      <c r="AV33" s="29"/>
      <c r="AW33" s="29"/>
      <c r="AX33" s="674">
        <f>AY33+AZ33</f>
        <v>0</v>
      </c>
      <c r="AY33" s="29"/>
      <c r="AZ33" s="29"/>
      <c r="BA33" s="674">
        <f>BB33+BC33</f>
        <v>0</v>
      </c>
      <c r="BB33" s="29"/>
      <c r="BC33" s="29"/>
      <c r="BD33" s="674">
        <f>BE33+BF33</f>
        <v>0</v>
      </c>
      <c r="BE33" s="29"/>
      <c r="BF33" s="29"/>
      <c r="BG33" s="674">
        <f>BH33+BI33</f>
        <v>0</v>
      </c>
      <c r="BH33" s="29"/>
      <c r="BI33" s="29"/>
      <c r="BJ33" s="674">
        <f>BK33+BL33</f>
        <v>0</v>
      </c>
      <c r="BK33" s="29"/>
      <c r="BL33" s="29"/>
      <c r="BM33" s="674">
        <f>BN33+BO33</f>
        <v>0</v>
      </c>
      <c r="BN33" s="29"/>
      <c r="BO33" s="29"/>
      <c r="BP33" s="674">
        <f>BQ33+BR33</f>
        <v>0</v>
      </c>
      <c r="BQ33" s="762"/>
      <c r="BR33" s="762"/>
      <c r="BS33" s="674">
        <f>BT33+BU33</f>
        <v>0</v>
      </c>
      <c r="BT33" s="1111"/>
      <c r="BU33" s="1111"/>
      <c r="BV33" s="674">
        <f>BW33+BX33</f>
        <v>0</v>
      </c>
      <c r="BW33" s="1111"/>
      <c r="BX33" s="1111"/>
      <c r="BY33" s="674">
        <f>BZ33+CA33</f>
        <v>0</v>
      </c>
      <c r="BZ33" s="29"/>
      <c r="CA33" s="29"/>
      <c r="CB33" s="674">
        <f>CC33+CD33</f>
        <v>0</v>
      </c>
      <c r="CC33" s="29"/>
      <c r="CD33" s="29"/>
      <c r="CE33" s="674">
        <f>CF33+CG33</f>
        <v>0</v>
      </c>
      <c r="CF33" s="29"/>
      <c r="CG33" s="29"/>
      <c r="CH33" s="674">
        <f>CI33+CJ33</f>
        <v>0</v>
      </c>
      <c r="CI33" s="29"/>
      <c r="CJ33" s="29"/>
      <c r="CK33" s="674">
        <f>CL33+CM33</f>
        <v>0</v>
      </c>
      <c r="CL33" s="29"/>
      <c r="CM33" s="29"/>
      <c r="CN33" s="674">
        <f>CO33+CP33</f>
        <v>0</v>
      </c>
      <c r="CO33" s="29"/>
      <c r="CP33" s="29"/>
      <c r="CQ33" s="674">
        <f>CR33+CS33</f>
        <v>0</v>
      </c>
      <c r="CR33" s="29"/>
      <c r="CS33" s="29"/>
      <c r="CT33" s="22"/>
      <c r="CW33" s="902" t="s">
        <v>581</v>
      </c>
    </row>
    <row r="34" spans="5:101" ht="16.7" hidden="1" customHeight="1">
      <c r="E34" s="623">
        <v>17.100000000000001</v>
      </c>
      <c r="F34" s="714">
        <f t="shared" ca="1" si="9"/>
        <v>0</v>
      </c>
      <c r="R34" s="714" t="s">
        <v>569</v>
      </c>
      <c r="S34" s="98" t="b">
        <f t="shared" ca="1" si="10"/>
        <v>0</v>
      </c>
      <c r="U34" s="645" t="b">
        <f t="shared" ca="1" si="8"/>
        <v>0</v>
      </c>
      <c r="Y34" s="1382"/>
      <c r="Z34" s="1382"/>
      <c r="AB34" s="1469"/>
      <c r="AD34" s="99" t="s">
        <v>582</v>
      </c>
      <c r="AE34" s="1460" t="s">
        <v>583</v>
      </c>
      <c r="AF34" s="1461"/>
      <c r="AG34" s="99" t="s">
        <v>584</v>
      </c>
      <c r="AH34" s="28"/>
      <c r="AI34" s="29"/>
      <c r="AJ34" s="29"/>
      <c r="AK34" s="29"/>
      <c r="AL34" s="29"/>
      <c r="AM34" s="29"/>
      <c r="AN34" s="29"/>
      <c r="AO34" s="1111"/>
      <c r="AP34" s="1111"/>
      <c r="AQ34" s="1111"/>
      <c r="AR34" s="1111"/>
      <c r="AS34" s="1111"/>
      <c r="AT34" s="1111"/>
      <c r="AU34" s="29"/>
      <c r="AV34" s="29"/>
      <c r="AW34" s="29"/>
      <c r="AX34" s="29"/>
      <c r="AY34" s="29"/>
      <c r="AZ34" s="29"/>
      <c r="BA34" s="29"/>
      <c r="BB34" s="29"/>
      <c r="BC34" s="29"/>
      <c r="BD34" s="29"/>
      <c r="BE34" s="29"/>
      <c r="BF34" s="29"/>
      <c r="BG34" s="29"/>
      <c r="BH34" s="29"/>
      <c r="BI34" s="29"/>
      <c r="BJ34" s="29"/>
      <c r="BK34" s="29"/>
      <c r="BL34" s="29"/>
      <c r="BM34" s="29"/>
      <c r="BN34" s="29"/>
      <c r="BO34" s="29"/>
      <c r="BP34" s="762"/>
      <c r="BQ34" s="762"/>
      <c r="BR34" s="762"/>
      <c r="BS34" s="1111"/>
      <c r="BT34" s="1111"/>
      <c r="BU34" s="1111"/>
      <c r="BV34" s="1111"/>
      <c r="BW34" s="1111"/>
      <c r="BX34" s="1111"/>
      <c r="BY34" s="29"/>
      <c r="BZ34" s="29"/>
      <c r="CA34" s="29"/>
      <c r="CB34" s="29"/>
      <c r="CC34" s="29"/>
      <c r="CD34" s="29"/>
      <c r="CE34" s="29"/>
      <c r="CF34" s="29"/>
      <c r="CG34" s="29"/>
      <c r="CH34" s="29"/>
      <c r="CI34" s="29"/>
      <c r="CJ34" s="29"/>
      <c r="CK34" s="29"/>
      <c r="CL34" s="29"/>
      <c r="CM34" s="29"/>
      <c r="CN34" s="29"/>
      <c r="CO34" s="29"/>
      <c r="CP34" s="29"/>
      <c r="CQ34" s="29"/>
      <c r="CR34" s="29"/>
      <c r="CS34" s="29"/>
      <c r="CT34" s="22"/>
      <c r="CW34" s="902" t="s">
        <v>585</v>
      </c>
    </row>
    <row r="35" spans="5:101" ht="16.7" hidden="1" customHeight="1">
      <c r="E35" s="623">
        <v>17.100000000000001</v>
      </c>
      <c r="F35" s="714">
        <f t="shared" ca="1" si="9"/>
        <v>0</v>
      </c>
      <c r="R35" s="714" t="s">
        <v>569</v>
      </c>
      <c r="S35" s="98" t="b">
        <f t="shared" ca="1" si="10"/>
        <v>0</v>
      </c>
      <c r="U35" s="645" t="b">
        <f t="shared" ca="1" si="8"/>
        <v>0</v>
      </c>
      <c r="Y35" s="1382"/>
      <c r="Z35" s="1382"/>
      <c r="AB35" s="1469"/>
      <c r="AD35" s="99">
        <v>3</v>
      </c>
      <c r="AE35" s="1443" t="s">
        <v>586</v>
      </c>
      <c r="AF35" s="1444"/>
      <c r="AG35" s="99" t="s">
        <v>572</v>
      </c>
      <c r="AH35" s="672">
        <f t="shared" ref="AH35:BM35" si="15">AH29-AH30</f>
        <v>0</v>
      </c>
      <c r="AI35" s="674">
        <f t="shared" si="15"/>
        <v>0</v>
      </c>
      <c r="AJ35" s="674">
        <f t="shared" si="15"/>
        <v>0</v>
      </c>
      <c r="AK35" s="674">
        <f t="shared" si="15"/>
        <v>0</v>
      </c>
      <c r="AL35" s="674">
        <f t="shared" si="15"/>
        <v>0</v>
      </c>
      <c r="AM35" s="674">
        <f t="shared" si="15"/>
        <v>0</v>
      </c>
      <c r="AN35" s="674">
        <f t="shared" si="15"/>
        <v>0</v>
      </c>
      <c r="AO35" s="674">
        <f t="shared" si="15"/>
        <v>0</v>
      </c>
      <c r="AP35" s="674">
        <f t="shared" si="15"/>
        <v>0</v>
      </c>
      <c r="AQ35" s="674">
        <f t="shared" si="15"/>
        <v>0</v>
      </c>
      <c r="AR35" s="674">
        <f t="shared" si="15"/>
        <v>0</v>
      </c>
      <c r="AS35" s="674">
        <f t="shared" si="15"/>
        <v>0</v>
      </c>
      <c r="AT35" s="674">
        <f t="shared" si="15"/>
        <v>0</v>
      </c>
      <c r="AU35" s="674">
        <f t="shared" si="15"/>
        <v>0</v>
      </c>
      <c r="AV35" s="674">
        <f t="shared" si="15"/>
        <v>0</v>
      </c>
      <c r="AW35" s="674">
        <f t="shared" si="15"/>
        <v>0</v>
      </c>
      <c r="AX35" s="674">
        <f t="shared" si="15"/>
        <v>0</v>
      </c>
      <c r="AY35" s="674">
        <f t="shared" si="15"/>
        <v>0</v>
      </c>
      <c r="AZ35" s="674">
        <f t="shared" si="15"/>
        <v>0</v>
      </c>
      <c r="BA35" s="674">
        <f t="shared" si="15"/>
        <v>0</v>
      </c>
      <c r="BB35" s="674">
        <f t="shared" si="15"/>
        <v>0</v>
      </c>
      <c r="BC35" s="674">
        <f t="shared" si="15"/>
        <v>0</v>
      </c>
      <c r="BD35" s="674">
        <f t="shared" si="15"/>
        <v>0</v>
      </c>
      <c r="BE35" s="674">
        <f t="shared" si="15"/>
        <v>0</v>
      </c>
      <c r="BF35" s="674">
        <f t="shared" si="15"/>
        <v>0</v>
      </c>
      <c r="BG35" s="674">
        <f t="shared" si="15"/>
        <v>0</v>
      </c>
      <c r="BH35" s="674">
        <f t="shared" si="15"/>
        <v>0</v>
      </c>
      <c r="BI35" s="674">
        <f t="shared" si="15"/>
        <v>0</v>
      </c>
      <c r="BJ35" s="674">
        <f t="shared" si="15"/>
        <v>0</v>
      </c>
      <c r="BK35" s="674">
        <f t="shared" si="15"/>
        <v>0</v>
      </c>
      <c r="BL35" s="674">
        <f t="shared" si="15"/>
        <v>0</v>
      </c>
      <c r="BM35" s="674">
        <f t="shared" si="15"/>
        <v>0</v>
      </c>
      <c r="BN35" s="674">
        <f t="shared" ref="BN35:CS35" si="16">BN29-BN30</f>
        <v>0</v>
      </c>
      <c r="BO35" s="674">
        <f t="shared" si="16"/>
        <v>0</v>
      </c>
      <c r="BP35" s="674">
        <f t="shared" si="16"/>
        <v>0</v>
      </c>
      <c r="BQ35" s="674">
        <f t="shared" si="16"/>
        <v>0</v>
      </c>
      <c r="BR35" s="674">
        <f t="shared" si="16"/>
        <v>0</v>
      </c>
      <c r="BS35" s="674">
        <f t="shared" si="16"/>
        <v>0</v>
      </c>
      <c r="BT35" s="674">
        <f t="shared" si="16"/>
        <v>0</v>
      </c>
      <c r="BU35" s="674">
        <f t="shared" si="16"/>
        <v>0</v>
      </c>
      <c r="BV35" s="674">
        <f t="shared" si="16"/>
        <v>0</v>
      </c>
      <c r="BW35" s="674">
        <f t="shared" si="16"/>
        <v>0</v>
      </c>
      <c r="BX35" s="674">
        <f t="shared" si="16"/>
        <v>0</v>
      </c>
      <c r="BY35" s="674">
        <f t="shared" si="16"/>
        <v>0</v>
      </c>
      <c r="BZ35" s="674">
        <f t="shared" si="16"/>
        <v>0</v>
      </c>
      <c r="CA35" s="674">
        <f t="shared" si="16"/>
        <v>0</v>
      </c>
      <c r="CB35" s="674">
        <f t="shared" si="16"/>
        <v>0</v>
      </c>
      <c r="CC35" s="674">
        <f t="shared" si="16"/>
        <v>0</v>
      </c>
      <c r="CD35" s="674">
        <f t="shared" si="16"/>
        <v>0</v>
      </c>
      <c r="CE35" s="674">
        <f t="shared" si="16"/>
        <v>0</v>
      </c>
      <c r="CF35" s="674">
        <f t="shared" si="16"/>
        <v>0</v>
      </c>
      <c r="CG35" s="674">
        <f t="shared" si="16"/>
        <v>0</v>
      </c>
      <c r="CH35" s="674">
        <f t="shared" si="16"/>
        <v>0</v>
      </c>
      <c r="CI35" s="674">
        <f t="shared" si="16"/>
        <v>0</v>
      </c>
      <c r="CJ35" s="674">
        <f t="shared" si="16"/>
        <v>0</v>
      </c>
      <c r="CK35" s="674">
        <f t="shared" si="16"/>
        <v>0</v>
      </c>
      <c r="CL35" s="674">
        <f t="shared" si="16"/>
        <v>0</v>
      </c>
      <c r="CM35" s="674">
        <f t="shared" si="16"/>
        <v>0</v>
      </c>
      <c r="CN35" s="674">
        <f t="shared" si="16"/>
        <v>0</v>
      </c>
      <c r="CO35" s="674">
        <f t="shared" si="16"/>
        <v>0</v>
      </c>
      <c r="CP35" s="674">
        <f t="shared" si="16"/>
        <v>0</v>
      </c>
      <c r="CQ35" s="674">
        <f t="shared" si="16"/>
        <v>0</v>
      </c>
      <c r="CR35" s="674">
        <f t="shared" si="16"/>
        <v>0</v>
      </c>
      <c r="CS35" s="674">
        <f t="shared" si="16"/>
        <v>0</v>
      </c>
      <c r="CT35" s="22"/>
      <c r="CW35" s="902" t="s">
        <v>587</v>
      </c>
    </row>
    <row r="36" spans="5:101" ht="16.7" hidden="1" customHeight="1">
      <c r="E36" s="623">
        <v>17.100000000000001</v>
      </c>
      <c r="F36" s="714">
        <f t="shared" ca="1" si="9"/>
        <v>0</v>
      </c>
      <c r="R36" s="714" t="s">
        <v>569</v>
      </c>
      <c r="S36" s="98" t="b">
        <f t="shared" ca="1" si="10"/>
        <v>0</v>
      </c>
      <c r="U36" s="645" t="b">
        <f t="shared" ca="1" si="8"/>
        <v>0</v>
      </c>
      <c r="Y36" s="1382"/>
      <c r="Z36" s="1382"/>
      <c r="AB36" s="1469"/>
      <c r="AD36" s="99">
        <v>4</v>
      </c>
      <c r="AE36" s="1443" t="s">
        <v>588</v>
      </c>
      <c r="AF36" s="1444"/>
      <c r="AG36" s="99" t="s">
        <v>572</v>
      </c>
      <c r="AH36" s="28"/>
      <c r="AI36" s="29"/>
      <c r="AJ36" s="29"/>
      <c r="AK36" s="29"/>
      <c r="AL36" s="674">
        <f>AM36+AN36</f>
        <v>0</v>
      </c>
      <c r="AM36" s="29"/>
      <c r="AN36" s="29"/>
      <c r="AO36" s="674">
        <f>AP36+AQ36</f>
        <v>0</v>
      </c>
      <c r="AP36" s="1111"/>
      <c r="AQ36" s="1111"/>
      <c r="AR36" s="674">
        <f>AS36+AT36</f>
        <v>0</v>
      </c>
      <c r="AS36" s="1111"/>
      <c r="AT36" s="1111"/>
      <c r="AU36" s="674">
        <f>AV36+AW36</f>
        <v>0</v>
      </c>
      <c r="AV36" s="29"/>
      <c r="AW36" s="29"/>
      <c r="AX36" s="674">
        <f>AY36+AZ36</f>
        <v>0</v>
      </c>
      <c r="AY36" s="29"/>
      <c r="AZ36" s="29"/>
      <c r="BA36" s="674">
        <f>BB36+BC36</f>
        <v>0</v>
      </c>
      <c r="BB36" s="29"/>
      <c r="BC36" s="29"/>
      <c r="BD36" s="674">
        <f>BE36+BF36</f>
        <v>0</v>
      </c>
      <c r="BE36" s="29"/>
      <c r="BF36" s="29"/>
      <c r="BG36" s="674">
        <f>BH36+BI36</f>
        <v>0</v>
      </c>
      <c r="BH36" s="29"/>
      <c r="BI36" s="29"/>
      <c r="BJ36" s="674">
        <f>BK36+BL36</f>
        <v>0</v>
      </c>
      <c r="BK36" s="29"/>
      <c r="BL36" s="29"/>
      <c r="BM36" s="674">
        <f>BN36+BO36</f>
        <v>0</v>
      </c>
      <c r="BN36" s="29"/>
      <c r="BO36" s="29"/>
      <c r="BP36" s="674">
        <f>BQ36+BR36</f>
        <v>0</v>
      </c>
      <c r="BQ36" s="762"/>
      <c r="BR36" s="762"/>
      <c r="BS36" s="674">
        <f>BT36+BU36</f>
        <v>0</v>
      </c>
      <c r="BT36" s="1111"/>
      <c r="BU36" s="1111"/>
      <c r="BV36" s="674">
        <f>BW36+BX36</f>
        <v>0</v>
      </c>
      <c r="BW36" s="1111"/>
      <c r="BX36" s="1111"/>
      <c r="BY36" s="674">
        <f>BZ36+CA36</f>
        <v>0</v>
      </c>
      <c r="BZ36" s="29"/>
      <c r="CA36" s="29"/>
      <c r="CB36" s="674">
        <f>CC36+CD36</f>
        <v>0</v>
      </c>
      <c r="CC36" s="29"/>
      <c r="CD36" s="29"/>
      <c r="CE36" s="674">
        <f>CF36+CG36</f>
        <v>0</v>
      </c>
      <c r="CF36" s="29"/>
      <c r="CG36" s="29"/>
      <c r="CH36" s="674">
        <f>CI36+CJ36</f>
        <v>0</v>
      </c>
      <c r="CI36" s="29"/>
      <c r="CJ36" s="29"/>
      <c r="CK36" s="674">
        <f>CL36+CM36</f>
        <v>0</v>
      </c>
      <c r="CL36" s="29"/>
      <c r="CM36" s="29"/>
      <c r="CN36" s="674">
        <f>CO36+CP36</f>
        <v>0</v>
      </c>
      <c r="CO36" s="29"/>
      <c r="CP36" s="29"/>
      <c r="CQ36" s="674">
        <f>CR36+CS36</f>
        <v>0</v>
      </c>
      <c r="CR36" s="29"/>
      <c r="CS36" s="29"/>
      <c r="CT36" s="22"/>
      <c r="CW36" s="902" t="s">
        <v>589</v>
      </c>
    </row>
    <row r="37" spans="5:101" ht="16.7" hidden="1" customHeight="1">
      <c r="E37" s="623">
        <v>17.100000000000001</v>
      </c>
      <c r="F37" s="714">
        <f t="shared" ca="1" si="9"/>
        <v>0</v>
      </c>
      <c r="R37" s="714" t="s">
        <v>569</v>
      </c>
      <c r="S37" s="98" t="b">
        <f t="shared" ca="1" si="10"/>
        <v>0</v>
      </c>
      <c r="U37" s="645" t="b">
        <f t="shared" ca="1" si="8"/>
        <v>0</v>
      </c>
      <c r="Y37" s="1382"/>
      <c r="Z37" s="1382"/>
      <c r="AB37" s="1469"/>
      <c r="AD37" s="99" t="s">
        <v>530</v>
      </c>
      <c r="AE37" s="1455" t="s">
        <v>590</v>
      </c>
      <c r="AF37" s="1456"/>
      <c r="AG37" s="99" t="s">
        <v>388</v>
      </c>
      <c r="AH37" s="678">
        <f t="shared" ref="AH37:BM37" si="17">IFERROR(AH36/AH35,0)</f>
        <v>0</v>
      </c>
      <c r="AI37" s="679">
        <f t="shared" si="17"/>
        <v>0</v>
      </c>
      <c r="AJ37" s="679">
        <f t="shared" si="17"/>
        <v>0</v>
      </c>
      <c r="AK37" s="679">
        <f t="shared" si="17"/>
        <v>0</v>
      </c>
      <c r="AL37" s="679">
        <f t="shared" si="17"/>
        <v>0</v>
      </c>
      <c r="AM37" s="679">
        <f t="shared" si="17"/>
        <v>0</v>
      </c>
      <c r="AN37" s="679">
        <f t="shared" si="17"/>
        <v>0</v>
      </c>
      <c r="AO37" s="679">
        <f t="shared" si="17"/>
        <v>0</v>
      </c>
      <c r="AP37" s="679">
        <f t="shared" si="17"/>
        <v>0</v>
      </c>
      <c r="AQ37" s="679">
        <f t="shared" si="17"/>
        <v>0</v>
      </c>
      <c r="AR37" s="679">
        <f t="shared" si="17"/>
        <v>0</v>
      </c>
      <c r="AS37" s="679">
        <f t="shared" si="17"/>
        <v>0</v>
      </c>
      <c r="AT37" s="679">
        <f t="shared" si="17"/>
        <v>0</v>
      </c>
      <c r="AU37" s="679">
        <f t="shared" si="17"/>
        <v>0</v>
      </c>
      <c r="AV37" s="679">
        <f t="shared" si="17"/>
        <v>0</v>
      </c>
      <c r="AW37" s="679">
        <f t="shared" si="17"/>
        <v>0</v>
      </c>
      <c r="AX37" s="679">
        <f t="shared" si="17"/>
        <v>0</v>
      </c>
      <c r="AY37" s="679">
        <f t="shared" si="17"/>
        <v>0</v>
      </c>
      <c r="AZ37" s="679">
        <f t="shared" si="17"/>
        <v>0</v>
      </c>
      <c r="BA37" s="679">
        <f t="shared" si="17"/>
        <v>0</v>
      </c>
      <c r="BB37" s="679">
        <f t="shared" si="17"/>
        <v>0</v>
      </c>
      <c r="BC37" s="679">
        <f t="shared" si="17"/>
        <v>0</v>
      </c>
      <c r="BD37" s="679">
        <f t="shared" si="17"/>
        <v>0</v>
      </c>
      <c r="BE37" s="679">
        <f t="shared" si="17"/>
        <v>0</v>
      </c>
      <c r="BF37" s="679">
        <f t="shared" si="17"/>
        <v>0</v>
      </c>
      <c r="BG37" s="679">
        <f t="shared" si="17"/>
        <v>0</v>
      </c>
      <c r="BH37" s="679">
        <f t="shared" si="17"/>
        <v>0</v>
      </c>
      <c r="BI37" s="679">
        <f t="shared" si="17"/>
        <v>0</v>
      </c>
      <c r="BJ37" s="679">
        <f t="shared" si="17"/>
        <v>0</v>
      </c>
      <c r="BK37" s="679">
        <f t="shared" si="17"/>
        <v>0</v>
      </c>
      <c r="BL37" s="679">
        <f t="shared" si="17"/>
        <v>0</v>
      </c>
      <c r="BM37" s="679">
        <f t="shared" si="17"/>
        <v>0</v>
      </c>
      <c r="BN37" s="679">
        <f t="shared" ref="BN37:CS37" si="18">IFERROR(BN36/BN35,0)</f>
        <v>0</v>
      </c>
      <c r="BO37" s="679">
        <f t="shared" si="18"/>
        <v>0</v>
      </c>
      <c r="BP37" s="679">
        <f t="shared" si="18"/>
        <v>0</v>
      </c>
      <c r="BQ37" s="679">
        <f t="shared" si="18"/>
        <v>0</v>
      </c>
      <c r="BR37" s="679">
        <f t="shared" si="18"/>
        <v>0</v>
      </c>
      <c r="BS37" s="679">
        <f t="shared" si="18"/>
        <v>0</v>
      </c>
      <c r="BT37" s="679">
        <f t="shared" si="18"/>
        <v>0</v>
      </c>
      <c r="BU37" s="679">
        <f t="shared" si="18"/>
        <v>0</v>
      </c>
      <c r="BV37" s="679">
        <f t="shared" si="18"/>
        <v>0</v>
      </c>
      <c r="BW37" s="679">
        <f t="shared" si="18"/>
        <v>0</v>
      </c>
      <c r="BX37" s="679">
        <f t="shared" si="18"/>
        <v>0</v>
      </c>
      <c r="BY37" s="679">
        <f t="shared" si="18"/>
        <v>0</v>
      </c>
      <c r="BZ37" s="679">
        <f t="shared" si="18"/>
        <v>0</v>
      </c>
      <c r="CA37" s="679">
        <f t="shared" si="18"/>
        <v>0</v>
      </c>
      <c r="CB37" s="679">
        <f t="shared" si="18"/>
        <v>0</v>
      </c>
      <c r="CC37" s="679">
        <f t="shared" si="18"/>
        <v>0</v>
      </c>
      <c r="CD37" s="679">
        <f t="shared" si="18"/>
        <v>0</v>
      </c>
      <c r="CE37" s="679">
        <f t="shared" si="18"/>
        <v>0</v>
      </c>
      <c r="CF37" s="679">
        <f t="shared" si="18"/>
        <v>0</v>
      </c>
      <c r="CG37" s="679">
        <f t="shared" si="18"/>
        <v>0</v>
      </c>
      <c r="CH37" s="679">
        <f t="shared" si="18"/>
        <v>0</v>
      </c>
      <c r="CI37" s="679">
        <f t="shared" si="18"/>
        <v>0</v>
      </c>
      <c r="CJ37" s="679">
        <f t="shared" si="18"/>
        <v>0</v>
      </c>
      <c r="CK37" s="679">
        <f t="shared" si="18"/>
        <v>0</v>
      </c>
      <c r="CL37" s="679">
        <f t="shared" si="18"/>
        <v>0</v>
      </c>
      <c r="CM37" s="679">
        <f t="shared" si="18"/>
        <v>0</v>
      </c>
      <c r="CN37" s="679">
        <f t="shared" si="18"/>
        <v>0</v>
      </c>
      <c r="CO37" s="679">
        <f t="shared" si="18"/>
        <v>0</v>
      </c>
      <c r="CP37" s="679">
        <f t="shared" si="18"/>
        <v>0</v>
      </c>
      <c r="CQ37" s="679">
        <f t="shared" si="18"/>
        <v>0</v>
      </c>
      <c r="CR37" s="679">
        <f t="shared" si="18"/>
        <v>0</v>
      </c>
      <c r="CS37" s="679">
        <f t="shared" si="18"/>
        <v>0</v>
      </c>
      <c r="CT37" s="22"/>
      <c r="CW37" s="902" t="s">
        <v>591</v>
      </c>
    </row>
    <row r="38" spans="5:101" ht="16.7" hidden="1" customHeight="1">
      <c r="E38" s="623">
        <v>17.100000000000001</v>
      </c>
      <c r="F38" s="714">
        <f t="shared" ca="1" si="9"/>
        <v>0</v>
      </c>
      <c r="R38" s="714" t="s">
        <v>569</v>
      </c>
      <c r="S38" s="98" t="b">
        <f t="shared" ca="1" si="10"/>
        <v>0</v>
      </c>
      <c r="U38" s="645" t="b">
        <f t="shared" ca="1" si="8"/>
        <v>0</v>
      </c>
      <c r="Y38" s="1382"/>
      <c r="Z38" s="1382"/>
      <c r="AB38" s="1469"/>
      <c r="AD38" s="99">
        <v>5</v>
      </c>
      <c r="AE38" s="1462" t="s">
        <v>592</v>
      </c>
      <c r="AF38" s="1463"/>
      <c r="AG38" s="99" t="s">
        <v>572</v>
      </c>
      <c r="AH38" s="28"/>
      <c r="AI38" s="29"/>
      <c r="AJ38" s="29"/>
      <c r="AK38" s="29"/>
      <c r="AL38" s="674">
        <f>AM38+AN38</f>
        <v>0</v>
      </c>
      <c r="AM38" s="29"/>
      <c r="AN38" s="29"/>
      <c r="AO38" s="674">
        <f>AP38+AQ38</f>
        <v>0</v>
      </c>
      <c r="AP38" s="1111"/>
      <c r="AQ38" s="1111"/>
      <c r="AR38" s="674">
        <f>AS38+AT38</f>
        <v>0</v>
      </c>
      <c r="AS38" s="1111"/>
      <c r="AT38" s="1111"/>
      <c r="AU38" s="674">
        <f>AV38+AW38</f>
        <v>0</v>
      </c>
      <c r="AV38" s="29"/>
      <c r="AW38" s="29"/>
      <c r="AX38" s="674">
        <f>AY38+AZ38</f>
        <v>0</v>
      </c>
      <c r="AY38" s="29"/>
      <c r="AZ38" s="29"/>
      <c r="BA38" s="674">
        <f>BB38+BC38</f>
        <v>0</v>
      </c>
      <c r="BB38" s="29"/>
      <c r="BC38" s="29"/>
      <c r="BD38" s="674">
        <f>BE38+BF38</f>
        <v>0</v>
      </c>
      <c r="BE38" s="29"/>
      <c r="BF38" s="29"/>
      <c r="BG38" s="674">
        <f>BH38+BI38</f>
        <v>0</v>
      </c>
      <c r="BH38" s="29"/>
      <c r="BI38" s="29"/>
      <c r="BJ38" s="674">
        <f>BK38+BL38</f>
        <v>0</v>
      </c>
      <c r="BK38" s="29"/>
      <c r="BL38" s="29"/>
      <c r="BM38" s="674">
        <f>BN38+BO38</f>
        <v>0</v>
      </c>
      <c r="BN38" s="29"/>
      <c r="BO38" s="29"/>
      <c r="BP38" s="674">
        <f>BQ38+BR38</f>
        <v>0</v>
      </c>
      <c r="BQ38" s="762"/>
      <c r="BR38" s="762"/>
      <c r="BS38" s="674">
        <f>BT38+BU38</f>
        <v>0</v>
      </c>
      <c r="BT38" s="1111"/>
      <c r="BU38" s="1111"/>
      <c r="BV38" s="674">
        <f>BW38+BX38</f>
        <v>0</v>
      </c>
      <c r="BW38" s="1111"/>
      <c r="BX38" s="1111"/>
      <c r="BY38" s="674">
        <f>BZ38+CA38</f>
        <v>0</v>
      </c>
      <c r="BZ38" s="29"/>
      <c r="CA38" s="29"/>
      <c r="CB38" s="674">
        <f>CC38+CD38</f>
        <v>0</v>
      </c>
      <c r="CC38" s="29"/>
      <c r="CD38" s="29"/>
      <c r="CE38" s="674">
        <f>CF38+CG38</f>
        <v>0</v>
      </c>
      <c r="CF38" s="29"/>
      <c r="CG38" s="29"/>
      <c r="CH38" s="674">
        <f>CI38+CJ38</f>
        <v>0</v>
      </c>
      <c r="CI38" s="29"/>
      <c r="CJ38" s="29"/>
      <c r="CK38" s="674">
        <f>CL38+CM38</f>
        <v>0</v>
      </c>
      <c r="CL38" s="29"/>
      <c r="CM38" s="29"/>
      <c r="CN38" s="674">
        <f>CO38+CP38</f>
        <v>0</v>
      </c>
      <c r="CO38" s="29"/>
      <c r="CP38" s="29"/>
      <c r="CQ38" s="674">
        <f>CR38+CS38</f>
        <v>0</v>
      </c>
      <c r="CR38" s="29"/>
      <c r="CS38" s="29"/>
      <c r="CT38" s="22"/>
      <c r="CW38" s="902" t="s">
        <v>593</v>
      </c>
    </row>
    <row r="39" spans="5:101" ht="16.7" hidden="1" customHeight="1">
      <c r="E39" s="623">
        <v>17.100000000000001</v>
      </c>
      <c r="F39" s="714">
        <f t="shared" ca="1" si="9"/>
        <v>0</v>
      </c>
      <c r="R39" s="714" t="s">
        <v>569</v>
      </c>
      <c r="S39" s="98" t="b">
        <f t="shared" ca="1" si="10"/>
        <v>0</v>
      </c>
      <c r="U39" s="645" t="b">
        <f t="shared" ca="1" si="8"/>
        <v>0</v>
      </c>
      <c r="Y39" s="1382"/>
      <c r="Z39" s="1382"/>
      <c r="AB39" s="1469"/>
      <c r="AD39" s="99" t="s">
        <v>537</v>
      </c>
      <c r="AE39" s="1455" t="s">
        <v>590</v>
      </c>
      <c r="AF39" s="1456"/>
      <c r="AG39" s="99" t="s">
        <v>388</v>
      </c>
      <c r="AH39" s="678">
        <f t="shared" ref="AH39:BM39" si="19">IFERROR(AH38/AH35,0)</f>
        <v>0</v>
      </c>
      <c r="AI39" s="679">
        <f t="shared" si="19"/>
        <v>0</v>
      </c>
      <c r="AJ39" s="679">
        <f t="shared" si="19"/>
        <v>0</v>
      </c>
      <c r="AK39" s="679">
        <f t="shared" si="19"/>
        <v>0</v>
      </c>
      <c r="AL39" s="679">
        <f t="shared" si="19"/>
        <v>0</v>
      </c>
      <c r="AM39" s="679">
        <f t="shared" si="19"/>
        <v>0</v>
      </c>
      <c r="AN39" s="679">
        <f t="shared" si="19"/>
        <v>0</v>
      </c>
      <c r="AO39" s="679">
        <f t="shared" si="19"/>
        <v>0</v>
      </c>
      <c r="AP39" s="679">
        <f t="shared" si="19"/>
        <v>0</v>
      </c>
      <c r="AQ39" s="679">
        <f t="shared" si="19"/>
        <v>0</v>
      </c>
      <c r="AR39" s="679">
        <f t="shared" si="19"/>
        <v>0</v>
      </c>
      <c r="AS39" s="679">
        <f t="shared" si="19"/>
        <v>0</v>
      </c>
      <c r="AT39" s="679">
        <f t="shared" si="19"/>
        <v>0</v>
      </c>
      <c r="AU39" s="679">
        <f t="shared" si="19"/>
        <v>0</v>
      </c>
      <c r="AV39" s="679">
        <f t="shared" si="19"/>
        <v>0</v>
      </c>
      <c r="AW39" s="679">
        <f t="shared" si="19"/>
        <v>0</v>
      </c>
      <c r="AX39" s="679">
        <f t="shared" si="19"/>
        <v>0</v>
      </c>
      <c r="AY39" s="679">
        <f t="shared" si="19"/>
        <v>0</v>
      </c>
      <c r="AZ39" s="679">
        <f t="shared" si="19"/>
        <v>0</v>
      </c>
      <c r="BA39" s="679">
        <f t="shared" si="19"/>
        <v>0</v>
      </c>
      <c r="BB39" s="679">
        <f t="shared" si="19"/>
        <v>0</v>
      </c>
      <c r="BC39" s="679">
        <f t="shared" si="19"/>
        <v>0</v>
      </c>
      <c r="BD39" s="679">
        <f t="shared" si="19"/>
        <v>0</v>
      </c>
      <c r="BE39" s="679">
        <f t="shared" si="19"/>
        <v>0</v>
      </c>
      <c r="BF39" s="679">
        <f t="shared" si="19"/>
        <v>0</v>
      </c>
      <c r="BG39" s="679">
        <f t="shared" si="19"/>
        <v>0</v>
      </c>
      <c r="BH39" s="679">
        <f t="shared" si="19"/>
        <v>0</v>
      </c>
      <c r="BI39" s="679">
        <f t="shared" si="19"/>
        <v>0</v>
      </c>
      <c r="BJ39" s="679">
        <f t="shared" si="19"/>
        <v>0</v>
      </c>
      <c r="BK39" s="679">
        <f t="shared" si="19"/>
        <v>0</v>
      </c>
      <c r="BL39" s="679">
        <f t="shared" si="19"/>
        <v>0</v>
      </c>
      <c r="BM39" s="679">
        <f t="shared" si="19"/>
        <v>0</v>
      </c>
      <c r="BN39" s="679">
        <f t="shared" ref="BN39:CS39" si="20">IFERROR(BN38/BN35,0)</f>
        <v>0</v>
      </c>
      <c r="BO39" s="679">
        <f t="shared" si="20"/>
        <v>0</v>
      </c>
      <c r="BP39" s="679">
        <f t="shared" si="20"/>
        <v>0</v>
      </c>
      <c r="BQ39" s="679">
        <f t="shared" si="20"/>
        <v>0</v>
      </c>
      <c r="BR39" s="679">
        <f t="shared" si="20"/>
        <v>0</v>
      </c>
      <c r="BS39" s="679">
        <f t="shared" si="20"/>
        <v>0</v>
      </c>
      <c r="BT39" s="679">
        <f t="shared" si="20"/>
        <v>0</v>
      </c>
      <c r="BU39" s="679">
        <f t="shared" si="20"/>
        <v>0</v>
      </c>
      <c r="BV39" s="679">
        <f t="shared" si="20"/>
        <v>0</v>
      </c>
      <c r="BW39" s="679">
        <f t="shared" si="20"/>
        <v>0</v>
      </c>
      <c r="BX39" s="679">
        <f t="shared" si="20"/>
        <v>0</v>
      </c>
      <c r="BY39" s="679">
        <f t="shared" si="20"/>
        <v>0</v>
      </c>
      <c r="BZ39" s="679">
        <f t="shared" si="20"/>
        <v>0</v>
      </c>
      <c r="CA39" s="679">
        <f t="shared" si="20"/>
        <v>0</v>
      </c>
      <c r="CB39" s="679">
        <f t="shared" si="20"/>
        <v>0</v>
      </c>
      <c r="CC39" s="679">
        <f t="shared" si="20"/>
        <v>0</v>
      </c>
      <c r="CD39" s="679">
        <f t="shared" si="20"/>
        <v>0</v>
      </c>
      <c r="CE39" s="679">
        <f t="shared" si="20"/>
        <v>0</v>
      </c>
      <c r="CF39" s="679">
        <f t="shared" si="20"/>
        <v>0</v>
      </c>
      <c r="CG39" s="679">
        <f t="shared" si="20"/>
        <v>0</v>
      </c>
      <c r="CH39" s="679">
        <f t="shared" si="20"/>
        <v>0</v>
      </c>
      <c r="CI39" s="679">
        <f t="shared" si="20"/>
        <v>0</v>
      </c>
      <c r="CJ39" s="679">
        <f t="shared" si="20"/>
        <v>0</v>
      </c>
      <c r="CK39" s="679">
        <f t="shared" si="20"/>
        <v>0</v>
      </c>
      <c r="CL39" s="679">
        <f t="shared" si="20"/>
        <v>0</v>
      </c>
      <c r="CM39" s="679">
        <f t="shared" si="20"/>
        <v>0</v>
      </c>
      <c r="CN39" s="679">
        <f t="shared" si="20"/>
        <v>0</v>
      </c>
      <c r="CO39" s="679">
        <f t="shared" si="20"/>
        <v>0</v>
      </c>
      <c r="CP39" s="679">
        <f t="shared" si="20"/>
        <v>0</v>
      </c>
      <c r="CQ39" s="679">
        <f t="shared" si="20"/>
        <v>0</v>
      </c>
      <c r="CR39" s="679">
        <f t="shared" si="20"/>
        <v>0</v>
      </c>
      <c r="CS39" s="679">
        <f t="shared" si="20"/>
        <v>0</v>
      </c>
      <c r="CT39" s="22"/>
      <c r="CW39" s="902" t="s">
        <v>594</v>
      </c>
    </row>
    <row r="40" spans="5:101" ht="16.7" hidden="1" customHeight="1">
      <c r="E40" s="623">
        <v>17.100000000000001</v>
      </c>
      <c r="F40" s="714">
        <f t="shared" ca="1" si="9"/>
        <v>0</v>
      </c>
      <c r="R40" s="714" t="s">
        <v>569</v>
      </c>
      <c r="S40" s="98" t="b">
        <f t="shared" ca="1" si="10"/>
        <v>0</v>
      </c>
      <c r="U40" s="645" t="b">
        <f t="shared" ca="1" si="8"/>
        <v>0</v>
      </c>
      <c r="Y40" s="1382"/>
      <c r="Z40" s="1382"/>
      <c r="AB40" s="1469"/>
      <c r="AD40" s="99">
        <v>6</v>
      </c>
      <c r="AE40" s="1462" t="s">
        <v>595</v>
      </c>
      <c r="AF40" s="1463"/>
      <c r="AG40" s="99" t="s">
        <v>572</v>
      </c>
      <c r="AH40" s="672">
        <f t="shared" ref="AH40:BM40" si="21">AH35-AH36-AH38</f>
        <v>0</v>
      </c>
      <c r="AI40" s="674">
        <f t="shared" si="21"/>
        <v>0</v>
      </c>
      <c r="AJ40" s="674">
        <f t="shared" si="21"/>
        <v>0</v>
      </c>
      <c r="AK40" s="674">
        <f t="shared" si="21"/>
        <v>0</v>
      </c>
      <c r="AL40" s="674">
        <f t="shared" si="21"/>
        <v>0</v>
      </c>
      <c r="AM40" s="674">
        <f t="shared" si="21"/>
        <v>0</v>
      </c>
      <c r="AN40" s="674">
        <f t="shared" si="21"/>
        <v>0</v>
      </c>
      <c r="AO40" s="674">
        <f t="shared" si="21"/>
        <v>0</v>
      </c>
      <c r="AP40" s="674">
        <f t="shared" si="21"/>
        <v>0</v>
      </c>
      <c r="AQ40" s="674">
        <f t="shared" si="21"/>
        <v>0</v>
      </c>
      <c r="AR40" s="674">
        <f t="shared" si="21"/>
        <v>0</v>
      </c>
      <c r="AS40" s="674">
        <f t="shared" si="21"/>
        <v>0</v>
      </c>
      <c r="AT40" s="674">
        <f t="shared" si="21"/>
        <v>0</v>
      </c>
      <c r="AU40" s="674">
        <f t="shared" si="21"/>
        <v>0</v>
      </c>
      <c r="AV40" s="674">
        <f t="shared" si="21"/>
        <v>0</v>
      </c>
      <c r="AW40" s="674">
        <f t="shared" si="21"/>
        <v>0</v>
      </c>
      <c r="AX40" s="674">
        <f t="shared" si="21"/>
        <v>0</v>
      </c>
      <c r="AY40" s="674">
        <f t="shared" si="21"/>
        <v>0</v>
      </c>
      <c r="AZ40" s="674">
        <f t="shared" si="21"/>
        <v>0</v>
      </c>
      <c r="BA40" s="674">
        <f t="shared" si="21"/>
        <v>0</v>
      </c>
      <c r="BB40" s="674">
        <f t="shared" si="21"/>
        <v>0</v>
      </c>
      <c r="BC40" s="674">
        <f t="shared" si="21"/>
        <v>0</v>
      </c>
      <c r="BD40" s="674">
        <f t="shared" si="21"/>
        <v>0</v>
      </c>
      <c r="BE40" s="674">
        <f t="shared" si="21"/>
        <v>0</v>
      </c>
      <c r="BF40" s="674">
        <f t="shared" si="21"/>
        <v>0</v>
      </c>
      <c r="BG40" s="674">
        <f t="shared" si="21"/>
        <v>0</v>
      </c>
      <c r="BH40" s="674">
        <f t="shared" si="21"/>
        <v>0</v>
      </c>
      <c r="BI40" s="674">
        <f t="shared" si="21"/>
        <v>0</v>
      </c>
      <c r="BJ40" s="674">
        <f t="shared" si="21"/>
        <v>0</v>
      </c>
      <c r="BK40" s="674">
        <f t="shared" si="21"/>
        <v>0</v>
      </c>
      <c r="BL40" s="674">
        <f t="shared" si="21"/>
        <v>0</v>
      </c>
      <c r="BM40" s="674">
        <f t="shared" si="21"/>
        <v>0</v>
      </c>
      <c r="BN40" s="674">
        <f t="shared" ref="BN40:CS40" si="22">BN35-BN36-BN38</f>
        <v>0</v>
      </c>
      <c r="BO40" s="674">
        <f t="shared" si="22"/>
        <v>0</v>
      </c>
      <c r="BP40" s="674">
        <f t="shared" si="22"/>
        <v>0</v>
      </c>
      <c r="BQ40" s="674">
        <f t="shared" si="22"/>
        <v>0</v>
      </c>
      <c r="BR40" s="674">
        <f t="shared" si="22"/>
        <v>0</v>
      </c>
      <c r="BS40" s="674">
        <f t="shared" si="22"/>
        <v>0</v>
      </c>
      <c r="BT40" s="674">
        <f t="shared" si="22"/>
        <v>0</v>
      </c>
      <c r="BU40" s="674">
        <f t="shared" si="22"/>
        <v>0</v>
      </c>
      <c r="BV40" s="674">
        <f t="shared" si="22"/>
        <v>0</v>
      </c>
      <c r="BW40" s="674">
        <f t="shared" si="22"/>
        <v>0</v>
      </c>
      <c r="BX40" s="674">
        <f t="shared" si="22"/>
        <v>0</v>
      </c>
      <c r="BY40" s="674">
        <f t="shared" si="22"/>
        <v>0</v>
      </c>
      <c r="BZ40" s="674">
        <f t="shared" si="22"/>
        <v>0</v>
      </c>
      <c r="CA40" s="674">
        <f t="shared" si="22"/>
        <v>0</v>
      </c>
      <c r="CB40" s="674">
        <f t="shared" si="22"/>
        <v>0</v>
      </c>
      <c r="CC40" s="674">
        <f t="shared" si="22"/>
        <v>0</v>
      </c>
      <c r="CD40" s="674">
        <f t="shared" si="22"/>
        <v>0</v>
      </c>
      <c r="CE40" s="674">
        <f t="shared" si="22"/>
        <v>0</v>
      </c>
      <c r="CF40" s="674">
        <f t="shared" si="22"/>
        <v>0</v>
      </c>
      <c r="CG40" s="674">
        <f t="shared" si="22"/>
        <v>0</v>
      </c>
      <c r="CH40" s="674">
        <f t="shared" si="22"/>
        <v>0</v>
      </c>
      <c r="CI40" s="674">
        <f t="shared" si="22"/>
        <v>0</v>
      </c>
      <c r="CJ40" s="674">
        <f t="shared" si="22"/>
        <v>0</v>
      </c>
      <c r="CK40" s="674">
        <f t="shared" si="22"/>
        <v>0</v>
      </c>
      <c r="CL40" s="674">
        <f t="shared" si="22"/>
        <v>0</v>
      </c>
      <c r="CM40" s="674">
        <f t="shared" si="22"/>
        <v>0</v>
      </c>
      <c r="CN40" s="674">
        <f t="shared" si="22"/>
        <v>0</v>
      </c>
      <c r="CO40" s="674">
        <f t="shared" si="22"/>
        <v>0</v>
      </c>
      <c r="CP40" s="674">
        <f t="shared" si="22"/>
        <v>0</v>
      </c>
      <c r="CQ40" s="674">
        <f t="shared" si="22"/>
        <v>0</v>
      </c>
      <c r="CR40" s="674">
        <f t="shared" si="22"/>
        <v>0</v>
      </c>
      <c r="CS40" s="674">
        <f t="shared" si="22"/>
        <v>0</v>
      </c>
      <c r="CT40" s="22"/>
      <c r="CW40" s="902" t="s">
        <v>596</v>
      </c>
    </row>
    <row r="41" spans="5:101" ht="29.25" hidden="1" customHeight="1">
      <c r="E41" s="623">
        <v>30</v>
      </c>
      <c r="F41" s="714">
        <f t="shared" ca="1" si="9"/>
        <v>0</v>
      </c>
      <c r="S41" s="98" t="b">
        <f t="shared" ca="1" si="10"/>
        <v>0</v>
      </c>
      <c r="U41" s="645" t="b">
        <f t="shared" ca="1" si="8"/>
        <v>0</v>
      </c>
      <c r="Y41" s="1382"/>
      <c r="Z41" s="1382"/>
      <c r="AB41" s="1469"/>
      <c r="AD41" s="99">
        <v>7</v>
      </c>
      <c r="AE41" s="1458" t="s">
        <v>597</v>
      </c>
      <c r="AF41" s="1459"/>
      <c r="AG41" s="684" t="s">
        <v>598</v>
      </c>
      <c r="AH41" s="28"/>
      <c r="AI41" s="28"/>
      <c r="AJ41" s="28"/>
      <c r="AK41" s="28"/>
      <c r="AL41" s="28"/>
      <c r="AM41" s="29"/>
      <c r="AN41" s="674">
        <f>AL41-AM41</f>
        <v>0</v>
      </c>
      <c r="AO41" s="1112"/>
      <c r="AP41" s="1111"/>
      <c r="AQ41" s="674">
        <f>AO41-AP41</f>
        <v>0</v>
      </c>
      <c r="AR41" s="1112"/>
      <c r="AS41" s="1111"/>
      <c r="AT41" s="674">
        <f>AR41-AS41</f>
        <v>0</v>
      </c>
      <c r="AU41" s="28"/>
      <c r="AV41" s="29"/>
      <c r="AW41" s="674">
        <f>AU41-AV41</f>
        <v>0</v>
      </c>
      <c r="AX41" s="28"/>
      <c r="AY41" s="29"/>
      <c r="AZ41" s="674">
        <f>AX41-AY41</f>
        <v>0</v>
      </c>
      <c r="BA41" s="28"/>
      <c r="BB41" s="29"/>
      <c r="BC41" s="674">
        <f>BA41-BB41</f>
        <v>0</v>
      </c>
      <c r="BD41" s="28"/>
      <c r="BE41" s="29"/>
      <c r="BF41" s="674">
        <f>BD41-BE41</f>
        <v>0</v>
      </c>
      <c r="BG41" s="28"/>
      <c r="BH41" s="29"/>
      <c r="BI41" s="674">
        <f>BG41-BH41</f>
        <v>0</v>
      </c>
      <c r="BJ41" s="28"/>
      <c r="BK41" s="29"/>
      <c r="BL41" s="674">
        <f>BJ41-BK41</f>
        <v>0</v>
      </c>
      <c r="BM41" s="28"/>
      <c r="BN41" s="29"/>
      <c r="BO41" s="674">
        <f>BM41-BN41</f>
        <v>0</v>
      </c>
      <c r="BP41" s="763"/>
      <c r="BQ41" s="762"/>
      <c r="BR41" s="674">
        <f>BP41-BQ41</f>
        <v>0</v>
      </c>
      <c r="BS41" s="1112"/>
      <c r="BT41" s="1111"/>
      <c r="BU41" s="674">
        <f>BS41-BT41</f>
        <v>0</v>
      </c>
      <c r="BV41" s="1112"/>
      <c r="BW41" s="1111"/>
      <c r="BX41" s="674">
        <f>BV41-BW41</f>
        <v>0</v>
      </c>
      <c r="BY41" s="28"/>
      <c r="BZ41" s="29"/>
      <c r="CA41" s="674">
        <f>BY41-BZ41</f>
        <v>0</v>
      </c>
      <c r="CB41" s="28"/>
      <c r="CC41" s="29"/>
      <c r="CD41" s="674">
        <f>CB41-CC41</f>
        <v>0</v>
      </c>
      <c r="CE41" s="28"/>
      <c r="CF41" s="29"/>
      <c r="CG41" s="674">
        <f>CE41-CF41</f>
        <v>0</v>
      </c>
      <c r="CH41" s="28"/>
      <c r="CI41" s="29"/>
      <c r="CJ41" s="674">
        <f>CH41-CI41</f>
        <v>0</v>
      </c>
      <c r="CK41" s="28"/>
      <c r="CL41" s="29"/>
      <c r="CM41" s="674">
        <f>CK41-CL41</f>
        <v>0</v>
      </c>
      <c r="CN41" s="28"/>
      <c r="CO41" s="29"/>
      <c r="CP41" s="674">
        <f>CN41-CO41</f>
        <v>0</v>
      </c>
      <c r="CQ41" s="28"/>
      <c r="CR41" s="29"/>
      <c r="CS41" s="674">
        <f>CQ41-CR41</f>
        <v>0</v>
      </c>
      <c r="CT41" s="22"/>
      <c r="CW41" s="902" t="s">
        <v>599</v>
      </c>
    </row>
    <row r="42" spans="5:101" ht="16.7" hidden="1" customHeight="1">
      <c r="E42" s="623">
        <v>17.100000000000001</v>
      </c>
      <c r="F42" s="714">
        <f t="shared" ca="1" si="9"/>
        <v>0</v>
      </c>
      <c r="S42" s="98" t="b">
        <f t="shared" ca="1" si="10"/>
        <v>0</v>
      </c>
      <c r="U42" s="645" t="b">
        <f t="shared" ca="1" si="8"/>
        <v>0</v>
      </c>
      <c r="Y42" s="1382"/>
      <c r="Z42" s="1382"/>
      <c r="AB42" s="1469"/>
      <c r="AD42" s="99">
        <v>8</v>
      </c>
      <c r="AE42" s="1458" t="s">
        <v>600</v>
      </c>
      <c r="AF42" s="1459"/>
      <c r="AG42" s="684" t="s">
        <v>598</v>
      </c>
      <c r="AH42" s="28"/>
      <c r="AI42" s="28"/>
      <c r="AJ42" s="28"/>
      <c r="AK42" s="28"/>
      <c r="AL42" s="28"/>
      <c r="AM42" s="29"/>
      <c r="AN42" s="674">
        <f>AL42-AM42</f>
        <v>0</v>
      </c>
      <c r="AO42" s="1112"/>
      <c r="AP42" s="1111"/>
      <c r="AQ42" s="674">
        <f>AO42-AP42</f>
        <v>0</v>
      </c>
      <c r="AR42" s="1112"/>
      <c r="AS42" s="1111"/>
      <c r="AT42" s="674">
        <f>AR42-AS42</f>
        <v>0</v>
      </c>
      <c r="AU42" s="28"/>
      <c r="AV42" s="29"/>
      <c r="AW42" s="674">
        <f>AU42-AV42</f>
        <v>0</v>
      </c>
      <c r="AX42" s="28"/>
      <c r="AY42" s="29"/>
      <c r="AZ42" s="674">
        <f>AX42-AY42</f>
        <v>0</v>
      </c>
      <c r="BA42" s="28"/>
      <c r="BB42" s="29"/>
      <c r="BC42" s="674">
        <f>BA42-BB42</f>
        <v>0</v>
      </c>
      <c r="BD42" s="28"/>
      <c r="BE42" s="29"/>
      <c r="BF42" s="674">
        <f>BD42-BE42</f>
        <v>0</v>
      </c>
      <c r="BG42" s="28"/>
      <c r="BH42" s="29"/>
      <c r="BI42" s="674">
        <f>BG42-BH42</f>
        <v>0</v>
      </c>
      <c r="BJ42" s="28"/>
      <c r="BK42" s="29"/>
      <c r="BL42" s="674">
        <f>BJ42-BK42</f>
        <v>0</v>
      </c>
      <c r="BM42" s="28"/>
      <c r="BN42" s="29"/>
      <c r="BO42" s="674">
        <f>BM42-BN42</f>
        <v>0</v>
      </c>
      <c r="BP42" s="763"/>
      <c r="BQ42" s="762"/>
      <c r="BR42" s="674">
        <f>BP42-BQ42</f>
        <v>0</v>
      </c>
      <c r="BS42" s="1112"/>
      <c r="BT42" s="1111"/>
      <c r="BU42" s="674">
        <f>BS42-BT42</f>
        <v>0</v>
      </c>
      <c r="BV42" s="1112"/>
      <c r="BW42" s="1111"/>
      <c r="BX42" s="674">
        <f>BV42-BW42</f>
        <v>0</v>
      </c>
      <c r="BY42" s="28"/>
      <c r="BZ42" s="29"/>
      <c r="CA42" s="674">
        <f>BY42-BZ42</f>
        <v>0</v>
      </c>
      <c r="CB42" s="28"/>
      <c r="CC42" s="29"/>
      <c r="CD42" s="674">
        <f>CB42-CC42</f>
        <v>0</v>
      </c>
      <c r="CE42" s="28"/>
      <c r="CF42" s="29"/>
      <c r="CG42" s="674">
        <f>CE42-CF42</f>
        <v>0</v>
      </c>
      <c r="CH42" s="28"/>
      <c r="CI42" s="29"/>
      <c r="CJ42" s="674">
        <f>CH42-CI42</f>
        <v>0</v>
      </c>
      <c r="CK42" s="28"/>
      <c r="CL42" s="29"/>
      <c r="CM42" s="674">
        <f>CK42-CL42</f>
        <v>0</v>
      </c>
      <c r="CN42" s="28"/>
      <c r="CO42" s="29"/>
      <c r="CP42" s="674">
        <f>CN42-CO42</f>
        <v>0</v>
      </c>
      <c r="CQ42" s="28"/>
      <c r="CR42" s="29"/>
      <c r="CS42" s="674">
        <f>CQ42-CR42</f>
        <v>0</v>
      </c>
      <c r="CT42" s="22"/>
      <c r="CW42" s="902" t="s">
        <v>601</v>
      </c>
    </row>
    <row r="43" spans="5:101" ht="16.7" hidden="1" customHeight="1">
      <c r="E43" s="623">
        <v>17.100000000000001</v>
      </c>
      <c r="F43" s="714">
        <f t="shared" ca="1" si="9"/>
        <v>0</v>
      </c>
      <c r="S43" s="98" t="b">
        <f t="shared" ca="1" si="10"/>
        <v>0</v>
      </c>
      <c r="U43" s="645" t="b">
        <f t="shared" ca="1" si="8"/>
        <v>0</v>
      </c>
      <c r="Y43" s="1382"/>
      <c r="Z43" s="1382"/>
      <c r="AB43" s="1469"/>
      <c r="AD43" s="99" t="s">
        <v>602</v>
      </c>
      <c r="AE43" s="1464" t="s">
        <v>603</v>
      </c>
      <c r="AF43" s="1465"/>
      <c r="AG43" s="497" t="s">
        <v>388</v>
      </c>
      <c r="AH43" s="678">
        <f t="shared" ref="AH43:BM43" si="23">IFERROR(AH42/AH41,0)</f>
        <v>0</v>
      </c>
      <c r="AI43" s="679">
        <f t="shared" si="23"/>
        <v>0</v>
      </c>
      <c r="AJ43" s="679">
        <f t="shared" si="23"/>
        <v>0</v>
      </c>
      <c r="AK43" s="679">
        <f t="shared" si="23"/>
        <v>0</v>
      </c>
      <c r="AL43" s="679">
        <f t="shared" si="23"/>
        <v>0</v>
      </c>
      <c r="AM43" s="679">
        <f t="shared" si="23"/>
        <v>0</v>
      </c>
      <c r="AN43" s="679">
        <f t="shared" si="23"/>
        <v>0</v>
      </c>
      <c r="AO43" s="679">
        <f t="shared" si="23"/>
        <v>0</v>
      </c>
      <c r="AP43" s="679">
        <f t="shared" si="23"/>
        <v>0</v>
      </c>
      <c r="AQ43" s="679">
        <f t="shared" si="23"/>
        <v>0</v>
      </c>
      <c r="AR43" s="679">
        <f t="shared" si="23"/>
        <v>0</v>
      </c>
      <c r="AS43" s="679">
        <f t="shared" si="23"/>
        <v>0</v>
      </c>
      <c r="AT43" s="679">
        <f t="shared" si="23"/>
        <v>0</v>
      </c>
      <c r="AU43" s="679">
        <f t="shared" si="23"/>
        <v>0</v>
      </c>
      <c r="AV43" s="679">
        <f t="shared" si="23"/>
        <v>0</v>
      </c>
      <c r="AW43" s="679">
        <f t="shared" si="23"/>
        <v>0</v>
      </c>
      <c r="AX43" s="679">
        <f t="shared" si="23"/>
        <v>0</v>
      </c>
      <c r="AY43" s="679">
        <f t="shared" si="23"/>
        <v>0</v>
      </c>
      <c r="AZ43" s="679">
        <f t="shared" si="23"/>
        <v>0</v>
      </c>
      <c r="BA43" s="679">
        <f t="shared" si="23"/>
        <v>0</v>
      </c>
      <c r="BB43" s="679">
        <f t="shared" si="23"/>
        <v>0</v>
      </c>
      <c r="BC43" s="679">
        <f t="shared" si="23"/>
        <v>0</v>
      </c>
      <c r="BD43" s="679">
        <f t="shared" si="23"/>
        <v>0</v>
      </c>
      <c r="BE43" s="679">
        <f t="shared" si="23"/>
        <v>0</v>
      </c>
      <c r="BF43" s="679">
        <f t="shared" si="23"/>
        <v>0</v>
      </c>
      <c r="BG43" s="679">
        <f t="shared" si="23"/>
        <v>0</v>
      </c>
      <c r="BH43" s="679">
        <f t="shared" si="23"/>
        <v>0</v>
      </c>
      <c r="BI43" s="679">
        <f t="shared" si="23"/>
        <v>0</v>
      </c>
      <c r="BJ43" s="679">
        <f t="shared" si="23"/>
        <v>0</v>
      </c>
      <c r="BK43" s="679">
        <f t="shared" si="23"/>
        <v>0</v>
      </c>
      <c r="BL43" s="679">
        <f t="shared" si="23"/>
        <v>0</v>
      </c>
      <c r="BM43" s="679">
        <f t="shared" si="23"/>
        <v>0</v>
      </c>
      <c r="BN43" s="679">
        <f t="shared" ref="BN43:CS43" si="24">IFERROR(BN42/BN41,0)</f>
        <v>0</v>
      </c>
      <c r="BO43" s="679">
        <f t="shared" si="24"/>
        <v>0</v>
      </c>
      <c r="BP43" s="679">
        <f t="shared" si="24"/>
        <v>0</v>
      </c>
      <c r="BQ43" s="679">
        <f t="shared" si="24"/>
        <v>0</v>
      </c>
      <c r="BR43" s="679">
        <f t="shared" si="24"/>
        <v>0</v>
      </c>
      <c r="BS43" s="679">
        <f t="shared" si="24"/>
        <v>0</v>
      </c>
      <c r="BT43" s="679">
        <f t="shared" si="24"/>
        <v>0</v>
      </c>
      <c r="BU43" s="679">
        <f t="shared" si="24"/>
        <v>0</v>
      </c>
      <c r="BV43" s="679">
        <f t="shared" si="24"/>
        <v>0</v>
      </c>
      <c r="BW43" s="679">
        <f t="shared" si="24"/>
        <v>0</v>
      </c>
      <c r="BX43" s="679">
        <f t="shared" si="24"/>
        <v>0</v>
      </c>
      <c r="BY43" s="679">
        <f t="shared" si="24"/>
        <v>0</v>
      </c>
      <c r="BZ43" s="679">
        <f t="shared" si="24"/>
        <v>0</v>
      </c>
      <c r="CA43" s="679">
        <f t="shared" si="24"/>
        <v>0</v>
      </c>
      <c r="CB43" s="679">
        <f t="shared" si="24"/>
        <v>0</v>
      </c>
      <c r="CC43" s="679">
        <f t="shared" si="24"/>
        <v>0</v>
      </c>
      <c r="CD43" s="679">
        <f t="shared" si="24"/>
        <v>0</v>
      </c>
      <c r="CE43" s="679">
        <f t="shared" si="24"/>
        <v>0</v>
      </c>
      <c r="CF43" s="679">
        <f t="shared" si="24"/>
        <v>0</v>
      </c>
      <c r="CG43" s="679">
        <f t="shared" si="24"/>
        <v>0</v>
      </c>
      <c r="CH43" s="679">
        <f t="shared" si="24"/>
        <v>0</v>
      </c>
      <c r="CI43" s="679">
        <f t="shared" si="24"/>
        <v>0</v>
      </c>
      <c r="CJ43" s="679">
        <f t="shared" si="24"/>
        <v>0</v>
      </c>
      <c r="CK43" s="679">
        <f t="shared" si="24"/>
        <v>0</v>
      </c>
      <c r="CL43" s="679">
        <f t="shared" si="24"/>
        <v>0</v>
      </c>
      <c r="CM43" s="679">
        <f t="shared" si="24"/>
        <v>0</v>
      </c>
      <c r="CN43" s="679">
        <f t="shared" si="24"/>
        <v>0</v>
      </c>
      <c r="CO43" s="679">
        <f t="shared" si="24"/>
        <v>0</v>
      </c>
      <c r="CP43" s="679">
        <f t="shared" si="24"/>
        <v>0</v>
      </c>
      <c r="CQ43" s="679">
        <f t="shared" si="24"/>
        <v>0</v>
      </c>
      <c r="CR43" s="679">
        <f t="shared" si="24"/>
        <v>0</v>
      </c>
      <c r="CS43" s="679">
        <f t="shared" si="24"/>
        <v>0</v>
      </c>
      <c r="CT43" s="22"/>
      <c r="CW43" s="902" t="s">
        <v>604</v>
      </c>
    </row>
    <row r="44" spans="5:101" ht="29.25" hidden="1" customHeight="1">
      <c r="E44" s="623">
        <v>30</v>
      </c>
      <c r="F44" s="714">
        <f t="shared" ca="1" si="9"/>
        <v>0</v>
      </c>
      <c r="S44" s="98" t="b">
        <f t="shared" ca="1" si="10"/>
        <v>0</v>
      </c>
      <c r="U44" s="645" t="b">
        <f t="shared" ca="1" si="8"/>
        <v>0</v>
      </c>
      <c r="Y44" s="1382"/>
      <c r="Z44" s="1382"/>
      <c r="AB44" s="1469"/>
      <c r="AD44" s="99">
        <v>9</v>
      </c>
      <c r="AE44" s="1443" t="s">
        <v>605</v>
      </c>
      <c r="AF44" s="1444"/>
      <c r="AG44" s="684" t="s">
        <v>598</v>
      </c>
      <c r="AH44" s="672">
        <f t="shared" ref="AH44:BM44" si="25">AH41-AH42</f>
        <v>0</v>
      </c>
      <c r="AI44" s="674">
        <f t="shared" si="25"/>
        <v>0</v>
      </c>
      <c r="AJ44" s="674">
        <f t="shared" si="25"/>
        <v>0</v>
      </c>
      <c r="AK44" s="674">
        <f t="shared" si="25"/>
        <v>0</v>
      </c>
      <c r="AL44" s="674">
        <f t="shared" si="25"/>
        <v>0</v>
      </c>
      <c r="AM44" s="674">
        <f t="shared" si="25"/>
        <v>0</v>
      </c>
      <c r="AN44" s="674">
        <f t="shared" si="25"/>
        <v>0</v>
      </c>
      <c r="AO44" s="674">
        <f t="shared" si="25"/>
        <v>0</v>
      </c>
      <c r="AP44" s="674">
        <f t="shared" si="25"/>
        <v>0</v>
      </c>
      <c r="AQ44" s="674">
        <f t="shared" si="25"/>
        <v>0</v>
      </c>
      <c r="AR44" s="674">
        <f t="shared" si="25"/>
        <v>0</v>
      </c>
      <c r="AS44" s="674">
        <f t="shared" si="25"/>
        <v>0</v>
      </c>
      <c r="AT44" s="674">
        <f t="shared" si="25"/>
        <v>0</v>
      </c>
      <c r="AU44" s="674">
        <f t="shared" si="25"/>
        <v>0</v>
      </c>
      <c r="AV44" s="674">
        <f t="shared" si="25"/>
        <v>0</v>
      </c>
      <c r="AW44" s="674">
        <f t="shared" si="25"/>
        <v>0</v>
      </c>
      <c r="AX44" s="674">
        <f t="shared" si="25"/>
        <v>0</v>
      </c>
      <c r="AY44" s="674">
        <f t="shared" si="25"/>
        <v>0</v>
      </c>
      <c r="AZ44" s="674">
        <f t="shared" si="25"/>
        <v>0</v>
      </c>
      <c r="BA44" s="674">
        <f t="shared" si="25"/>
        <v>0</v>
      </c>
      <c r="BB44" s="674">
        <f t="shared" si="25"/>
        <v>0</v>
      </c>
      <c r="BC44" s="674">
        <f t="shared" si="25"/>
        <v>0</v>
      </c>
      <c r="BD44" s="674">
        <f t="shared" si="25"/>
        <v>0</v>
      </c>
      <c r="BE44" s="674">
        <f t="shared" si="25"/>
        <v>0</v>
      </c>
      <c r="BF44" s="674">
        <f t="shared" si="25"/>
        <v>0</v>
      </c>
      <c r="BG44" s="674">
        <f t="shared" si="25"/>
        <v>0</v>
      </c>
      <c r="BH44" s="674">
        <f t="shared" si="25"/>
        <v>0</v>
      </c>
      <c r="BI44" s="674">
        <f t="shared" si="25"/>
        <v>0</v>
      </c>
      <c r="BJ44" s="674">
        <f t="shared" si="25"/>
        <v>0</v>
      </c>
      <c r="BK44" s="674">
        <f t="shared" si="25"/>
        <v>0</v>
      </c>
      <c r="BL44" s="674">
        <f t="shared" si="25"/>
        <v>0</v>
      </c>
      <c r="BM44" s="674">
        <f t="shared" si="25"/>
        <v>0</v>
      </c>
      <c r="BN44" s="674">
        <f t="shared" ref="BN44:CS44" si="26">BN41-BN42</f>
        <v>0</v>
      </c>
      <c r="BO44" s="674">
        <f t="shared" si="26"/>
        <v>0</v>
      </c>
      <c r="BP44" s="674">
        <f t="shared" si="26"/>
        <v>0</v>
      </c>
      <c r="BQ44" s="674">
        <f t="shared" si="26"/>
        <v>0</v>
      </c>
      <c r="BR44" s="674">
        <f t="shared" si="26"/>
        <v>0</v>
      </c>
      <c r="BS44" s="674">
        <f t="shared" si="26"/>
        <v>0</v>
      </c>
      <c r="BT44" s="674">
        <f t="shared" si="26"/>
        <v>0</v>
      </c>
      <c r="BU44" s="674">
        <f t="shared" si="26"/>
        <v>0</v>
      </c>
      <c r="BV44" s="674">
        <f t="shared" si="26"/>
        <v>0</v>
      </c>
      <c r="BW44" s="674">
        <f t="shared" si="26"/>
        <v>0</v>
      </c>
      <c r="BX44" s="674">
        <f t="shared" si="26"/>
        <v>0</v>
      </c>
      <c r="BY44" s="674">
        <f t="shared" si="26"/>
        <v>0</v>
      </c>
      <c r="BZ44" s="674">
        <f t="shared" si="26"/>
        <v>0</v>
      </c>
      <c r="CA44" s="674">
        <f t="shared" si="26"/>
        <v>0</v>
      </c>
      <c r="CB44" s="674">
        <f t="shared" si="26"/>
        <v>0</v>
      </c>
      <c r="CC44" s="674">
        <f t="shared" si="26"/>
        <v>0</v>
      </c>
      <c r="CD44" s="674">
        <f t="shared" si="26"/>
        <v>0</v>
      </c>
      <c r="CE44" s="674">
        <f t="shared" si="26"/>
        <v>0</v>
      </c>
      <c r="CF44" s="674">
        <f t="shared" si="26"/>
        <v>0</v>
      </c>
      <c r="CG44" s="674">
        <f t="shared" si="26"/>
        <v>0</v>
      </c>
      <c r="CH44" s="674">
        <f t="shared" si="26"/>
        <v>0</v>
      </c>
      <c r="CI44" s="674">
        <f t="shared" si="26"/>
        <v>0</v>
      </c>
      <c r="CJ44" s="674">
        <f t="shared" si="26"/>
        <v>0</v>
      </c>
      <c r="CK44" s="674">
        <f t="shared" si="26"/>
        <v>0</v>
      </c>
      <c r="CL44" s="674">
        <f t="shared" si="26"/>
        <v>0</v>
      </c>
      <c r="CM44" s="674">
        <f t="shared" si="26"/>
        <v>0</v>
      </c>
      <c r="CN44" s="674">
        <f t="shared" si="26"/>
        <v>0</v>
      </c>
      <c r="CO44" s="674">
        <f t="shared" si="26"/>
        <v>0</v>
      </c>
      <c r="CP44" s="674">
        <f t="shared" si="26"/>
        <v>0</v>
      </c>
      <c r="CQ44" s="674">
        <f t="shared" si="26"/>
        <v>0</v>
      </c>
      <c r="CR44" s="674">
        <f t="shared" si="26"/>
        <v>0</v>
      </c>
      <c r="CS44" s="674">
        <f t="shared" si="26"/>
        <v>0</v>
      </c>
      <c r="CT44" s="22"/>
      <c r="CW44" s="902" t="s">
        <v>606</v>
      </c>
    </row>
    <row r="45" spans="5:101" ht="16.7" hidden="1" customHeight="1">
      <c r="E45" s="623">
        <v>17.100000000000001</v>
      </c>
      <c r="F45" s="714">
        <f t="shared" ca="1" si="9"/>
        <v>0</v>
      </c>
      <c r="R45" s="714" t="s">
        <v>569</v>
      </c>
      <c r="S45" s="98" t="b">
        <f t="shared" ca="1" si="10"/>
        <v>0</v>
      </c>
      <c r="U45" s="645" t="b">
        <f t="shared" ca="1" si="8"/>
        <v>0</v>
      </c>
      <c r="Y45" s="1382"/>
      <c r="Z45" s="1382"/>
      <c r="AB45" s="1469"/>
      <c r="AD45" s="99">
        <v>10</v>
      </c>
      <c r="AE45" s="1443" t="s">
        <v>586</v>
      </c>
      <c r="AF45" s="1444"/>
      <c r="AG45" s="497" t="s">
        <v>572</v>
      </c>
      <c r="AH45" s="28"/>
      <c r="AI45" s="29"/>
      <c r="AJ45" s="29"/>
      <c r="AK45" s="29"/>
      <c r="AL45" s="674">
        <f>AM45+AN45</f>
        <v>0</v>
      </c>
      <c r="AM45" s="29"/>
      <c r="AN45" s="29"/>
      <c r="AO45" s="674">
        <f>AP45+AQ45</f>
        <v>0</v>
      </c>
      <c r="AP45" s="1111"/>
      <c r="AQ45" s="1111"/>
      <c r="AR45" s="674">
        <f>AS45+AT45</f>
        <v>0</v>
      </c>
      <c r="AS45" s="1111"/>
      <c r="AT45" s="1111"/>
      <c r="AU45" s="674">
        <f>AV45+AW45</f>
        <v>0</v>
      </c>
      <c r="AV45" s="29"/>
      <c r="AW45" s="29"/>
      <c r="AX45" s="674">
        <f>AY45+AZ45</f>
        <v>0</v>
      </c>
      <c r="AY45" s="29"/>
      <c r="AZ45" s="29"/>
      <c r="BA45" s="674">
        <f>BB45+BC45</f>
        <v>0</v>
      </c>
      <c r="BB45" s="29"/>
      <c r="BC45" s="29"/>
      <c r="BD45" s="674">
        <f>BE45+BF45</f>
        <v>0</v>
      </c>
      <c r="BE45" s="29"/>
      <c r="BF45" s="29"/>
      <c r="BG45" s="674">
        <f>BH45+BI45</f>
        <v>0</v>
      </c>
      <c r="BH45" s="29"/>
      <c r="BI45" s="29"/>
      <c r="BJ45" s="674">
        <f>BK45+BL45</f>
        <v>0</v>
      </c>
      <c r="BK45" s="29"/>
      <c r="BL45" s="29"/>
      <c r="BM45" s="674">
        <f>BN45+BO45</f>
        <v>0</v>
      </c>
      <c r="BN45" s="29"/>
      <c r="BO45" s="29"/>
      <c r="BP45" s="674">
        <f>BQ45+BR45</f>
        <v>0</v>
      </c>
      <c r="BQ45" s="762"/>
      <c r="BR45" s="762"/>
      <c r="BS45" s="674">
        <f>BT45+BU45</f>
        <v>0</v>
      </c>
      <c r="BT45" s="1111"/>
      <c r="BU45" s="1111"/>
      <c r="BV45" s="674">
        <f>BW45+BX45</f>
        <v>0</v>
      </c>
      <c r="BW45" s="1111"/>
      <c r="BX45" s="1111"/>
      <c r="BY45" s="674">
        <f>BZ45+CA45</f>
        <v>0</v>
      </c>
      <c r="BZ45" s="29"/>
      <c r="CA45" s="29"/>
      <c r="CB45" s="674">
        <f>CC45+CD45</f>
        <v>0</v>
      </c>
      <c r="CC45" s="29"/>
      <c r="CD45" s="29"/>
      <c r="CE45" s="674">
        <f>CF45+CG45</f>
        <v>0</v>
      </c>
      <c r="CF45" s="29"/>
      <c r="CG45" s="29"/>
      <c r="CH45" s="674">
        <f>CI45+CJ45</f>
        <v>0</v>
      </c>
      <c r="CI45" s="29"/>
      <c r="CJ45" s="29"/>
      <c r="CK45" s="674">
        <f>CL45+CM45</f>
        <v>0</v>
      </c>
      <c r="CL45" s="29"/>
      <c r="CM45" s="29"/>
      <c r="CN45" s="674">
        <f>CO45+CP45</f>
        <v>0</v>
      </c>
      <c r="CO45" s="29"/>
      <c r="CP45" s="29"/>
      <c r="CQ45" s="674">
        <f>CR45+CS45</f>
        <v>0</v>
      </c>
      <c r="CR45" s="29"/>
      <c r="CS45" s="29"/>
      <c r="CT45" s="22"/>
      <c r="CW45" s="902" t="s">
        <v>607</v>
      </c>
    </row>
    <row r="46" spans="5:101" ht="29.25" hidden="1" customHeight="1">
      <c r="E46" s="623">
        <v>30</v>
      </c>
      <c r="F46" s="714">
        <f t="shared" ca="1" si="9"/>
        <v>0</v>
      </c>
      <c r="R46" s="714" t="s">
        <v>569</v>
      </c>
      <c r="S46" s="98" t="b">
        <f t="shared" ca="1" si="10"/>
        <v>0</v>
      </c>
      <c r="U46" s="645" t="b">
        <f t="shared" ca="1" si="8"/>
        <v>0</v>
      </c>
      <c r="Y46" s="1382"/>
      <c r="Z46" s="1382"/>
      <c r="AB46" s="1469"/>
      <c r="AD46" s="99">
        <v>11</v>
      </c>
      <c r="AE46" s="1443" t="s">
        <v>608</v>
      </c>
      <c r="AF46" s="1444"/>
      <c r="AG46" s="497" t="s">
        <v>609</v>
      </c>
      <c r="AH46" s="28"/>
      <c r="AI46" s="29"/>
      <c r="AJ46" s="29"/>
      <c r="AK46" s="29"/>
      <c r="AL46" s="674">
        <f>IFERROR(AL47*1000/AL45,0)</f>
        <v>0</v>
      </c>
      <c r="AM46" s="29"/>
      <c r="AN46" s="29">
        <f>AM46</f>
        <v>0</v>
      </c>
      <c r="AO46" s="674">
        <f>IFERROR(AO47*1000/AO45,0)</f>
        <v>0</v>
      </c>
      <c r="AP46" s="1111"/>
      <c r="AQ46" s="1111">
        <f>AP46</f>
        <v>0</v>
      </c>
      <c r="AR46" s="674">
        <f>IFERROR(AR47*1000/AR45,0)</f>
        <v>0</v>
      </c>
      <c r="AS46" s="1111"/>
      <c r="AT46" s="1111">
        <f>AS46</f>
        <v>0</v>
      </c>
      <c r="AU46" s="674">
        <f>IFERROR(AU47*1000/AU45,0)</f>
        <v>0</v>
      </c>
      <c r="AV46" s="29"/>
      <c r="AW46" s="29">
        <f>AV46</f>
        <v>0</v>
      </c>
      <c r="AX46" s="674">
        <f>IFERROR(AX47*1000/AX45,0)</f>
        <v>0</v>
      </c>
      <c r="AY46" s="29"/>
      <c r="AZ46" s="29">
        <f>AY46</f>
        <v>0</v>
      </c>
      <c r="BA46" s="674">
        <f>IFERROR(BA47*1000/BA45,0)</f>
        <v>0</v>
      </c>
      <c r="BB46" s="29"/>
      <c r="BC46" s="29">
        <f>BB46</f>
        <v>0</v>
      </c>
      <c r="BD46" s="674">
        <f>IFERROR(BD47*1000/BD45,0)</f>
        <v>0</v>
      </c>
      <c r="BE46" s="29"/>
      <c r="BF46" s="29">
        <f>BE46</f>
        <v>0</v>
      </c>
      <c r="BG46" s="674">
        <f>IFERROR(BG47*1000/BG45,0)</f>
        <v>0</v>
      </c>
      <c r="BH46" s="29"/>
      <c r="BI46" s="29">
        <f>BH46</f>
        <v>0</v>
      </c>
      <c r="BJ46" s="674">
        <f>IFERROR(BJ47*1000/BJ45,0)</f>
        <v>0</v>
      </c>
      <c r="BK46" s="29"/>
      <c r="BL46" s="29">
        <f>BK46</f>
        <v>0</v>
      </c>
      <c r="BM46" s="674">
        <f>IFERROR(BM47*1000/BM45,0)</f>
        <v>0</v>
      </c>
      <c r="BN46" s="29"/>
      <c r="BO46" s="29">
        <f>BN46</f>
        <v>0</v>
      </c>
      <c r="BP46" s="674">
        <f>IFERROR(BP47*1000/BP45,0)</f>
        <v>0</v>
      </c>
      <c r="BQ46" s="762"/>
      <c r="BR46" s="762">
        <f>BQ46</f>
        <v>0</v>
      </c>
      <c r="BS46" s="674">
        <f>IFERROR(BS47*1000/BS45,0)</f>
        <v>0</v>
      </c>
      <c r="BT46" s="1111"/>
      <c r="BU46" s="1111">
        <f>BT46</f>
        <v>0</v>
      </c>
      <c r="BV46" s="674">
        <f>IFERROR(BV47*1000/BV45,0)</f>
        <v>0</v>
      </c>
      <c r="BW46" s="1111"/>
      <c r="BX46" s="1111">
        <f>BW46</f>
        <v>0</v>
      </c>
      <c r="BY46" s="674">
        <f>IFERROR(BY47*1000/BY45,0)</f>
        <v>0</v>
      </c>
      <c r="BZ46" s="29"/>
      <c r="CA46" s="29">
        <f>BZ46</f>
        <v>0</v>
      </c>
      <c r="CB46" s="674">
        <f>IFERROR(CB47*1000/CB45,0)</f>
        <v>0</v>
      </c>
      <c r="CC46" s="29"/>
      <c r="CD46" s="29">
        <f>CC46</f>
        <v>0</v>
      </c>
      <c r="CE46" s="674">
        <f>IFERROR(CE47*1000/CE45,0)</f>
        <v>0</v>
      </c>
      <c r="CF46" s="29"/>
      <c r="CG46" s="29">
        <f>CF46</f>
        <v>0</v>
      </c>
      <c r="CH46" s="674">
        <f>IFERROR(CH47*1000/CH45,0)</f>
        <v>0</v>
      </c>
      <c r="CI46" s="29"/>
      <c r="CJ46" s="29">
        <f>CI46</f>
        <v>0</v>
      </c>
      <c r="CK46" s="674">
        <f>IFERROR(CK47*1000/CK45,0)</f>
        <v>0</v>
      </c>
      <c r="CL46" s="29"/>
      <c r="CM46" s="29">
        <f>CL46</f>
        <v>0</v>
      </c>
      <c r="CN46" s="674">
        <f>IFERROR(CN47*1000/CN45,0)</f>
        <v>0</v>
      </c>
      <c r="CO46" s="29"/>
      <c r="CP46" s="29">
        <f>CO46</f>
        <v>0</v>
      </c>
      <c r="CQ46" s="674">
        <f>IFERROR(CQ47*1000/CQ45,0)</f>
        <v>0</v>
      </c>
      <c r="CR46" s="29"/>
      <c r="CS46" s="29">
        <f>CR46</f>
        <v>0</v>
      </c>
      <c r="CT46" s="22"/>
      <c r="CW46" s="902" t="s">
        <v>610</v>
      </c>
    </row>
    <row r="47" spans="5:101" ht="16.7" hidden="1" customHeight="1">
      <c r="E47" s="623">
        <v>17.100000000000001</v>
      </c>
      <c r="F47" s="714">
        <f t="shared" ca="1" si="9"/>
        <v>0</v>
      </c>
      <c r="R47" s="714" t="s">
        <v>569</v>
      </c>
      <c r="S47" s="98" t="b">
        <f t="shared" ca="1" si="10"/>
        <v>0</v>
      </c>
      <c r="U47" s="645" t="b">
        <f t="shared" ca="1" si="8"/>
        <v>0</v>
      </c>
      <c r="Y47" s="1382"/>
      <c r="Z47" s="1382"/>
      <c r="AB47" s="1469"/>
      <c r="AD47" s="99">
        <v>12</v>
      </c>
      <c r="AE47" s="1443" t="s">
        <v>611</v>
      </c>
      <c r="AF47" s="1444"/>
      <c r="AG47" s="497" t="s">
        <v>612</v>
      </c>
      <c r="AH47" s="680">
        <f>AH45*AH46/1000</f>
        <v>0</v>
      </c>
      <c r="AI47" s="288">
        <f>AI45*AI46/1000</f>
        <v>0</v>
      </c>
      <c r="AJ47" s="288">
        <f>AJ45*AJ46/1000</f>
        <v>0</v>
      </c>
      <c r="AK47" s="288">
        <f>AK45*AK46/1000</f>
        <v>0</v>
      </c>
      <c r="AL47" s="674">
        <f>AM47+AN47</f>
        <v>0</v>
      </c>
      <c r="AM47" s="288">
        <f>AM45*AM46/1000</f>
        <v>0</v>
      </c>
      <c r="AN47" s="288">
        <f>AN45*AN46/1000</f>
        <v>0</v>
      </c>
      <c r="AO47" s="674">
        <f>AP47+AQ47</f>
        <v>0</v>
      </c>
      <c r="AP47" s="288">
        <f>AP45*AP46/1000</f>
        <v>0</v>
      </c>
      <c r="AQ47" s="288">
        <f>AQ45*AQ46/1000</f>
        <v>0</v>
      </c>
      <c r="AR47" s="674">
        <f>AS47+AT47</f>
        <v>0</v>
      </c>
      <c r="AS47" s="288">
        <f>AS45*AS46/1000</f>
        <v>0</v>
      </c>
      <c r="AT47" s="288">
        <f>AT45*AT46/1000</f>
        <v>0</v>
      </c>
      <c r="AU47" s="674">
        <f>AV47+AW47</f>
        <v>0</v>
      </c>
      <c r="AV47" s="288">
        <f>AV45*AV46/1000</f>
        <v>0</v>
      </c>
      <c r="AW47" s="288">
        <f>AW45*AW46/1000</f>
        <v>0</v>
      </c>
      <c r="AX47" s="674">
        <f>AY47+AZ47</f>
        <v>0</v>
      </c>
      <c r="AY47" s="288">
        <f>AY45*AY46/1000</f>
        <v>0</v>
      </c>
      <c r="AZ47" s="288">
        <f>AZ45*AZ46/1000</f>
        <v>0</v>
      </c>
      <c r="BA47" s="674">
        <f>BB47+BC47</f>
        <v>0</v>
      </c>
      <c r="BB47" s="288">
        <f>BB45*BB46/1000</f>
        <v>0</v>
      </c>
      <c r="BC47" s="288">
        <f>BC45*BC46/1000</f>
        <v>0</v>
      </c>
      <c r="BD47" s="674">
        <f>BE47+BF47</f>
        <v>0</v>
      </c>
      <c r="BE47" s="288">
        <f>BE45*BE46/1000</f>
        <v>0</v>
      </c>
      <c r="BF47" s="288">
        <f>BF45*BF46/1000</f>
        <v>0</v>
      </c>
      <c r="BG47" s="674">
        <f>BH47+BI47</f>
        <v>0</v>
      </c>
      <c r="BH47" s="288">
        <f>BH45*BH46/1000</f>
        <v>0</v>
      </c>
      <c r="BI47" s="288">
        <f>BI45*BI46/1000</f>
        <v>0</v>
      </c>
      <c r="BJ47" s="674">
        <f>BK47+BL47</f>
        <v>0</v>
      </c>
      <c r="BK47" s="288">
        <f>BK45*BK46/1000</f>
        <v>0</v>
      </c>
      <c r="BL47" s="288">
        <f>BL45*BL46/1000</f>
        <v>0</v>
      </c>
      <c r="BM47" s="674">
        <f>BN47+BO47</f>
        <v>0</v>
      </c>
      <c r="BN47" s="288">
        <f>BN45*BN46/1000</f>
        <v>0</v>
      </c>
      <c r="BO47" s="288">
        <f>BO45*BO46/1000</f>
        <v>0</v>
      </c>
      <c r="BP47" s="674">
        <f>BQ47+BR47</f>
        <v>0</v>
      </c>
      <c r="BQ47" s="288">
        <f>BQ45*BQ46/1000</f>
        <v>0</v>
      </c>
      <c r="BR47" s="288">
        <f>BR45*BR46/1000</f>
        <v>0</v>
      </c>
      <c r="BS47" s="674">
        <f>BT47+BU47</f>
        <v>0</v>
      </c>
      <c r="BT47" s="288">
        <f>BT45*BT46/1000</f>
        <v>0</v>
      </c>
      <c r="BU47" s="288">
        <f>BU45*BU46/1000</f>
        <v>0</v>
      </c>
      <c r="BV47" s="674">
        <f>BW47+BX47</f>
        <v>0</v>
      </c>
      <c r="BW47" s="288">
        <f>BW45*BW46/1000</f>
        <v>0</v>
      </c>
      <c r="BX47" s="288">
        <f>BX45*BX46/1000</f>
        <v>0</v>
      </c>
      <c r="BY47" s="674">
        <f>BZ47+CA47</f>
        <v>0</v>
      </c>
      <c r="BZ47" s="288">
        <f>BZ45*BZ46/1000</f>
        <v>0</v>
      </c>
      <c r="CA47" s="288">
        <f>CA45*CA46/1000</f>
        <v>0</v>
      </c>
      <c r="CB47" s="674">
        <f>CC47+CD47</f>
        <v>0</v>
      </c>
      <c r="CC47" s="288">
        <f>CC45*CC46/1000</f>
        <v>0</v>
      </c>
      <c r="CD47" s="288">
        <f>CD45*CD46/1000</f>
        <v>0</v>
      </c>
      <c r="CE47" s="674">
        <f>CF47+CG47</f>
        <v>0</v>
      </c>
      <c r="CF47" s="288">
        <f>CF45*CF46/1000</f>
        <v>0</v>
      </c>
      <c r="CG47" s="288">
        <f>CG45*CG46/1000</f>
        <v>0</v>
      </c>
      <c r="CH47" s="674">
        <f>CI47+CJ47</f>
        <v>0</v>
      </c>
      <c r="CI47" s="288">
        <f>CI45*CI46/1000</f>
        <v>0</v>
      </c>
      <c r="CJ47" s="288">
        <f>CJ45*CJ46/1000</f>
        <v>0</v>
      </c>
      <c r="CK47" s="674">
        <f>CL47+CM47</f>
        <v>0</v>
      </c>
      <c r="CL47" s="288">
        <f>CL45*CL46/1000</f>
        <v>0</v>
      </c>
      <c r="CM47" s="288">
        <f>CM45*CM46/1000</f>
        <v>0</v>
      </c>
      <c r="CN47" s="674">
        <f>CO47+CP47</f>
        <v>0</v>
      </c>
      <c r="CO47" s="288">
        <f>CO45*CO46/1000</f>
        <v>0</v>
      </c>
      <c r="CP47" s="288">
        <f>CP45*CP46/1000</f>
        <v>0</v>
      </c>
      <c r="CQ47" s="674">
        <f>CR47+CS47</f>
        <v>0</v>
      </c>
      <c r="CR47" s="288">
        <f>CR45*CR46/1000</f>
        <v>0</v>
      </c>
      <c r="CS47" s="288">
        <f>CS45*CS46/1000</f>
        <v>0</v>
      </c>
      <c r="CT47" s="22"/>
      <c r="CW47" s="902" t="s">
        <v>613</v>
      </c>
    </row>
    <row r="48" spans="5:101" ht="29.25" hidden="1" customHeight="1">
      <c r="E48" s="623">
        <v>30</v>
      </c>
      <c r="F48" s="714">
        <f t="shared" ca="1" si="9"/>
        <v>0</v>
      </c>
      <c r="S48" s="98" t="b">
        <f t="shared" ca="1" si="10"/>
        <v>0</v>
      </c>
      <c r="U48" s="645" t="b">
        <f t="shared" ca="1" si="8"/>
        <v>0</v>
      </c>
      <c r="Y48" s="1382"/>
      <c r="Z48" s="1382"/>
      <c r="AB48" s="1469"/>
      <c r="AD48" s="99">
        <v>13</v>
      </c>
      <c r="AE48" s="1443" t="s">
        <v>597</v>
      </c>
      <c r="AF48" s="1444"/>
      <c r="AG48" s="497" t="s">
        <v>598</v>
      </c>
      <c r="AH48" s="28">
        <f t="shared" ref="AH48:BM48" si="27">AH41</f>
        <v>0</v>
      </c>
      <c r="AI48" s="28">
        <f t="shared" si="27"/>
        <v>0</v>
      </c>
      <c r="AJ48" s="28">
        <f t="shared" si="27"/>
        <v>0</v>
      </c>
      <c r="AK48" s="28">
        <f t="shared" si="27"/>
        <v>0</v>
      </c>
      <c r="AL48" s="28">
        <f t="shared" si="27"/>
        <v>0</v>
      </c>
      <c r="AM48" s="28">
        <f t="shared" si="27"/>
        <v>0</v>
      </c>
      <c r="AN48" s="28">
        <f t="shared" si="27"/>
        <v>0</v>
      </c>
      <c r="AO48" s="1112">
        <f t="shared" si="27"/>
        <v>0</v>
      </c>
      <c r="AP48" s="1112">
        <f t="shared" si="27"/>
        <v>0</v>
      </c>
      <c r="AQ48" s="1112">
        <f t="shared" si="27"/>
        <v>0</v>
      </c>
      <c r="AR48" s="1112">
        <f t="shared" si="27"/>
        <v>0</v>
      </c>
      <c r="AS48" s="1112">
        <f t="shared" si="27"/>
        <v>0</v>
      </c>
      <c r="AT48" s="1112">
        <f t="shared" si="27"/>
        <v>0</v>
      </c>
      <c r="AU48" s="28">
        <f t="shared" si="27"/>
        <v>0</v>
      </c>
      <c r="AV48" s="28">
        <f t="shared" si="27"/>
        <v>0</v>
      </c>
      <c r="AW48" s="28">
        <f t="shared" si="27"/>
        <v>0</v>
      </c>
      <c r="AX48" s="28">
        <f t="shared" si="27"/>
        <v>0</v>
      </c>
      <c r="AY48" s="28">
        <f t="shared" si="27"/>
        <v>0</v>
      </c>
      <c r="AZ48" s="28">
        <f t="shared" si="27"/>
        <v>0</v>
      </c>
      <c r="BA48" s="28">
        <f t="shared" si="27"/>
        <v>0</v>
      </c>
      <c r="BB48" s="28">
        <f t="shared" si="27"/>
        <v>0</v>
      </c>
      <c r="BC48" s="28">
        <f t="shared" si="27"/>
        <v>0</v>
      </c>
      <c r="BD48" s="28">
        <f t="shared" si="27"/>
        <v>0</v>
      </c>
      <c r="BE48" s="28">
        <f t="shared" si="27"/>
        <v>0</v>
      </c>
      <c r="BF48" s="28">
        <f t="shared" si="27"/>
        <v>0</v>
      </c>
      <c r="BG48" s="28">
        <f t="shared" si="27"/>
        <v>0</v>
      </c>
      <c r="BH48" s="28">
        <f t="shared" si="27"/>
        <v>0</v>
      </c>
      <c r="BI48" s="28">
        <f t="shared" si="27"/>
        <v>0</v>
      </c>
      <c r="BJ48" s="28">
        <f t="shared" si="27"/>
        <v>0</v>
      </c>
      <c r="BK48" s="28">
        <f t="shared" si="27"/>
        <v>0</v>
      </c>
      <c r="BL48" s="28">
        <f t="shared" si="27"/>
        <v>0</v>
      </c>
      <c r="BM48" s="28">
        <f t="shared" si="27"/>
        <v>0</v>
      </c>
      <c r="BN48" s="28">
        <f t="shared" ref="BN48:CS48" si="28">BN41</f>
        <v>0</v>
      </c>
      <c r="BO48" s="28">
        <f t="shared" si="28"/>
        <v>0</v>
      </c>
      <c r="BP48" s="763">
        <f t="shared" si="28"/>
        <v>0</v>
      </c>
      <c r="BQ48" s="763">
        <f t="shared" si="28"/>
        <v>0</v>
      </c>
      <c r="BR48" s="763">
        <f t="shared" si="28"/>
        <v>0</v>
      </c>
      <c r="BS48" s="1112">
        <f t="shared" si="28"/>
        <v>0</v>
      </c>
      <c r="BT48" s="1112">
        <f t="shared" si="28"/>
        <v>0</v>
      </c>
      <c r="BU48" s="1112">
        <f t="shared" si="28"/>
        <v>0</v>
      </c>
      <c r="BV48" s="1112">
        <f t="shared" si="28"/>
        <v>0</v>
      </c>
      <c r="BW48" s="1112">
        <f t="shared" si="28"/>
        <v>0</v>
      </c>
      <c r="BX48" s="1112">
        <f t="shared" si="28"/>
        <v>0</v>
      </c>
      <c r="BY48" s="28">
        <f t="shared" si="28"/>
        <v>0</v>
      </c>
      <c r="BZ48" s="28">
        <f t="shared" si="28"/>
        <v>0</v>
      </c>
      <c r="CA48" s="28">
        <f t="shared" si="28"/>
        <v>0</v>
      </c>
      <c r="CB48" s="28">
        <f t="shared" si="28"/>
        <v>0</v>
      </c>
      <c r="CC48" s="28">
        <f t="shared" si="28"/>
        <v>0</v>
      </c>
      <c r="CD48" s="28">
        <f t="shared" si="28"/>
        <v>0</v>
      </c>
      <c r="CE48" s="28">
        <f t="shared" si="28"/>
        <v>0</v>
      </c>
      <c r="CF48" s="28">
        <f t="shared" si="28"/>
        <v>0</v>
      </c>
      <c r="CG48" s="28">
        <f t="shared" si="28"/>
        <v>0</v>
      </c>
      <c r="CH48" s="28">
        <f t="shared" si="28"/>
        <v>0</v>
      </c>
      <c r="CI48" s="28">
        <f t="shared" si="28"/>
        <v>0</v>
      </c>
      <c r="CJ48" s="28">
        <f t="shared" si="28"/>
        <v>0</v>
      </c>
      <c r="CK48" s="28">
        <f t="shared" si="28"/>
        <v>0</v>
      </c>
      <c r="CL48" s="28">
        <f t="shared" si="28"/>
        <v>0</v>
      </c>
      <c r="CM48" s="28">
        <f t="shared" si="28"/>
        <v>0</v>
      </c>
      <c r="CN48" s="28">
        <f t="shared" si="28"/>
        <v>0</v>
      </c>
      <c r="CO48" s="28">
        <f t="shared" si="28"/>
        <v>0</v>
      </c>
      <c r="CP48" s="28">
        <f t="shared" si="28"/>
        <v>0</v>
      </c>
      <c r="CQ48" s="28">
        <f t="shared" si="28"/>
        <v>0</v>
      </c>
      <c r="CR48" s="28">
        <f t="shared" si="28"/>
        <v>0</v>
      </c>
      <c r="CS48" s="28">
        <f t="shared" si="28"/>
        <v>0</v>
      </c>
      <c r="CT48" s="22"/>
      <c r="CW48" s="902" t="s">
        <v>614</v>
      </c>
    </row>
    <row r="49" spans="5:106" ht="29.25" hidden="1" customHeight="1">
      <c r="E49" s="623">
        <v>30</v>
      </c>
      <c r="F49" s="714">
        <f t="shared" ca="1" si="9"/>
        <v>0</v>
      </c>
      <c r="S49" s="98" t="b">
        <f t="shared" ca="1" si="10"/>
        <v>0</v>
      </c>
      <c r="U49" s="645" t="b">
        <f t="shared" ca="1" si="8"/>
        <v>0</v>
      </c>
      <c r="Y49" s="1382"/>
      <c r="Z49" s="1382"/>
      <c r="AB49" s="1469"/>
      <c r="AD49" s="99">
        <v>14</v>
      </c>
      <c r="AE49" s="1443" t="s">
        <v>615</v>
      </c>
      <c r="AF49" s="1444"/>
      <c r="AG49" s="99" t="s">
        <v>616</v>
      </c>
      <c r="AH49" s="28">
        <f>IFERROR(AH50/AH48*1000,0)</f>
        <v>0</v>
      </c>
      <c r="AI49" s="28">
        <f>IFERROR(AI50/AI48*1000,0)</f>
        <v>0</v>
      </c>
      <c r="AJ49" s="28">
        <f>IFERROR(AJ50/AJ48*1000,0)</f>
        <v>0</v>
      </c>
      <c r="AK49" s="28">
        <f>IFERROR(AK50/AK48*1000,0)</f>
        <v>0</v>
      </c>
      <c r="AL49" s="28"/>
      <c r="AM49" s="28">
        <f>AL49</f>
        <v>0</v>
      </c>
      <c r="AN49" s="28">
        <f>AL49</f>
        <v>0</v>
      </c>
      <c r="AO49" s="1112"/>
      <c r="AP49" s="1112">
        <f>AO49</f>
        <v>0</v>
      </c>
      <c r="AQ49" s="1112">
        <f>AO49</f>
        <v>0</v>
      </c>
      <c r="AR49" s="1112"/>
      <c r="AS49" s="1112">
        <f>AR49</f>
        <v>0</v>
      </c>
      <c r="AT49" s="1112">
        <f>AR49</f>
        <v>0</v>
      </c>
      <c r="AU49" s="28"/>
      <c r="AV49" s="28">
        <f>AU49</f>
        <v>0</v>
      </c>
      <c r="AW49" s="28">
        <f>AU49</f>
        <v>0</v>
      </c>
      <c r="AX49" s="28"/>
      <c r="AY49" s="28">
        <f>AX49</f>
        <v>0</v>
      </c>
      <c r="AZ49" s="28">
        <f>AX49</f>
        <v>0</v>
      </c>
      <c r="BA49" s="28"/>
      <c r="BB49" s="28">
        <f>BA49</f>
        <v>0</v>
      </c>
      <c r="BC49" s="28">
        <f>BA49</f>
        <v>0</v>
      </c>
      <c r="BD49" s="28"/>
      <c r="BE49" s="28">
        <f>BD49</f>
        <v>0</v>
      </c>
      <c r="BF49" s="28">
        <f>BD49</f>
        <v>0</v>
      </c>
      <c r="BG49" s="28"/>
      <c r="BH49" s="28">
        <f>BG49</f>
        <v>0</v>
      </c>
      <c r="BI49" s="28">
        <f>BG49</f>
        <v>0</v>
      </c>
      <c r="BJ49" s="28"/>
      <c r="BK49" s="28">
        <f>BJ49</f>
        <v>0</v>
      </c>
      <c r="BL49" s="28">
        <f>BJ49</f>
        <v>0</v>
      </c>
      <c r="BM49" s="28"/>
      <c r="BN49" s="28">
        <f>BM49</f>
        <v>0</v>
      </c>
      <c r="BO49" s="28">
        <f>BM49</f>
        <v>0</v>
      </c>
      <c r="BP49" s="763"/>
      <c r="BQ49" s="763">
        <f>BP49</f>
        <v>0</v>
      </c>
      <c r="BR49" s="763">
        <f>BP49</f>
        <v>0</v>
      </c>
      <c r="BS49" s="1112"/>
      <c r="BT49" s="1112">
        <f>BS49</f>
        <v>0</v>
      </c>
      <c r="BU49" s="1112">
        <f>BS49</f>
        <v>0</v>
      </c>
      <c r="BV49" s="1112"/>
      <c r="BW49" s="1112">
        <f>BV49</f>
        <v>0</v>
      </c>
      <c r="BX49" s="1112">
        <f>BV49</f>
        <v>0</v>
      </c>
      <c r="BY49" s="28"/>
      <c r="BZ49" s="28">
        <f>BY49</f>
        <v>0</v>
      </c>
      <c r="CA49" s="28">
        <f>BY49</f>
        <v>0</v>
      </c>
      <c r="CB49" s="28"/>
      <c r="CC49" s="28">
        <f>CB49</f>
        <v>0</v>
      </c>
      <c r="CD49" s="28">
        <f>CB49</f>
        <v>0</v>
      </c>
      <c r="CE49" s="28"/>
      <c r="CF49" s="28">
        <f>CE49</f>
        <v>0</v>
      </c>
      <c r="CG49" s="28">
        <f>CE49</f>
        <v>0</v>
      </c>
      <c r="CH49" s="28"/>
      <c r="CI49" s="28">
        <f>CH49</f>
        <v>0</v>
      </c>
      <c r="CJ49" s="28">
        <f>CH49</f>
        <v>0</v>
      </c>
      <c r="CK49" s="28"/>
      <c r="CL49" s="28">
        <f>CK49</f>
        <v>0</v>
      </c>
      <c r="CM49" s="28">
        <f>CK49</f>
        <v>0</v>
      </c>
      <c r="CN49" s="28"/>
      <c r="CO49" s="28">
        <f>CN49</f>
        <v>0</v>
      </c>
      <c r="CP49" s="28">
        <f>CN49</f>
        <v>0</v>
      </c>
      <c r="CQ49" s="28"/>
      <c r="CR49" s="28">
        <f>CQ49</f>
        <v>0</v>
      </c>
      <c r="CS49" s="28">
        <f>CQ49</f>
        <v>0</v>
      </c>
      <c r="CT49" s="22"/>
      <c r="CW49" s="902" t="s">
        <v>617</v>
      </c>
    </row>
    <row r="50" spans="5:106" ht="16.7" hidden="1" customHeight="1">
      <c r="E50" s="623">
        <v>17.100000000000001</v>
      </c>
      <c r="F50" s="714">
        <f t="shared" ca="1" si="9"/>
        <v>0</v>
      </c>
      <c r="S50" s="98" t="b">
        <f t="shared" ca="1" si="10"/>
        <v>0</v>
      </c>
      <c r="U50" s="645" t="b">
        <f t="shared" ca="1" si="8"/>
        <v>0</v>
      </c>
      <c r="Y50" s="1382"/>
      <c r="Z50" s="1382"/>
      <c r="AB50" s="1433" t="s">
        <v>618</v>
      </c>
      <c r="AD50" s="99">
        <v>15</v>
      </c>
      <c r="AE50" s="1443" t="s">
        <v>619</v>
      </c>
      <c r="AF50" s="1444"/>
      <c r="AG50" s="99" t="s">
        <v>612</v>
      </c>
      <c r="AH50" s="28"/>
      <c r="AI50" s="28"/>
      <c r="AJ50" s="28"/>
      <c r="AK50" s="28"/>
      <c r="AL50" s="672">
        <f>AM50+AN50</f>
        <v>0</v>
      </c>
      <c r="AM50" s="28">
        <f>AM49*AM48/1000</f>
        <v>0</v>
      </c>
      <c r="AN50" s="28">
        <f>AN49*AN48/1000</f>
        <v>0</v>
      </c>
      <c r="AO50" s="672">
        <f>AP50+AQ50</f>
        <v>0</v>
      </c>
      <c r="AP50" s="1112">
        <f>AP49*AP48/1000</f>
        <v>0</v>
      </c>
      <c r="AQ50" s="1112">
        <f>AQ49*AQ48/1000</f>
        <v>0</v>
      </c>
      <c r="AR50" s="672">
        <f>AS50+AT50</f>
        <v>0</v>
      </c>
      <c r="AS50" s="1112">
        <f>AS49*AS48/1000</f>
        <v>0</v>
      </c>
      <c r="AT50" s="1112">
        <f>AT49*AT48/1000</f>
        <v>0</v>
      </c>
      <c r="AU50" s="672">
        <f>AV50+AW50</f>
        <v>0</v>
      </c>
      <c r="AV50" s="28">
        <f>AV49*AV48/1000</f>
        <v>0</v>
      </c>
      <c r="AW50" s="28">
        <f>AW49*AW48/1000</f>
        <v>0</v>
      </c>
      <c r="AX50" s="672">
        <f>AY50+AZ50</f>
        <v>0</v>
      </c>
      <c r="AY50" s="28">
        <f>AY49*AY48/1000</f>
        <v>0</v>
      </c>
      <c r="AZ50" s="28">
        <f>AZ49*AZ48/1000</f>
        <v>0</v>
      </c>
      <c r="BA50" s="672">
        <f>BB50+BC50</f>
        <v>0</v>
      </c>
      <c r="BB50" s="28">
        <f>BB49*BB48/1000</f>
        <v>0</v>
      </c>
      <c r="BC50" s="28">
        <f>BC49*BC48/1000</f>
        <v>0</v>
      </c>
      <c r="BD50" s="672">
        <f>BE50+BF50</f>
        <v>0</v>
      </c>
      <c r="BE50" s="28">
        <f>BE49*BE48/1000</f>
        <v>0</v>
      </c>
      <c r="BF50" s="28">
        <f>BF49*BF48/1000</f>
        <v>0</v>
      </c>
      <c r="BG50" s="672">
        <f>BH50+BI50</f>
        <v>0</v>
      </c>
      <c r="BH50" s="28">
        <f>BH49*BH48/1000</f>
        <v>0</v>
      </c>
      <c r="BI50" s="28">
        <f>BI49*BI48/1000</f>
        <v>0</v>
      </c>
      <c r="BJ50" s="672">
        <f>BK50+BL50</f>
        <v>0</v>
      </c>
      <c r="BK50" s="28">
        <f>BK49*BK48/1000</f>
        <v>0</v>
      </c>
      <c r="BL50" s="28">
        <f>BL49*BL48/1000</f>
        <v>0</v>
      </c>
      <c r="BM50" s="672">
        <f>BN50+BO50</f>
        <v>0</v>
      </c>
      <c r="BN50" s="28">
        <f>BN49*BN48/1000</f>
        <v>0</v>
      </c>
      <c r="BO50" s="28">
        <f>BO49*BO48/1000</f>
        <v>0</v>
      </c>
      <c r="BP50" s="672">
        <f>BQ50+BR50</f>
        <v>0</v>
      </c>
      <c r="BQ50" s="763">
        <f>BQ49*BQ48/1000</f>
        <v>0</v>
      </c>
      <c r="BR50" s="763">
        <f>BR49*BR48/1000</f>
        <v>0</v>
      </c>
      <c r="BS50" s="672">
        <f>BT50+BU50</f>
        <v>0</v>
      </c>
      <c r="BT50" s="1112">
        <f>BT49*BT48/1000</f>
        <v>0</v>
      </c>
      <c r="BU50" s="1112">
        <f>BU49*BU48/1000</f>
        <v>0</v>
      </c>
      <c r="BV50" s="672">
        <f>BW50+BX50</f>
        <v>0</v>
      </c>
      <c r="BW50" s="1112">
        <f>BW49*BW48/1000</f>
        <v>0</v>
      </c>
      <c r="BX50" s="1112">
        <f>BX49*BX48/1000</f>
        <v>0</v>
      </c>
      <c r="BY50" s="672">
        <f>BZ50+CA50</f>
        <v>0</v>
      </c>
      <c r="BZ50" s="28">
        <f>BZ49*BZ48/1000</f>
        <v>0</v>
      </c>
      <c r="CA50" s="28">
        <f>CA49*CA48/1000</f>
        <v>0</v>
      </c>
      <c r="CB50" s="672">
        <f>CC50+CD50</f>
        <v>0</v>
      </c>
      <c r="CC50" s="28">
        <f>CC49*CC48/1000</f>
        <v>0</v>
      </c>
      <c r="CD50" s="28">
        <f>CD49*CD48/1000</f>
        <v>0</v>
      </c>
      <c r="CE50" s="672">
        <f>CF50+CG50</f>
        <v>0</v>
      </c>
      <c r="CF50" s="28">
        <f>CF49*CF48/1000</f>
        <v>0</v>
      </c>
      <c r="CG50" s="28">
        <f>CG49*CG48/1000</f>
        <v>0</v>
      </c>
      <c r="CH50" s="672">
        <f>CI50+CJ50</f>
        <v>0</v>
      </c>
      <c r="CI50" s="28">
        <f>CI49*CI48/1000</f>
        <v>0</v>
      </c>
      <c r="CJ50" s="28">
        <f>CJ49*CJ48/1000</f>
        <v>0</v>
      </c>
      <c r="CK50" s="672">
        <f>CL50+CM50</f>
        <v>0</v>
      </c>
      <c r="CL50" s="28">
        <f>CL49*CL48/1000</f>
        <v>0</v>
      </c>
      <c r="CM50" s="28">
        <f>CM49*CM48/1000</f>
        <v>0</v>
      </c>
      <c r="CN50" s="672">
        <f>CO50+CP50</f>
        <v>0</v>
      </c>
      <c r="CO50" s="28">
        <f>CO49*CO48/1000</f>
        <v>0</v>
      </c>
      <c r="CP50" s="28">
        <f>CP49*CP48/1000</f>
        <v>0</v>
      </c>
      <c r="CQ50" s="672">
        <f>CR50+CS50</f>
        <v>0</v>
      </c>
      <c r="CR50" s="28">
        <f>CR49*CR48/1000</f>
        <v>0</v>
      </c>
      <c r="CS50" s="28">
        <f>CS49*CS48/1000</f>
        <v>0</v>
      </c>
      <c r="CT50" s="22"/>
      <c r="CW50" s="902" t="s">
        <v>620</v>
      </c>
    </row>
    <row r="51" spans="5:106" ht="16.7" hidden="1" customHeight="1">
      <c r="E51" s="623">
        <v>17.100000000000001</v>
      </c>
      <c r="F51" s="714">
        <f t="shared" ca="1" si="9"/>
        <v>0</v>
      </c>
      <c r="S51" s="98" t="b">
        <f t="shared" ca="1" si="10"/>
        <v>0</v>
      </c>
      <c r="U51" s="645" t="b">
        <f t="shared" ca="1" si="8"/>
        <v>0</v>
      </c>
      <c r="Y51" s="1382"/>
      <c r="Z51" s="1382"/>
      <c r="AB51" s="1434"/>
      <c r="AD51" s="99">
        <v>16</v>
      </c>
      <c r="AE51" s="1443" t="s">
        <v>621</v>
      </c>
      <c r="AF51" s="1444"/>
      <c r="AG51" s="99" t="s">
        <v>612</v>
      </c>
      <c r="AH51" s="672">
        <f>AH50+AH47</f>
        <v>0</v>
      </c>
      <c r="AI51" s="672">
        <f>AI50+AI47</f>
        <v>0</v>
      </c>
      <c r="AJ51" s="672">
        <f>AJ50+AJ47</f>
        <v>0</v>
      </c>
      <c r="AK51" s="672">
        <f>AK50+AK47</f>
        <v>0</v>
      </c>
      <c r="AL51" s="672">
        <f>AM51+AN51</f>
        <v>0</v>
      </c>
      <c r="AM51" s="672">
        <f>AM50+AM47</f>
        <v>0</v>
      </c>
      <c r="AN51" s="672">
        <f>AN50+AN47</f>
        <v>0</v>
      </c>
      <c r="AO51" s="672">
        <f>AP51+AQ51</f>
        <v>0</v>
      </c>
      <c r="AP51" s="672">
        <f>AP50+AP47</f>
        <v>0</v>
      </c>
      <c r="AQ51" s="672">
        <f>AQ50+AQ47</f>
        <v>0</v>
      </c>
      <c r="AR51" s="672">
        <f>AS51+AT51</f>
        <v>0</v>
      </c>
      <c r="AS51" s="672">
        <f>AS50+AS47</f>
        <v>0</v>
      </c>
      <c r="AT51" s="672">
        <f>AT50+AT47</f>
        <v>0</v>
      </c>
      <c r="AU51" s="672">
        <f>AV51+AW51</f>
        <v>0</v>
      </c>
      <c r="AV51" s="672">
        <f>AV50+AV47</f>
        <v>0</v>
      </c>
      <c r="AW51" s="672">
        <f>AW50+AW47</f>
        <v>0</v>
      </c>
      <c r="AX51" s="672">
        <f>AY51+AZ51</f>
        <v>0</v>
      </c>
      <c r="AY51" s="672">
        <f>AY50+AY47</f>
        <v>0</v>
      </c>
      <c r="AZ51" s="672">
        <f>AZ50+AZ47</f>
        <v>0</v>
      </c>
      <c r="BA51" s="672">
        <f>BB51+BC51</f>
        <v>0</v>
      </c>
      <c r="BB51" s="672">
        <f>BB50+BB47</f>
        <v>0</v>
      </c>
      <c r="BC51" s="672">
        <f>BC50+BC47</f>
        <v>0</v>
      </c>
      <c r="BD51" s="672">
        <f>BE51+BF51</f>
        <v>0</v>
      </c>
      <c r="BE51" s="672">
        <f>BE50+BE47</f>
        <v>0</v>
      </c>
      <c r="BF51" s="672">
        <f>BF50+BF47</f>
        <v>0</v>
      </c>
      <c r="BG51" s="672">
        <f>BH51+BI51</f>
        <v>0</v>
      </c>
      <c r="BH51" s="672">
        <f>BH50+BH47</f>
        <v>0</v>
      </c>
      <c r="BI51" s="672">
        <f>BI50+BI47</f>
        <v>0</v>
      </c>
      <c r="BJ51" s="672">
        <f>BK51+BL51</f>
        <v>0</v>
      </c>
      <c r="BK51" s="672">
        <f>BK50+BK47</f>
        <v>0</v>
      </c>
      <c r="BL51" s="672">
        <f>BL50+BL47</f>
        <v>0</v>
      </c>
      <c r="BM51" s="672">
        <f>BN51+BO51</f>
        <v>0</v>
      </c>
      <c r="BN51" s="672">
        <f>BN50+BN47</f>
        <v>0</v>
      </c>
      <c r="BO51" s="672">
        <f>BO50+BO47</f>
        <v>0</v>
      </c>
      <c r="BP51" s="672">
        <f>BQ51+BR51</f>
        <v>0</v>
      </c>
      <c r="BQ51" s="672">
        <f>BQ50+BQ47</f>
        <v>0</v>
      </c>
      <c r="BR51" s="672">
        <f>BR50+BR47</f>
        <v>0</v>
      </c>
      <c r="BS51" s="672">
        <f>BT51+BU51</f>
        <v>0</v>
      </c>
      <c r="BT51" s="672">
        <f>BT50+BT47</f>
        <v>0</v>
      </c>
      <c r="BU51" s="672">
        <f>BU50+BU47</f>
        <v>0</v>
      </c>
      <c r="BV51" s="672">
        <f>BW51+BX51</f>
        <v>0</v>
      </c>
      <c r="BW51" s="672">
        <f>BW50+BW47</f>
        <v>0</v>
      </c>
      <c r="BX51" s="672">
        <f>BX50+BX47</f>
        <v>0</v>
      </c>
      <c r="BY51" s="672">
        <f>BZ51+CA51</f>
        <v>0</v>
      </c>
      <c r="BZ51" s="672">
        <f>BZ50+BZ47</f>
        <v>0</v>
      </c>
      <c r="CA51" s="672">
        <f>CA50+CA47</f>
        <v>0</v>
      </c>
      <c r="CB51" s="672">
        <f>CC51+CD51</f>
        <v>0</v>
      </c>
      <c r="CC51" s="672">
        <f>CC50+CC47</f>
        <v>0</v>
      </c>
      <c r="CD51" s="672">
        <f>CD50+CD47</f>
        <v>0</v>
      </c>
      <c r="CE51" s="672">
        <f>CF51+CG51</f>
        <v>0</v>
      </c>
      <c r="CF51" s="672">
        <f>CF50+CF47</f>
        <v>0</v>
      </c>
      <c r="CG51" s="672">
        <f>CG50+CG47</f>
        <v>0</v>
      </c>
      <c r="CH51" s="672">
        <f>CI51+CJ51</f>
        <v>0</v>
      </c>
      <c r="CI51" s="672">
        <f>CI50+CI47</f>
        <v>0</v>
      </c>
      <c r="CJ51" s="672">
        <f>CJ50+CJ47</f>
        <v>0</v>
      </c>
      <c r="CK51" s="672">
        <f>CL51+CM51</f>
        <v>0</v>
      </c>
      <c r="CL51" s="672">
        <f>CL50+CL47</f>
        <v>0</v>
      </c>
      <c r="CM51" s="672">
        <f>CM50+CM47</f>
        <v>0</v>
      </c>
      <c r="CN51" s="672">
        <f>CO51+CP51</f>
        <v>0</v>
      </c>
      <c r="CO51" s="672">
        <f>CO50+CO47</f>
        <v>0</v>
      </c>
      <c r="CP51" s="672">
        <f>CP50+CP47</f>
        <v>0</v>
      </c>
      <c r="CQ51" s="672">
        <f>CR51+CS51</f>
        <v>0</v>
      </c>
      <c r="CR51" s="672">
        <f>CR50+CR47</f>
        <v>0</v>
      </c>
      <c r="CS51" s="672">
        <f>CS50+CS47</f>
        <v>0</v>
      </c>
      <c r="CT51" s="22"/>
      <c r="CW51" s="902" t="s">
        <v>622</v>
      </c>
    </row>
    <row r="52" spans="5:106" ht="16.7" hidden="1" customHeight="1">
      <c r="E52" s="623">
        <v>17.100000000000001</v>
      </c>
      <c r="F52" s="714">
        <f t="shared" ca="1" si="9"/>
        <v>0</v>
      </c>
      <c r="R52" s="714" t="s">
        <v>569</v>
      </c>
      <c r="S52" s="98" t="b">
        <f t="shared" ca="1" si="10"/>
        <v>0</v>
      </c>
      <c r="U52" s="645" t="b">
        <f t="shared" ca="1" si="8"/>
        <v>0</v>
      </c>
      <c r="Y52" s="1382"/>
      <c r="Z52" s="1382"/>
      <c r="AB52" s="1434"/>
      <c r="AD52" s="99">
        <v>17</v>
      </c>
      <c r="AE52" s="1443" t="s">
        <v>623</v>
      </c>
      <c r="AF52" s="1444"/>
      <c r="AG52" s="99" t="s">
        <v>388</v>
      </c>
      <c r="AH52" s="678">
        <f t="shared" ref="AH52:BM52" si="29">IFERROR(AH50/AH51,0)</f>
        <v>0</v>
      </c>
      <c r="AI52" s="679">
        <f t="shared" si="29"/>
        <v>0</v>
      </c>
      <c r="AJ52" s="679">
        <f t="shared" si="29"/>
        <v>0</v>
      </c>
      <c r="AK52" s="679">
        <f t="shared" si="29"/>
        <v>0</v>
      </c>
      <c r="AL52" s="679">
        <f t="shared" si="29"/>
        <v>0</v>
      </c>
      <c r="AM52" s="679">
        <f t="shared" si="29"/>
        <v>0</v>
      </c>
      <c r="AN52" s="679">
        <f t="shared" si="29"/>
        <v>0</v>
      </c>
      <c r="AO52" s="679">
        <f t="shared" si="29"/>
        <v>0</v>
      </c>
      <c r="AP52" s="679">
        <f t="shared" si="29"/>
        <v>0</v>
      </c>
      <c r="AQ52" s="679">
        <f t="shared" si="29"/>
        <v>0</v>
      </c>
      <c r="AR52" s="679">
        <f t="shared" si="29"/>
        <v>0</v>
      </c>
      <c r="AS52" s="679">
        <f t="shared" si="29"/>
        <v>0</v>
      </c>
      <c r="AT52" s="679">
        <f t="shared" si="29"/>
        <v>0</v>
      </c>
      <c r="AU52" s="679">
        <f t="shared" si="29"/>
        <v>0</v>
      </c>
      <c r="AV52" s="679">
        <f t="shared" si="29"/>
        <v>0</v>
      </c>
      <c r="AW52" s="679">
        <f t="shared" si="29"/>
        <v>0</v>
      </c>
      <c r="AX52" s="679">
        <f t="shared" si="29"/>
        <v>0</v>
      </c>
      <c r="AY52" s="679">
        <f t="shared" si="29"/>
        <v>0</v>
      </c>
      <c r="AZ52" s="679">
        <f t="shared" si="29"/>
        <v>0</v>
      </c>
      <c r="BA52" s="679">
        <f t="shared" si="29"/>
        <v>0</v>
      </c>
      <c r="BB52" s="679">
        <f t="shared" si="29"/>
        <v>0</v>
      </c>
      <c r="BC52" s="679">
        <f t="shared" si="29"/>
        <v>0</v>
      </c>
      <c r="BD52" s="679">
        <f t="shared" si="29"/>
        <v>0</v>
      </c>
      <c r="BE52" s="679">
        <f t="shared" si="29"/>
        <v>0</v>
      </c>
      <c r="BF52" s="679">
        <f t="shared" si="29"/>
        <v>0</v>
      </c>
      <c r="BG52" s="679">
        <f t="shared" si="29"/>
        <v>0</v>
      </c>
      <c r="BH52" s="679">
        <f t="shared" si="29"/>
        <v>0</v>
      </c>
      <c r="BI52" s="679">
        <f t="shared" si="29"/>
        <v>0</v>
      </c>
      <c r="BJ52" s="679">
        <f t="shared" si="29"/>
        <v>0</v>
      </c>
      <c r="BK52" s="679">
        <f t="shared" si="29"/>
        <v>0</v>
      </c>
      <c r="BL52" s="679">
        <f t="shared" si="29"/>
        <v>0</v>
      </c>
      <c r="BM52" s="679">
        <f t="shared" si="29"/>
        <v>0</v>
      </c>
      <c r="BN52" s="679">
        <f t="shared" ref="BN52:CS52" si="30">IFERROR(BN50/BN51,0)</f>
        <v>0</v>
      </c>
      <c r="BO52" s="679">
        <f t="shared" si="30"/>
        <v>0</v>
      </c>
      <c r="BP52" s="679">
        <f t="shared" si="30"/>
        <v>0</v>
      </c>
      <c r="BQ52" s="679">
        <f t="shared" si="30"/>
        <v>0</v>
      </c>
      <c r="BR52" s="679">
        <f t="shared" si="30"/>
        <v>0</v>
      </c>
      <c r="BS52" s="679">
        <f t="shared" si="30"/>
        <v>0</v>
      </c>
      <c r="BT52" s="679">
        <f t="shared" si="30"/>
        <v>0</v>
      </c>
      <c r="BU52" s="679">
        <f t="shared" si="30"/>
        <v>0</v>
      </c>
      <c r="BV52" s="679">
        <f t="shared" si="30"/>
        <v>0</v>
      </c>
      <c r="BW52" s="679">
        <f t="shared" si="30"/>
        <v>0</v>
      </c>
      <c r="BX52" s="679">
        <f t="shared" si="30"/>
        <v>0</v>
      </c>
      <c r="BY52" s="679">
        <f t="shared" si="30"/>
        <v>0</v>
      </c>
      <c r="BZ52" s="679">
        <f t="shared" si="30"/>
        <v>0</v>
      </c>
      <c r="CA52" s="679">
        <f t="shared" si="30"/>
        <v>0</v>
      </c>
      <c r="CB52" s="679">
        <f t="shared" si="30"/>
        <v>0</v>
      </c>
      <c r="CC52" s="679">
        <f t="shared" si="30"/>
        <v>0</v>
      </c>
      <c r="CD52" s="679">
        <f t="shared" si="30"/>
        <v>0</v>
      </c>
      <c r="CE52" s="679">
        <f t="shared" si="30"/>
        <v>0</v>
      </c>
      <c r="CF52" s="679">
        <f t="shared" si="30"/>
        <v>0</v>
      </c>
      <c r="CG52" s="679">
        <f t="shared" si="30"/>
        <v>0</v>
      </c>
      <c r="CH52" s="679">
        <f t="shared" si="30"/>
        <v>0</v>
      </c>
      <c r="CI52" s="679">
        <f t="shared" si="30"/>
        <v>0</v>
      </c>
      <c r="CJ52" s="679">
        <f t="shared" si="30"/>
        <v>0</v>
      </c>
      <c r="CK52" s="679">
        <f t="shared" si="30"/>
        <v>0</v>
      </c>
      <c r="CL52" s="679">
        <f t="shared" si="30"/>
        <v>0</v>
      </c>
      <c r="CM52" s="679">
        <f t="shared" si="30"/>
        <v>0</v>
      </c>
      <c r="CN52" s="679">
        <f t="shared" si="30"/>
        <v>0</v>
      </c>
      <c r="CO52" s="679">
        <f t="shared" si="30"/>
        <v>0</v>
      </c>
      <c r="CP52" s="679">
        <f t="shared" si="30"/>
        <v>0</v>
      </c>
      <c r="CQ52" s="679">
        <f t="shared" si="30"/>
        <v>0</v>
      </c>
      <c r="CR52" s="679">
        <f t="shared" si="30"/>
        <v>0</v>
      </c>
      <c r="CS52" s="679">
        <f t="shared" si="30"/>
        <v>0</v>
      </c>
      <c r="CT52" s="22"/>
      <c r="CW52" s="902" t="s">
        <v>624</v>
      </c>
    </row>
    <row r="53" spans="5:106" ht="16.7" hidden="1" customHeight="1">
      <c r="E53" s="623">
        <v>17.100000000000001</v>
      </c>
      <c r="F53" s="714">
        <f t="shared" ca="1" si="9"/>
        <v>0</v>
      </c>
      <c r="S53" s="98" t="b">
        <f t="shared" ca="1" si="10"/>
        <v>0</v>
      </c>
      <c r="U53" s="645" t="b">
        <f t="shared" ca="1" si="8"/>
        <v>0</v>
      </c>
      <c r="Y53" s="1382"/>
      <c r="Z53" s="1382"/>
      <c r="AB53" s="1434"/>
      <c r="AD53" s="99">
        <v>18</v>
      </c>
      <c r="AE53" s="1443" t="s">
        <v>625</v>
      </c>
      <c r="AF53" s="1444"/>
      <c r="AG53" s="99" t="s">
        <v>612</v>
      </c>
      <c r="AH53" s="672">
        <f t="shared" ref="AH53:BM53" si="31">SUM(AH55:AH56)</f>
        <v>0</v>
      </c>
      <c r="AI53" s="672">
        <f t="shared" si="31"/>
        <v>0</v>
      </c>
      <c r="AJ53" s="672">
        <f t="shared" si="31"/>
        <v>0</v>
      </c>
      <c r="AK53" s="672">
        <f t="shared" si="31"/>
        <v>0</v>
      </c>
      <c r="AL53" s="672">
        <f t="shared" si="31"/>
        <v>0</v>
      </c>
      <c r="AM53" s="672">
        <f t="shared" si="31"/>
        <v>0</v>
      </c>
      <c r="AN53" s="672">
        <f t="shared" si="31"/>
        <v>0</v>
      </c>
      <c r="AO53" s="672">
        <f t="shared" si="31"/>
        <v>0</v>
      </c>
      <c r="AP53" s="672">
        <f t="shared" si="31"/>
        <v>0</v>
      </c>
      <c r="AQ53" s="672">
        <f t="shared" si="31"/>
        <v>0</v>
      </c>
      <c r="AR53" s="672">
        <f t="shared" si="31"/>
        <v>0</v>
      </c>
      <c r="AS53" s="672">
        <f t="shared" si="31"/>
        <v>0</v>
      </c>
      <c r="AT53" s="672">
        <f t="shared" si="31"/>
        <v>0</v>
      </c>
      <c r="AU53" s="672">
        <f t="shared" si="31"/>
        <v>0</v>
      </c>
      <c r="AV53" s="672">
        <f t="shared" si="31"/>
        <v>0</v>
      </c>
      <c r="AW53" s="672">
        <f t="shared" si="31"/>
        <v>0</v>
      </c>
      <c r="AX53" s="672">
        <f t="shared" si="31"/>
        <v>0</v>
      </c>
      <c r="AY53" s="672">
        <f t="shared" si="31"/>
        <v>0</v>
      </c>
      <c r="AZ53" s="672">
        <f t="shared" si="31"/>
        <v>0</v>
      </c>
      <c r="BA53" s="672">
        <f t="shared" si="31"/>
        <v>0</v>
      </c>
      <c r="BB53" s="672">
        <f t="shared" si="31"/>
        <v>0</v>
      </c>
      <c r="BC53" s="672">
        <f t="shared" si="31"/>
        <v>0</v>
      </c>
      <c r="BD53" s="672">
        <f t="shared" si="31"/>
        <v>0</v>
      </c>
      <c r="BE53" s="672">
        <f t="shared" si="31"/>
        <v>0</v>
      </c>
      <c r="BF53" s="672">
        <f t="shared" si="31"/>
        <v>0</v>
      </c>
      <c r="BG53" s="672">
        <f t="shared" si="31"/>
        <v>0</v>
      </c>
      <c r="BH53" s="672">
        <f t="shared" si="31"/>
        <v>0</v>
      </c>
      <c r="BI53" s="672">
        <f t="shared" si="31"/>
        <v>0</v>
      </c>
      <c r="BJ53" s="672">
        <f t="shared" si="31"/>
        <v>0</v>
      </c>
      <c r="BK53" s="672">
        <f t="shared" si="31"/>
        <v>0</v>
      </c>
      <c r="BL53" s="672">
        <f t="shared" si="31"/>
        <v>0</v>
      </c>
      <c r="BM53" s="672">
        <f t="shared" si="31"/>
        <v>0</v>
      </c>
      <c r="BN53" s="672">
        <f t="shared" ref="BN53:CS53" si="32">SUM(BN55:BN56)</f>
        <v>0</v>
      </c>
      <c r="BO53" s="672">
        <f t="shared" si="32"/>
        <v>0</v>
      </c>
      <c r="BP53" s="672">
        <f t="shared" si="32"/>
        <v>0</v>
      </c>
      <c r="BQ53" s="672">
        <f t="shared" si="32"/>
        <v>0</v>
      </c>
      <c r="BR53" s="672">
        <f t="shared" si="32"/>
        <v>0</v>
      </c>
      <c r="BS53" s="672">
        <f t="shared" si="32"/>
        <v>0</v>
      </c>
      <c r="BT53" s="672">
        <f t="shared" si="32"/>
        <v>0</v>
      </c>
      <c r="BU53" s="672">
        <f t="shared" si="32"/>
        <v>0</v>
      </c>
      <c r="BV53" s="672">
        <f t="shared" si="32"/>
        <v>0</v>
      </c>
      <c r="BW53" s="672">
        <f t="shared" si="32"/>
        <v>0</v>
      </c>
      <c r="BX53" s="672">
        <f t="shared" si="32"/>
        <v>0</v>
      </c>
      <c r="BY53" s="672">
        <f t="shared" si="32"/>
        <v>0</v>
      </c>
      <c r="BZ53" s="672">
        <f t="shared" si="32"/>
        <v>0</v>
      </c>
      <c r="CA53" s="672">
        <f t="shared" si="32"/>
        <v>0</v>
      </c>
      <c r="CB53" s="672">
        <f t="shared" si="32"/>
        <v>0</v>
      </c>
      <c r="CC53" s="672">
        <f t="shared" si="32"/>
        <v>0</v>
      </c>
      <c r="CD53" s="672">
        <f t="shared" si="32"/>
        <v>0</v>
      </c>
      <c r="CE53" s="672">
        <f t="shared" si="32"/>
        <v>0</v>
      </c>
      <c r="CF53" s="672">
        <f t="shared" si="32"/>
        <v>0</v>
      </c>
      <c r="CG53" s="672">
        <f t="shared" si="32"/>
        <v>0</v>
      </c>
      <c r="CH53" s="672">
        <f t="shared" si="32"/>
        <v>0</v>
      </c>
      <c r="CI53" s="672">
        <f t="shared" si="32"/>
        <v>0</v>
      </c>
      <c r="CJ53" s="672">
        <f t="shared" si="32"/>
        <v>0</v>
      </c>
      <c r="CK53" s="672">
        <f t="shared" si="32"/>
        <v>0</v>
      </c>
      <c r="CL53" s="672">
        <f t="shared" si="32"/>
        <v>0</v>
      </c>
      <c r="CM53" s="672">
        <f t="shared" si="32"/>
        <v>0</v>
      </c>
      <c r="CN53" s="672">
        <f t="shared" si="32"/>
        <v>0</v>
      </c>
      <c r="CO53" s="672">
        <f t="shared" si="32"/>
        <v>0</v>
      </c>
      <c r="CP53" s="672">
        <f t="shared" si="32"/>
        <v>0</v>
      </c>
      <c r="CQ53" s="672">
        <f t="shared" si="32"/>
        <v>0</v>
      </c>
      <c r="CR53" s="672">
        <f t="shared" si="32"/>
        <v>0</v>
      </c>
      <c r="CS53" s="672">
        <f t="shared" si="32"/>
        <v>0</v>
      </c>
      <c r="CT53" s="22"/>
      <c r="CW53" s="902" t="s">
        <v>626</v>
      </c>
    </row>
    <row r="54" spans="5:106" ht="16.7" hidden="1" customHeight="1">
      <c r="E54" s="623">
        <v>17.100000000000001</v>
      </c>
      <c r="F54" s="714">
        <f t="shared" ca="1" si="9"/>
        <v>0</v>
      </c>
      <c r="R54" s="714" t="s">
        <v>569</v>
      </c>
      <c r="S54" s="98" t="b">
        <f t="shared" ca="1" si="10"/>
        <v>0</v>
      </c>
      <c r="U54" s="645" t="b">
        <f t="shared" ca="1" si="8"/>
        <v>0</v>
      </c>
      <c r="Y54" s="1382"/>
      <c r="Z54" s="1382"/>
      <c r="AB54" s="1434"/>
      <c r="AD54" s="99" t="s">
        <v>627</v>
      </c>
      <c r="AE54" s="1443" t="s">
        <v>580</v>
      </c>
      <c r="AF54" s="1444"/>
      <c r="AG54" s="99" t="s">
        <v>612</v>
      </c>
      <c r="AH54" s="28">
        <f>AH$52*AH53</f>
        <v>0</v>
      </c>
      <c r="AI54" s="29">
        <f>AI$52*AI53</f>
        <v>0</v>
      </c>
      <c r="AJ54" s="29">
        <f>AJ$52*AJ53</f>
        <v>0</v>
      </c>
      <c r="AK54" s="29">
        <f>AK$52*AK53</f>
        <v>0</v>
      </c>
      <c r="AL54" s="672">
        <f>AM54+AN54</f>
        <v>0</v>
      </c>
      <c r="AM54" s="29">
        <f>AM$52*AM53</f>
        <v>0</v>
      </c>
      <c r="AN54" s="29">
        <f>AN$52*AN53</f>
        <v>0</v>
      </c>
      <c r="AO54" s="672">
        <f>AP54+AQ54</f>
        <v>0</v>
      </c>
      <c r="AP54" s="1111">
        <f>AP$52*AP53</f>
        <v>0</v>
      </c>
      <c r="AQ54" s="1111">
        <f>AQ$52*AQ53</f>
        <v>0</v>
      </c>
      <c r="AR54" s="672">
        <f>AS54+AT54</f>
        <v>0</v>
      </c>
      <c r="AS54" s="1111">
        <f>AS$52*AS53</f>
        <v>0</v>
      </c>
      <c r="AT54" s="1111">
        <f>AT$52*AT53</f>
        <v>0</v>
      </c>
      <c r="AU54" s="672">
        <f>AV54+AW54</f>
        <v>0</v>
      </c>
      <c r="AV54" s="29">
        <f>AV$52*AV53</f>
        <v>0</v>
      </c>
      <c r="AW54" s="29">
        <f>AW$52*AW53</f>
        <v>0</v>
      </c>
      <c r="AX54" s="672">
        <f>AY54+AZ54</f>
        <v>0</v>
      </c>
      <c r="AY54" s="29">
        <f>AY$52*AY53</f>
        <v>0</v>
      </c>
      <c r="AZ54" s="29">
        <f>AZ$52*AZ53</f>
        <v>0</v>
      </c>
      <c r="BA54" s="672">
        <f>BB54+BC54</f>
        <v>0</v>
      </c>
      <c r="BB54" s="29">
        <f>BB$52*BB53</f>
        <v>0</v>
      </c>
      <c r="BC54" s="29">
        <f>BC$52*BC53</f>
        <v>0</v>
      </c>
      <c r="BD54" s="672">
        <f>BE54+BF54</f>
        <v>0</v>
      </c>
      <c r="BE54" s="29">
        <f>BE$52*BE53</f>
        <v>0</v>
      </c>
      <c r="BF54" s="29">
        <f>BF$52*BF53</f>
        <v>0</v>
      </c>
      <c r="BG54" s="672">
        <f>BH54+BI54</f>
        <v>0</v>
      </c>
      <c r="BH54" s="29">
        <f>BH$52*BH53</f>
        <v>0</v>
      </c>
      <c r="BI54" s="29">
        <f>BI$52*BI53</f>
        <v>0</v>
      </c>
      <c r="BJ54" s="672">
        <f>BK54+BL54</f>
        <v>0</v>
      </c>
      <c r="BK54" s="29">
        <f>BK$52*BK53</f>
        <v>0</v>
      </c>
      <c r="BL54" s="29">
        <f>BL$52*BL53</f>
        <v>0</v>
      </c>
      <c r="BM54" s="672">
        <f>BN54+BO54</f>
        <v>0</v>
      </c>
      <c r="BN54" s="29">
        <f>BN$52*BN53</f>
        <v>0</v>
      </c>
      <c r="BO54" s="29">
        <f>BO$52*BO53</f>
        <v>0</v>
      </c>
      <c r="BP54" s="672">
        <f>BQ54+BR54</f>
        <v>0</v>
      </c>
      <c r="BQ54" s="762">
        <f>BQ$52*BQ53</f>
        <v>0</v>
      </c>
      <c r="BR54" s="762">
        <f>BR$52*BR53</f>
        <v>0</v>
      </c>
      <c r="BS54" s="672">
        <f>BT54+BU54</f>
        <v>0</v>
      </c>
      <c r="BT54" s="1111">
        <f>BT$52*BT53</f>
        <v>0</v>
      </c>
      <c r="BU54" s="1111">
        <f>BU$52*BU53</f>
        <v>0</v>
      </c>
      <c r="BV54" s="672">
        <f>BW54+BX54</f>
        <v>0</v>
      </c>
      <c r="BW54" s="1111">
        <f>BW$52*BW53</f>
        <v>0</v>
      </c>
      <c r="BX54" s="1111">
        <f>BX$52*BX53</f>
        <v>0</v>
      </c>
      <c r="BY54" s="672">
        <f>BZ54+CA54</f>
        <v>0</v>
      </c>
      <c r="BZ54" s="29">
        <f>BZ$52*BZ53</f>
        <v>0</v>
      </c>
      <c r="CA54" s="29">
        <f>CA$52*CA53</f>
        <v>0</v>
      </c>
      <c r="CB54" s="672">
        <f>CC54+CD54</f>
        <v>0</v>
      </c>
      <c r="CC54" s="29">
        <f>CC$52*CC53</f>
        <v>0</v>
      </c>
      <c r="CD54" s="29">
        <f>CD$52*CD53</f>
        <v>0</v>
      </c>
      <c r="CE54" s="672">
        <f>CF54+CG54</f>
        <v>0</v>
      </c>
      <c r="CF54" s="29">
        <f>CF$52*CF53</f>
        <v>0</v>
      </c>
      <c r="CG54" s="29">
        <f>CG$52*CG53</f>
        <v>0</v>
      </c>
      <c r="CH54" s="672">
        <f>CI54+CJ54</f>
        <v>0</v>
      </c>
      <c r="CI54" s="29">
        <f>CI$52*CI53</f>
        <v>0</v>
      </c>
      <c r="CJ54" s="29">
        <f>CJ$52*CJ53</f>
        <v>0</v>
      </c>
      <c r="CK54" s="672">
        <f>CL54+CM54</f>
        <v>0</v>
      </c>
      <c r="CL54" s="29">
        <f>CL$52*CL53</f>
        <v>0</v>
      </c>
      <c r="CM54" s="29">
        <f>CM$52*CM53</f>
        <v>0</v>
      </c>
      <c r="CN54" s="672">
        <f>CO54+CP54</f>
        <v>0</v>
      </c>
      <c r="CO54" s="29">
        <f>CO$52*CO53</f>
        <v>0</v>
      </c>
      <c r="CP54" s="29">
        <f>CP$52*CP53</f>
        <v>0</v>
      </c>
      <c r="CQ54" s="672">
        <f>CR54+CS54</f>
        <v>0</v>
      </c>
      <c r="CR54" s="29">
        <f>CR$52*CR53</f>
        <v>0</v>
      </c>
      <c r="CS54" s="29">
        <f>CS$52*CS53</f>
        <v>0</v>
      </c>
      <c r="CT54" s="22"/>
      <c r="CW54" s="902" t="s">
        <v>628</v>
      </c>
    </row>
    <row r="55" spans="5:106" ht="16.7" hidden="1" customHeight="1">
      <c r="E55" s="623">
        <v>17.100000000000001</v>
      </c>
      <c r="F55" s="714">
        <f t="shared" ca="1" si="9"/>
        <v>0</v>
      </c>
      <c r="S55" s="98" t="b">
        <f t="shared" ca="1" si="10"/>
        <v>0</v>
      </c>
      <c r="T55" s="98" t="b">
        <f>AD55&lt;&gt;"18.0"</f>
        <v>0</v>
      </c>
      <c r="U55" s="645" t="b">
        <f t="shared" ca="1" si="8"/>
        <v>0</v>
      </c>
      <c r="X55" s="98" t="s">
        <v>170</v>
      </c>
      <c r="Y55" s="1382"/>
      <c r="Z55" s="1382"/>
      <c r="AB55" s="1434"/>
      <c r="AC55" s="709" t="s">
        <v>157</v>
      </c>
      <c r="AD55" s="99" t="s">
        <v>627</v>
      </c>
      <c r="AE55" s="30"/>
      <c r="AF55" s="31"/>
      <c r="AG55" s="99" t="s">
        <v>612</v>
      </c>
      <c r="AH55" s="28">
        <f>AH$51*AH58</f>
        <v>0</v>
      </c>
      <c r="AI55" s="28">
        <f>AI64*AI61</f>
        <v>0</v>
      </c>
      <c r="AJ55" s="28">
        <f>AJ64*AJ61</f>
        <v>0</v>
      </c>
      <c r="AK55" s="28">
        <f>AK$51*AK58</f>
        <v>0</v>
      </c>
      <c r="AL55" s="672">
        <f>AM55+AN55</f>
        <v>0</v>
      </c>
      <c r="AM55" s="28">
        <f>AM$51*AM58</f>
        <v>0</v>
      </c>
      <c r="AN55" s="28">
        <f>AN$51*AN58</f>
        <v>0</v>
      </c>
      <c r="AO55" s="672">
        <f>AP55+AQ55</f>
        <v>0</v>
      </c>
      <c r="AP55" s="1112">
        <f>AP$51*AP58</f>
        <v>0</v>
      </c>
      <c r="AQ55" s="1112">
        <f>AQ$51*AQ58</f>
        <v>0</v>
      </c>
      <c r="AR55" s="672">
        <f>AS55+AT55</f>
        <v>0</v>
      </c>
      <c r="AS55" s="1112">
        <f>AS$51*AS58</f>
        <v>0</v>
      </c>
      <c r="AT55" s="1112">
        <f>AT$51*AT58</f>
        <v>0</v>
      </c>
      <c r="AU55" s="672">
        <f>AV55+AW55</f>
        <v>0</v>
      </c>
      <c r="AV55" s="28">
        <f>AV$51*AV58</f>
        <v>0</v>
      </c>
      <c r="AW55" s="28">
        <f>AW$51*AW58</f>
        <v>0</v>
      </c>
      <c r="AX55" s="672">
        <f>AY55+AZ55</f>
        <v>0</v>
      </c>
      <c r="AY55" s="28">
        <f>AY$51*AY58</f>
        <v>0</v>
      </c>
      <c r="AZ55" s="28">
        <f>AZ$51*AZ58</f>
        <v>0</v>
      </c>
      <c r="BA55" s="672">
        <f>BB55+BC55</f>
        <v>0</v>
      </c>
      <c r="BB55" s="28">
        <f>BB$51*BB58</f>
        <v>0</v>
      </c>
      <c r="BC55" s="28">
        <f>BC$51*BC58</f>
        <v>0</v>
      </c>
      <c r="BD55" s="672">
        <f>BE55+BF55</f>
        <v>0</v>
      </c>
      <c r="BE55" s="28">
        <f>BE$51*BE58</f>
        <v>0</v>
      </c>
      <c r="BF55" s="28">
        <f>BF$51*BF58</f>
        <v>0</v>
      </c>
      <c r="BG55" s="672">
        <f>BH55+BI55</f>
        <v>0</v>
      </c>
      <c r="BH55" s="28">
        <f>BH$51*BH58</f>
        <v>0</v>
      </c>
      <c r="BI55" s="28">
        <f>BI$51*BI58</f>
        <v>0</v>
      </c>
      <c r="BJ55" s="672">
        <f>BK55+BL55</f>
        <v>0</v>
      </c>
      <c r="BK55" s="28">
        <f>BK$51*BK58</f>
        <v>0</v>
      </c>
      <c r="BL55" s="28">
        <f>BL$51*BL58</f>
        <v>0</v>
      </c>
      <c r="BM55" s="672">
        <f>BN55+BO55</f>
        <v>0</v>
      </c>
      <c r="BN55" s="28">
        <f>BN$51*BN58</f>
        <v>0</v>
      </c>
      <c r="BO55" s="28">
        <f>BO$51*BO58</f>
        <v>0</v>
      </c>
      <c r="BP55" s="672">
        <f>BQ55+BR55</f>
        <v>0</v>
      </c>
      <c r="BQ55" s="763">
        <f>BQ$51*BQ58</f>
        <v>0</v>
      </c>
      <c r="BR55" s="763">
        <f>BR$51*BR58</f>
        <v>0</v>
      </c>
      <c r="BS55" s="672">
        <f>BT55+BU55</f>
        <v>0</v>
      </c>
      <c r="BT55" s="1112">
        <f>BT$51*BT58</f>
        <v>0</v>
      </c>
      <c r="BU55" s="1112">
        <f>BU$51*BU58</f>
        <v>0</v>
      </c>
      <c r="BV55" s="672">
        <f>BW55+BX55</f>
        <v>0</v>
      </c>
      <c r="BW55" s="1112">
        <f>BW$51*BW58</f>
        <v>0</v>
      </c>
      <c r="BX55" s="1112">
        <f>BX$51*BX58</f>
        <v>0</v>
      </c>
      <c r="BY55" s="672">
        <f>BZ55+CA55</f>
        <v>0</v>
      </c>
      <c r="BZ55" s="28">
        <f>BZ$51*BZ58</f>
        <v>0</v>
      </c>
      <c r="CA55" s="28">
        <f>CA$51*CA58</f>
        <v>0</v>
      </c>
      <c r="CB55" s="672">
        <f>CC55+CD55</f>
        <v>0</v>
      </c>
      <c r="CC55" s="28">
        <f>CC$51*CC58</f>
        <v>0</v>
      </c>
      <c r="CD55" s="28">
        <f>CD$51*CD58</f>
        <v>0</v>
      </c>
      <c r="CE55" s="672">
        <f>CF55+CG55</f>
        <v>0</v>
      </c>
      <c r="CF55" s="28">
        <f>CF$51*CF58</f>
        <v>0</v>
      </c>
      <c r="CG55" s="28">
        <f>CG$51*CG58</f>
        <v>0</v>
      </c>
      <c r="CH55" s="672">
        <f>CI55+CJ55</f>
        <v>0</v>
      </c>
      <c r="CI55" s="28">
        <f>CI$51*CI58</f>
        <v>0</v>
      </c>
      <c r="CJ55" s="28">
        <f>CJ$51*CJ58</f>
        <v>0</v>
      </c>
      <c r="CK55" s="672">
        <f>CL55+CM55</f>
        <v>0</v>
      </c>
      <c r="CL55" s="28">
        <f>CL$51*CL58</f>
        <v>0</v>
      </c>
      <c r="CM55" s="28">
        <f>CM$51*CM58</f>
        <v>0</v>
      </c>
      <c r="CN55" s="672">
        <f>CO55+CP55</f>
        <v>0</v>
      </c>
      <c r="CO55" s="28">
        <f>CO$51*CO58</f>
        <v>0</v>
      </c>
      <c r="CP55" s="28">
        <f>CP$51*CP58</f>
        <v>0</v>
      </c>
      <c r="CQ55" s="672">
        <f>CR55+CS55</f>
        <v>0</v>
      </c>
      <c r="CR55" s="28">
        <f>CR$51*CR58</f>
        <v>0</v>
      </c>
      <c r="CS55" s="28">
        <f>CS$51*CS58</f>
        <v>0</v>
      </c>
      <c r="CT55" s="22"/>
      <c r="CW55" s="902" t="s">
        <v>629</v>
      </c>
      <c r="CX55" s="907" t="s">
        <v>630</v>
      </c>
      <c r="CY55" s="911">
        <f>AE55</f>
        <v>0</v>
      </c>
      <c r="CZ55" s="911">
        <f>AF55</f>
        <v>0</v>
      </c>
      <c r="DB55" s="908" t="b">
        <v>1</v>
      </c>
    </row>
    <row r="56" spans="5:106" ht="16.7" hidden="1" customHeight="1">
      <c r="E56" s="623">
        <v>17.100000000000001</v>
      </c>
      <c r="F56" s="714">
        <f t="shared" ca="1" si="9"/>
        <v>0</v>
      </c>
      <c r="S56" s="98" t="b">
        <f t="shared" ca="1" si="10"/>
        <v>0</v>
      </c>
      <c r="U56" s="645" t="b">
        <f t="shared" ca="1" si="8"/>
        <v>0</v>
      </c>
      <c r="X56" s="756" t="str">
        <f>"{                  
         funcDyn: 'msg',
         blok: 'blok_2',
         wsCross: 'Топливо 4.4',
         linkFormula: 'AE-AE#AF-AF',
         levelDyn: "&amp;Y28&amp;"
}"</f>
        <v>{                  
         funcDyn: 'msg',
         blok: 'blok_2',
         wsCross: 'Топливо 4.4',
         linkFormula: 'AE-AE#AF-AF',
         levelDyn: 0
}</v>
      </c>
      <c r="Y56" s="1382"/>
      <c r="Z56" s="1382"/>
      <c r="AB56" s="1434"/>
      <c r="AD56" s="236"/>
      <c r="AE56" s="699" t="s">
        <v>172</v>
      </c>
      <c r="AF56" s="699"/>
      <c r="AG56" s="699"/>
      <c r="AH56" s="699"/>
      <c r="AI56" s="699"/>
      <c r="AJ56" s="699"/>
      <c r="AK56" s="699"/>
      <c r="AL56" s="699"/>
      <c r="AM56" s="699"/>
      <c r="AN56" s="699"/>
      <c r="AO56" s="699"/>
      <c r="AP56" s="699"/>
      <c r="AQ56" s="699"/>
      <c r="AR56" s="699"/>
      <c r="AS56" s="699"/>
      <c r="AT56" s="699"/>
      <c r="AU56" s="699"/>
      <c r="AV56" s="699"/>
      <c r="AW56" s="699"/>
      <c r="AX56" s="699"/>
      <c r="AY56" s="699"/>
      <c r="AZ56" s="699"/>
      <c r="BA56" s="699"/>
      <c r="BB56" s="699"/>
      <c r="BC56" s="699"/>
      <c r="BD56" s="699"/>
      <c r="BE56" s="699"/>
      <c r="BF56" s="699"/>
      <c r="BG56" s="699"/>
      <c r="BH56" s="699"/>
      <c r="BI56" s="699"/>
      <c r="BJ56" s="699"/>
      <c r="BK56" s="699"/>
      <c r="BL56" s="699"/>
      <c r="BM56" s="699"/>
      <c r="BN56" s="699"/>
      <c r="BO56" s="699"/>
      <c r="BP56" s="699"/>
      <c r="BQ56" s="699"/>
      <c r="BR56" s="699"/>
      <c r="BS56" s="699"/>
      <c r="BT56" s="699"/>
      <c r="BU56" s="699"/>
      <c r="BV56" s="699"/>
      <c r="BW56" s="699"/>
      <c r="BX56" s="699"/>
      <c r="BY56" s="699"/>
      <c r="BZ56" s="699"/>
      <c r="CA56" s="699"/>
      <c r="CB56" s="699"/>
      <c r="CC56" s="699"/>
      <c r="CD56" s="699"/>
      <c r="CE56" s="699"/>
      <c r="CF56" s="699"/>
      <c r="CG56" s="699"/>
      <c r="CH56" s="699"/>
      <c r="CI56" s="699"/>
      <c r="CJ56" s="699"/>
      <c r="CK56" s="699"/>
      <c r="CL56" s="699"/>
      <c r="CM56" s="699"/>
      <c r="CN56" s="699"/>
      <c r="CO56" s="699"/>
      <c r="CP56" s="699"/>
      <c r="CQ56" s="699"/>
      <c r="CR56" s="699"/>
      <c r="CS56" s="699"/>
      <c r="CT56" s="845"/>
      <c r="CW56" s="902" t="str">
        <f>IF(AND(ISNUMBER(VALUE(TRIM(SUBSTITUTE(AD56,".","")))),TRIM(SUBSTITUTE(AD56,".",""))&lt;&gt;""),"P"&amp;SUBSTITUTE(AD56,".",""),"")</f>
        <v/>
      </c>
      <c r="DA56" s="908" t="s">
        <v>630</v>
      </c>
    </row>
    <row r="57" spans="5:106" ht="16.7" hidden="1" customHeight="1">
      <c r="E57" s="623">
        <v>17.100000000000001</v>
      </c>
      <c r="F57" s="714">
        <f t="shared" ca="1" si="9"/>
        <v>0</v>
      </c>
      <c r="S57" s="98" t="b">
        <f t="shared" ca="1" si="10"/>
        <v>0</v>
      </c>
      <c r="U57" s="645" t="b">
        <f t="shared" ca="1" si="8"/>
        <v>0</v>
      </c>
      <c r="Y57" s="1382"/>
      <c r="Z57" s="1382"/>
      <c r="AB57" s="1434"/>
      <c r="AD57" s="99">
        <v>19</v>
      </c>
      <c r="AE57" s="1470" t="s">
        <v>631</v>
      </c>
      <c r="AF57" s="1471"/>
      <c r="AG57" s="490" t="s">
        <v>388</v>
      </c>
      <c r="AH57" s="698">
        <f t="shared" ref="AH57:BM57" si="33">SUM(AH58:AH59)</f>
        <v>0</v>
      </c>
      <c r="AI57" s="698">
        <f t="shared" si="33"/>
        <v>0</v>
      </c>
      <c r="AJ57" s="698">
        <f t="shared" si="33"/>
        <v>0</v>
      </c>
      <c r="AK57" s="698">
        <f t="shared" si="33"/>
        <v>0</v>
      </c>
      <c r="AL57" s="698">
        <f t="shared" si="33"/>
        <v>0</v>
      </c>
      <c r="AM57" s="698">
        <f t="shared" si="33"/>
        <v>0</v>
      </c>
      <c r="AN57" s="698">
        <f t="shared" si="33"/>
        <v>0</v>
      </c>
      <c r="AO57" s="698">
        <f t="shared" si="33"/>
        <v>0</v>
      </c>
      <c r="AP57" s="698">
        <f t="shared" si="33"/>
        <v>0</v>
      </c>
      <c r="AQ57" s="698">
        <f t="shared" si="33"/>
        <v>0</v>
      </c>
      <c r="AR57" s="698">
        <f t="shared" si="33"/>
        <v>0</v>
      </c>
      <c r="AS57" s="698">
        <f t="shared" si="33"/>
        <v>0</v>
      </c>
      <c r="AT57" s="698">
        <f t="shared" si="33"/>
        <v>0</v>
      </c>
      <c r="AU57" s="698">
        <f t="shared" si="33"/>
        <v>0</v>
      </c>
      <c r="AV57" s="698">
        <f t="shared" si="33"/>
        <v>0</v>
      </c>
      <c r="AW57" s="698">
        <f t="shared" si="33"/>
        <v>0</v>
      </c>
      <c r="AX57" s="698">
        <f t="shared" si="33"/>
        <v>0</v>
      </c>
      <c r="AY57" s="698">
        <f t="shared" si="33"/>
        <v>0</v>
      </c>
      <c r="AZ57" s="698">
        <f t="shared" si="33"/>
        <v>0</v>
      </c>
      <c r="BA57" s="698">
        <f t="shared" si="33"/>
        <v>0</v>
      </c>
      <c r="BB57" s="698">
        <f t="shared" si="33"/>
        <v>0</v>
      </c>
      <c r="BC57" s="698">
        <f t="shared" si="33"/>
        <v>0</v>
      </c>
      <c r="BD57" s="698">
        <f t="shared" si="33"/>
        <v>0</v>
      </c>
      <c r="BE57" s="698">
        <f t="shared" si="33"/>
        <v>0</v>
      </c>
      <c r="BF57" s="698">
        <f t="shared" si="33"/>
        <v>0</v>
      </c>
      <c r="BG57" s="698">
        <f t="shared" si="33"/>
        <v>0</v>
      </c>
      <c r="BH57" s="698">
        <f t="shared" si="33"/>
        <v>0</v>
      </c>
      <c r="BI57" s="698">
        <f t="shared" si="33"/>
        <v>0</v>
      </c>
      <c r="BJ57" s="698">
        <f t="shared" si="33"/>
        <v>0</v>
      </c>
      <c r="BK57" s="698">
        <f t="shared" si="33"/>
        <v>0</v>
      </c>
      <c r="BL57" s="698">
        <f t="shared" si="33"/>
        <v>0</v>
      </c>
      <c r="BM57" s="698">
        <f t="shared" si="33"/>
        <v>0</v>
      </c>
      <c r="BN57" s="698">
        <f t="shared" ref="BN57:CS57" si="34">SUM(BN58:BN59)</f>
        <v>0</v>
      </c>
      <c r="BO57" s="698">
        <f t="shared" si="34"/>
        <v>0</v>
      </c>
      <c r="BP57" s="698">
        <f t="shared" si="34"/>
        <v>0</v>
      </c>
      <c r="BQ57" s="698">
        <f t="shared" si="34"/>
        <v>0</v>
      </c>
      <c r="BR57" s="698">
        <f t="shared" si="34"/>
        <v>0</v>
      </c>
      <c r="BS57" s="698">
        <f t="shared" si="34"/>
        <v>0</v>
      </c>
      <c r="BT57" s="698">
        <f t="shared" si="34"/>
        <v>0</v>
      </c>
      <c r="BU57" s="698">
        <f t="shared" si="34"/>
        <v>0</v>
      </c>
      <c r="BV57" s="698">
        <f t="shared" si="34"/>
        <v>0</v>
      </c>
      <c r="BW57" s="698">
        <f t="shared" si="34"/>
        <v>0</v>
      </c>
      <c r="BX57" s="698">
        <f t="shared" si="34"/>
        <v>0</v>
      </c>
      <c r="BY57" s="698">
        <f t="shared" si="34"/>
        <v>0</v>
      </c>
      <c r="BZ57" s="698">
        <f t="shared" si="34"/>
        <v>0</v>
      </c>
      <c r="CA57" s="698">
        <f t="shared" si="34"/>
        <v>0</v>
      </c>
      <c r="CB57" s="698">
        <f t="shared" si="34"/>
        <v>0</v>
      </c>
      <c r="CC57" s="698">
        <f t="shared" si="34"/>
        <v>0</v>
      </c>
      <c r="CD57" s="698">
        <f t="shared" si="34"/>
        <v>0</v>
      </c>
      <c r="CE57" s="698">
        <f t="shared" si="34"/>
        <v>0</v>
      </c>
      <c r="CF57" s="698">
        <f t="shared" si="34"/>
        <v>0</v>
      </c>
      <c r="CG57" s="698">
        <f t="shared" si="34"/>
        <v>0</v>
      </c>
      <c r="CH57" s="698">
        <f t="shared" si="34"/>
        <v>0</v>
      </c>
      <c r="CI57" s="698">
        <f t="shared" si="34"/>
        <v>0</v>
      </c>
      <c r="CJ57" s="698">
        <f t="shared" si="34"/>
        <v>0</v>
      </c>
      <c r="CK57" s="698">
        <f t="shared" si="34"/>
        <v>0</v>
      </c>
      <c r="CL57" s="698">
        <f t="shared" si="34"/>
        <v>0</v>
      </c>
      <c r="CM57" s="698">
        <f t="shared" si="34"/>
        <v>0</v>
      </c>
      <c r="CN57" s="698">
        <f t="shared" si="34"/>
        <v>0</v>
      </c>
      <c r="CO57" s="698">
        <f t="shared" si="34"/>
        <v>0</v>
      </c>
      <c r="CP57" s="698">
        <f t="shared" si="34"/>
        <v>0</v>
      </c>
      <c r="CQ57" s="698">
        <f t="shared" si="34"/>
        <v>0</v>
      </c>
      <c r="CR57" s="698">
        <f t="shared" si="34"/>
        <v>0</v>
      </c>
      <c r="CS57" s="698">
        <f t="shared" si="34"/>
        <v>0</v>
      </c>
      <c r="CT57" s="26"/>
      <c r="CW57" s="902" t="s">
        <v>632</v>
      </c>
    </row>
    <row r="58" spans="5:106" ht="16.7" hidden="1" customHeight="1">
      <c r="E58" s="623">
        <v>17.100000000000001</v>
      </c>
      <c r="F58" s="714">
        <f t="shared" ca="1" si="9"/>
        <v>0</v>
      </c>
      <c r="S58" s="98" t="b">
        <f t="shared" ca="1" si="10"/>
        <v>0</v>
      </c>
      <c r="T58" s="98" t="b">
        <f>AD58&lt;&gt;"19.0"</f>
        <v>0</v>
      </c>
      <c r="U58" s="645" t="b">
        <f t="shared" ca="1" si="8"/>
        <v>0</v>
      </c>
      <c r="X58" s="98" t="s">
        <v>170</v>
      </c>
      <c r="Y58" s="1382"/>
      <c r="Z58" s="1382"/>
      <c r="AB58" s="1434"/>
      <c r="AD58" s="99" t="s">
        <v>633</v>
      </c>
      <c r="AE58" s="757"/>
      <c r="AF58" s="475"/>
      <c r="AG58" s="99" t="s">
        <v>388</v>
      </c>
      <c r="AH58" s="32"/>
      <c r="AI58" s="32">
        <f>IFERROR(AI55/AI$53,0)</f>
        <v>0</v>
      </c>
      <c r="AJ58" s="32">
        <f>IFERROR(AJ55/AJ$53,0)</f>
        <v>0</v>
      </c>
      <c r="AK58" s="32"/>
      <c r="AL58" s="678">
        <f>IFERROR(AL55/AL$51,0)</f>
        <v>0</v>
      </c>
      <c r="AM58" s="32"/>
      <c r="AN58" s="32"/>
      <c r="AO58" s="678">
        <f>IFERROR(AO55/AO$51,0)</f>
        <v>0</v>
      </c>
      <c r="AP58" s="1113"/>
      <c r="AQ58" s="1113"/>
      <c r="AR58" s="678">
        <f>IFERROR(AR55/AR$51,0)</f>
        <v>0</v>
      </c>
      <c r="AS58" s="1113"/>
      <c r="AT58" s="1113"/>
      <c r="AU58" s="678">
        <f>IFERROR(AU55/AU$51,0)</f>
        <v>0</v>
      </c>
      <c r="AV58" s="32"/>
      <c r="AW58" s="32"/>
      <c r="AX58" s="678">
        <f>IFERROR(AX55/AX$51,0)</f>
        <v>0</v>
      </c>
      <c r="AY58" s="32"/>
      <c r="AZ58" s="32"/>
      <c r="BA58" s="678">
        <f>IFERROR(BA55/BA$51,0)</f>
        <v>0</v>
      </c>
      <c r="BB58" s="32"/>
      <c r="BC58" s="32"/>
      <c r="BD58" s="678">
        <f>IFERROR(BD55/BD$51,0)</f>
        <v>0</v>
      </c>
      <c r="BE58" s="32"/>
      <c r="BF58" s="32"/>
      <c r="BG58" s="678">
        <f>IFERROR(BG55/BG$51,0)</f>
        <v>0</v>
      </c>
      <c r="BH58" s="32"/>
      <c r="BI58" s="32"/>
      <c r="BJ58" s="678">
        <f>IFERROR(BJ55/BJ$51,0)</f>
        <v>0</v>
      </c>
      <c r="BK58" s="32"/>
      <c r="BL58" s="32"/>
      <c r="BM58" s="678">
        <f>IFERROR(BM55/BM$51,0)</f>
        <v>0</v>
      </c>
      <c r="BN58" s="32"/>
      <c r="BO58" s="32"/>
      <c r="BP58" s="678">
        <f>IFERROR(BP55/BP$51,0)</f>
        <v>0</v>
      </c>
      <c r="BQ58" s="764"/>
      <c r="BR58" s="764"/>
      <c r="BS58" s="678">
        <f>IFERROR(BS55/BS$51,0)</f>
        <v>0</v>
      </c>
      <c r="BT58" s="1113"/>
      <c r="BU58" s="1113"/>
      <c r="BV58" s="678">
        <f>IFERROR(BV55/BV$51,0)</f>
        <v>0</v>
      </c>
      <c r="BW58" s="1113"/>
      <c r="BX58" s="1113"/>
      <c r="BY58" s="678">
        <f>IFERROR(BY55/BY$51,0)</f>
        <v>0</v>
      </c>
      <c r="BZ58" s="32"/>
      <c r="CA58" s="32"/>
      <c r="CB58" s="678">
        <f>IFERROR(CB55/CB$51,0)</f>
        <v>0</v>
      </c>
      <c r="CC58" s="32"/>
      <c r="CD58" s="32"/>
      <c r="CE58" s="678">
        <f>IFERROR(CE55/CE$51,0)</f>
        <v>0</v>
      </c>
      <c r="CF58" s="32"/>
      <c r="CG58" s="32"/>
      <c r="CH58" s="678">
        <f>IFERROR(CH55/CH$51,0)</f>
        <v>0</v>
      </c>
      <c r="CI58" s="32"/>
      <c r="CJ58" s="32"/>
      <c r="CK58" s="678">
        <f>IFERROR(CK55/CK$51,0)</f>
        <v>0</v>
      </c>
      <c r="CL58" s="32"/>
      <c r="CM58" s="32"/>
      <c r="CN58" s="678">
        <f>IFERROR(CN55/CN$51,0)</f>
        <v>0</v>
      </c>
      <c r="CO58" s="32"/>
      <c r="CP58" s="32"/>
      <c r="CQ58" s="678">
        <f>IFERROR(CQ55/CQ$51,0)</f>
        <v>0</v>
      </c>
      <c r="CR58" s="32"/>
      <c r="CS58" s="32"/>
      <c r="CT58" s="22"/>
      <c r="CW58" s="902" t="s">
        <v>632</v>
      </c>
      <c r="CX58" s="907" t="s">
        <v>630</v>
      </c>
      <c r="CY58" s="911">
        <f>AE58</f>
        <v>0</v>
      </c>
      <c r="CZ58" s="911">
        <f>AF58</f>
        <v>0</v>
      </c>
    </row>
    <row r="59" spans="5:106" ht="17.25" hidden="1" customHeight="1">
      <c r="E59" s="623">
        <v>0</v>
      </c>
      <c r="F59" s="714">
        <f t="shared" ca="1" si="9"/>
        <v>0</v>
      </c>
      <c r="S59" s="98" t="b">
        <f t="shared" ca="1" si="10"/>
        <v>0</v>
      </c>
      <c r="U59" s="645" t="b">
        <f t="shared" ca="1" si="8"/>
        <v>0</v>
      </c>
      <c r="X59" s="756" t="str">
        <f>"{                  
         funcDyn: 'msg1',
         blok: 'blok_2',
         wsCross: 'Топливо 4.4',
         linkFormula: 'AE-AE#AF-AF',
         levelDyn: "&amp;Y28&amp;"
}"</f>
        <v>{                  
         funcDyn: 'msg1',
         blok: 'blok_2',
         wsCross: 'Топливо 4.4',
         linkFormula: 'AE-AE#AF-AF',
         levelDyn: 0
}</v>
      </c>
      <c r="Y59" s="1382"/>
      <c r="Z59" s="1382"/>
      <c r="AB59" s="1434"/>
      <c r="AD59" s="759"/>
      <c r="AE59" s="758" t="s">
        <v>172</v>
      </c>
      <c r="AF59" s="685"/>
      <c r="AG59" s="497"/>
      <c r="AH59" s="686"/>
      <c r="AI59" s="686"/>
      <c r="AJ59" s="686"/>
      <c r="AK59" s="686"/>
      <c r="AL59" s="686"/>
      <c r="AM59" s="686"/>
      <c r="AN59" s="686"/>
      <c r="AO59" s="686"/>
      <c r="AP59" s="686"/>
      <c r="AQ59" s="686"/>
      <c r="AR59" s="686"/>
      <c r="AS59" s="686"/>
      <c r="AT59" s="686"/>
      <c r="AU59" s="686"/>
      <c r="AV59" s="686"/>
      <c r="AW59" s="686"/>
      <c r="AX59" s="686"/>
      <c r="AY59" s="686"/>
      <c r="AZ59" s="686"/>
      <c r="BA59" s="686"/>
      <c r="BB59" s="686"/>
      <c r="BC59" s="686"/>
      <c r="BD59" s="686"/>
      <c r="BE59" s="686"/>
      <c r="BF59" s="686"/>
      <c r="BG59" s="686"/>
      <c r="BH59" s="686"/>
      <c r="BI59" s="686"/>
      <c r="BJ59" s="686"/>
      <c r="BK59" s="686"/>
      <c r="BL59" s="686"/>
      <c r="BM59" s="686"/>
      <c r="BN59" s="686"/>
      <c r="BO59" s="686"/>
      <c r="BP59" s="686"/>
      <c r="BQ59" s="686"/>
      <c r="BR59" s="686"/>
      <c r="BS59" s="686"/>
      <c r="BT59" s="686"/>
      <c r="BU59" s="686"/>
      <c r="BV59" s="686"/>
      <c r="BW59" s="686"/>
      <c r="BX59" s="686"/>
      <c r="BY59" s="686"/>
      <c r="BZ59" s="686"/>
      <c r="CA59" s="686"/>
      <c r="CB59" s="686"/>
      <c r="CC59" s="686"/>
      <c r="CD59" s="686"/>
      <c r="CE59" s="686"/>
      <c r="CF59" s="686"/>
      <c r="CG59" s="686"/>
      <c r="CH59" s="686"/>
      <c r="CI59" s="686"/>
      <c r="CJ59" s="686"/>
      <c r="CK59" s="686"/>
      <c r="CL59" s="686"/>
      <c r="CM59" s="686"/>
      <c r="CN59" s="686"/>
      <c r="CO59" s="686"/>
      <c r="CP59" s="686"/>
      <c r="CQ59" s="686"/>
      <c r="CR59" s="686"/>
      <c r="CS59" s="686"/>
      <c r="CT59" s="33"/>
      <c r="CW59" s="902" t="str">
        <f>IF(AND(ISNUMBER(VALUE(TRIM(SUBSTITUTE(AD59,".","")))),TRIM(SUBSTITUTE(AD59,".",""))&lt;&gt;""),"P"&amp;SUBSTITUTE(AD59,".",""),"")</f>
        <v/>
      </c>
    </row>
    <row r="60" spans="5:106" ht="16.7" hidden="1" customHeight="1">
      <c r="E60" s="623">
        <v>17.100000000000001</v>
      </c>
      <c r="F60" s="714">
        <f t="shared" ca="1" si="9"/>
        <v>0</v>
      </c>
      <c r="S60" s="98" t="b">
        <f t="shared" ca="1" si="10"/>
        <v>0</v>
      </c>
      <c r="U60" s="645" t="b">
        <f t="shared" ca="1" si="8"/>
        <v>0</v>
      </c>
      <c r="Y60" s="1382"/>
      <c r="Z60" s="1382"/>
      <c r="AB60" s="1434"/>
      <c r="AD60" s="99">
        <v>20</v>
      </c>
      <c r="AE60" s="1443" t="s">
        <v>634</v>
      </c>
      <c r="AF60" s="1444"/>
      <c r="AG60" s="467"/>
      <c r="AH60" s="673"/>
      <c r="AI60" s="675"/>
      <c r="AJ60" s="675"/>
      <c r="AK60" s="675"/>
      <c r="AL60" s="675"/>
      <c r="AM60" s="675"/>
      <c r="AN60" s="675"/>
      <c r="AO60" s="675"/>
      <c r="AP60" s="675"/>
      <c r="AQ60" s="675"/>
      <c r="AR60" s="675"/>
      <c r="AS60" s="675"/>
      <c r="AT60" s="675"/>
      <c r="AU60" s="675"/>
      <c r="AV60" s="675"/>
      <c r="AW60" s="675"/>
      <c r="AX60" s="675"/>
      <c r="AY60" s="675"/>
      <c r="AZ60" s="675"/>
      <c r="BA60" s="675"/>
      <c r="BB60" s="675"/>
      <c r="BC60" s="675"/>
      <c r="BD60" s="675"/>
      <c r="BE60" s="675"/>
      <c r="BF60" s="675"/>
      <c r="BG60" s="675"/>
      <c r="BH60" s="675"/>
      <c r="BI60" s="675"/>
      <c r="BJ60" s="675"/>
      <c r="BK60" s="675"/>
      <c r="BL60" s="675"/>
      <c r="BM60" s="675"/>
      <c r="BN60" s="675"/>
      <c r="BO60" s="675"/>
      <c r="BP60" s="675"/>
      <c r="BQ60" s="675"/>
      <c r="BR60" s="675"/>
      <c r="BS60" s="675"/>
      <c r="BT60" s="675"/>
      <c r="BU60" s="675"/>
      <c r="BV60" s="675"/>
      <c r="BW60" s="675"/>
      <c r="BX60" s="675"/>
      <c r="BY60" s="675"/>
      <c r="BZ60" s="675"/>
      <c r="CA60" s="675"/>
      <c r="CB60" s="675"/>
      <c r="CC60" s="675"/>
      <c r="CD60" s="675"/>
      <c r="CE60" s="675"/>
      <c r="CF60" s="675"/>
      <c r="CG60" s="675"/>
      <c r="CH60" s="675"/>
      <c r="CI60" s="675"/>
      <c r="CJ60" s="675"/>
      <c r="CK60" s="675"/>
      <c r="CL60" s="675"/>
      <c r="CM60" s="675"/>
      <c r="CN60" s="675"/>
      <c r="CO60" s="675"/>
      <c r="CP60" s="675"/>
      <c r="CQ60" s="675"/>
      <c r="CR60" s="675"/>
      <c r="CS60" s="675"/>
      <c r="CT60" s="22"/>
      <c r="CW60" s="902" t="s">
        <v>635</v>
      </c>
    </row>
    <row r="61" spans="5:106" ht="16.7" hidden="1" customHeight="1">
      <c r="E61" s="623">
        <v>17.100000000000001</v>
      </c>
      <c r="F61" s="714">
        <f t="shared" ref="F61:F92" ca="1" si="35">OFFSET(G61,-1,-1)</f>
        <v>0</v>
      </c>
      <c r="S61" s="98" t="b">
        <f t="shared" ref="S61:S92" ca="1" si="36">OFFSET(T61,-1,-1)</f>
        <v>0</v>
      </c>
      <c r="T61" s="98" t="b">
        <f>AD61&lt;&gt;"20.0"</f>
        <v>0</v>
      </c>
      <c r="U61" s="645" t="b">
        <f t="shared" ca="1" si="8"/>
        <v>0</v>
      </c>
      <c r="X61" s="98" t="s">
        <v>170</v>
      </c>
      <c r="Y61" s="1382"/>
      <c r="Z61" s="1382"/>
      <c r="AB61" s="1434"/>
      <c r="AD61" s="99" t="s">
        <v>636</v>
      </c>
      <c r="AE61" s="757"/>
      <c r="AF61" s="475"/>
      <c r="AG61" s="467"/>
      <c r="AH61" s="28"/>
      <c r="AI61" s="29"/>
      <c r="AJ61" s="29"/>
      <c r="AK61" s="29"/>
      <c r="AL61" s="674">
        <f>IFERROR(AL55/AL64,0)</f>
        <v>0</v>
      </c>
      <c r="AM61" s="29"/>
      <c r="AN61" s="29">
        <f>AM61</f>
        <v>0</v>
      </c>
      <c r="AO61" s="674">
        <f>IFERROR(AO55/AO64,0)</f>
        <v>0</v>
      </c>
      <c r="AP61" s="1111"/>
      <c r="AQ61" s="1111">
        <f>AP61</f>
        <v>0</v>
      </c>
      <c r="AR61" s="674">
        <f>IFERROR(AR55/AR64,0)</f>
        <v>0</v>
      </c>
      <c r="AS61" s="1111"/>
      <c r="AT61" s="1111">
        <f>AS61</f>
        <v>0</v>
      </c>
      <c r="AU61" s="674">
        <f>IFERROR(AU55/AU64,0)</f>
        <v>0</v>
      </c>
      <c r="AV61" s="29"/>
      <c r="AW61" s="29">
        <f>AV61</f>
        <v>0</v>
      </c>
      <c r="AX61" s="674">
        <f>IFERROR(AX55/AX64,0)</f>
        <v>0</v>
      </c>
      <c r="AY61" s="29"/>
      <c r="AZ61" s="29">
        <f>AY61</f>
        <v>0</v>
      </c>
      <c r="BA61" s="674">
        <f>IFERROR(BA55/BA64,0)</f>
        <v>0</v>
      </c>
      <c r="BB61" s="29"/>
      <c r="BC61" s="29">
        <f>BB61</f>
        <v>0</v>
      </c>
      <c r="BD61" s="674">
        <f>IFERROR(BD55/BD64,0)</f>
        <v>0</v>
      </c>
      <c r="BE61" s="29"/>
      <c r="BF61" s="29">
        <f>BE61</f>
        <v>0</v>
      </c>
      <c r="BG61" s="674">
        <f>IFERROR(BG55/BG64,0)</f>
        <v>0</v>
      </c>
      <c r="BH61" s="29"/>
      <c r="BI61" s="29">
        <f>BH61</f>
        <v>0</v>
      </c>
      <c r="BJ61" s="674">
        <f>IFERROR(BJ55/BJ64,0)</f>
        <v>0</v>
      </c>
      <c r="BK61" s="29"/>
      <c r="BL61" s="29">
        <f>BK61</f>
        <v>0</v>
      </c>
      <c r="BM61" s="674">
        <f>IFERROR(BM55/BM64,0)</f>
        <v>0</v>
      </c>
      <c r="BN61" s="29"/>
      <c r="BO61" s="29">
        <f>BN61</f>
        <v>0</v>
      </c>
      <c r="BP61" s="674">
        <f>IFERROR(BP55/BP64,0)</f>
        <v>0</v>
      </c>
      <c r="BQ61" s="762"/>
      <c r="BR61" s="762">
        <f>BQ61</f>
        <v>0</v>
      </c>
      <c r="BS61" s="674">
        <f>IFERROR(BS55/BS64,0)</f>
        <v>0</v>
      </c>
      <c r="BT61" s="1111"/>
      <c r="BU61" s="1111">
        <f>BT61</f>
        <v>0</v>
      </c>
      <c r="BV61" s="674">
        <f>IFERROR(BV55/BV64,0)</f>
        <v>0</v>
      </c>
      <c r="BW61" s="1111"/>
      <c r="BX61" s="1111">
        <f>BW61</f>
        <v>0</v>
      </c>
      <c r="BY61" s="674">
        <f>IFERROR(BY55/BY64,0)</f>
        <v>0</v>
      </c>
      <c r="BZ61" s="29"/>
      <c r="CA61" s="29">
        <f>BZ61</f>
        <v>0</v>
      </c>
      <c r="CB61" s="674">
        <f>IFERROR(CB55/CB64,0)</f>
        <v>0</v>
      </c>
      <c r="CC61" s="29"/>
      <c r="CD61" s="29">
        <f>CC61</f>
        <v>0</v>
      </c>
      <c r="CE61" s="674">
        <f>IFERROR(CE55/CE64,0)</f>
        <v>0</v>
      </c>
      <c r="CF61" s="29"/>
      <c r="CG61" s="29">
        <f>CF61</f>
        <v>0</v>
      </c>
      <c r="CH61" s="674">
        <f>IFERROR(CH55/CH64,0)</f>
        <v>0</v>
      </c>
      <c r="CI61" s="29"/>
      <c r="CJ61" s="29">
        <f>CI61</f>
        <v>0</v>
      </c>
      <c r="CK61" s="674">
        <f>IFERROR(CK55/CK64,0)</f>
        <v>0</v>
      </c>
      <c r="CL61" s="29"/>
      <c r="CM61" s="29">
        <f>CL61</f>
        <v>0</v>
      </c>
      <c r="CN61" s="674">
        <f>IFERROR(CN55/CN64,0)</f>
        <v>0</v>
      </c>
      <c r="CO61" s="29"/>
      <c r="CP61" s="29">
        <f>CO61</f>
        <v>0</v>
      </c>
      <c r="CQ61" s="674">
        <f>IFERROR(CQ55/CQ64,0)</f>
        <v>0</v>
      </c>
      <c r="CR61" s="29"/>
      <c r="CS61" s="29">
        <f>CR61</f>
        <v>0</v>
      </c>
      <c r="CT61" s="22"/>
      <c r="CW61" s="902" t="s">
        <v>635</v>
      </c>
      <c r="CX61" s="907" t="s">
        <v>630</v>
      </c>
      <c r="CY61" s="911">
        <f>AE61</f>
        <v>0</v>
      </c>
      <c r="CZ61" s="911">
        <f>AF61</f>
        <v>0</v>
      </c>
    </row>
    <row r="62" spans="5:106" ht="17.25" hidden="1" customHeight="1">
      <c r="E62" s="623">
        <v>0</v>
      </c>
      <c r="F62" s="714">
        <f t="shared" ca="1" si="35"/>
        <v>0</v>
      </c>
      <c r="S62" s="98" t="b">
        <f t="shared" ca="1" si="36"/>
        <v>0</v>
      </c>
      <c r="U62" s="645" t="b">
        <f t="shared" ca="1" si="8"/>
        <v>0</v>
      </c>
      <c r="X62" s="756" t="str">
        <f>"{                  
         funcDyn: 'msg1',
         blok: 'blok_2',
         wsCross: 'Топливо 4.4',
         linkFormula: 'AE-AE#AF-AF',
         levelDyn: "&amp;Y28&amp;"
}"</f>
        <v>{                  
         funcDyn: 'msg1',
         blok: 'blok_2',
         wsCross: 'Топливо 4.4',
         linkFormula: 'AE-AE#AF-AF',
         levelDyn: 0
}</v>
      </c>
      <c r="Y62" s="1382"/>
      <c r="Z62" s="1382"/>
      <c r="AB62" s="1434"/>
      <c r="AD62" s="759"/>
      <c r="AE62" s="758" t="s">
        <v>172</v>
      </c>
      <c r="AF62" s="685"/>
      <c r="AG62" s="497"/>
      <c r="AH62" s="673"/>
      <c r="AI62" s="675"/>
      <c r="AJ62" s="675"/>
      <c r="AK62" s="675"/>
      <c r="AL62" s="675"/>
      <c r="AM62" s="675"/>
      <c r="AN62" s="675"/>
      <c r="AO62" s="675"/>
      <c r="AP62" s="675"/>
      <c r="AQ62" s="675"/>
      <c r="AR62" s="675"/>
      <c r="AS62" s="675"/>
      <c r="AT62" s="675"/>
      <c r="AU62" s="675"/>
      <c r="AV62" s="675"/>
      <c r="AW62" s="675"/>
      <c r="AX62" s="675"/>
      <c r="AY62" s="675"/>
      <c r="AZ62" s="675"/>
      <c r="BA62" s="675"/>
      <c r="BB62" s="675"/>
      <c r="BC62" s="675"/>
      <c r="BD62" s="675"/>
      <c r="BE62" s="675"/>
      <c r="BF62" s="675"/>
      <c r="BG62" s="675"/>
      <c r="BH62" s="675"/>
      <c r="BI62" s="675"/>
      <c r="BJ62" s="675"/>
      <c r="BK62" s="675"/>
      <c r="BL62" s="675"/>
      <c r="BM62" s="675"/>
      <c r="BN62" s="675"/>
      <c r="BO62" s="675"/>
      <c r="BP62" s="675"/>
      <c r="BQ62" s="675"/>
      <c r="BR62" s="675"/>
      <c r="BS62" s="675"/>
      <c r="BT62" s="675"/>
      <c r="BU62" s="675"/>
      <c r="BV62" s="675"/>
      <c r="BW62" s="675"/>
      <c r="BX62" s="675"/>
      <c r="BY62" s="675"/>
      <c r="BZ62" s="675"/>
      <c r="CA62" s="675"/>
      <c r="CB62" s="675"/>
      <c r="CC62" s="675"/>
      <c r="CD62" s="675"/>
      <c r="CE62" s="675"/>
      <c r="CF62" s="675"/>
      <c r="CG62" s="675"/>
      <c r="CH62" s="675"/>
      <c r="CI62" s="675"/>
      <c r="CJ62" s="675"/>
      <c r="CK62" s="675"/>
      <c r="CL62" s="675"/>
      <c r="CM62" s="675"/>
      <c r="CN62" s="675"/>
      <c r="CO62" s="675"/>
      <c r="CP62" s="675"/>
      <c r="CQ62" s="675"/>
      <c r="CR62" s="675"/>
      <c r="CS62" s="675"/>
      <c r="CT62" s="33"/>
      <c r="CW62" s="902" t="str">
        <f>IF(AND(ISNUMBER(VALUE(TRIM(SUBSTITUTE(AD62,".","")))),TRIM(SUBSTITUTE(AD62,".",""))&lt;&gt;""),"P"&amp;SUBSTITUTE(AD62,".",""),"")</f>
        <v/>
      </c>
    </row>
    <row r="63" spans="5:106" ht="16.7" hidden="1" customHeight="1">
      <c r="E63" s="623">
        <v>17.100000000000001</v>
      </c>
      <c r="F63" s="714">
        <f t="shared" ca="1" si="35"/>
        <v>0</v>
      </c>
      <c r="S63" s="98" t="b">
        <f t="shared" ca="1" si="36"/>
        <v>0</v>
      </c>
      <c r="U63" s="645" t="b">
        <f t="shared" ca="1" si="8"/>
        <v>0</v>
      </c>
      <c r="Y63" s="1382"/>
      <c r="Z63" s="1382"/>
      <c r="AB63" s="1434"/>
      <c r="AD63" s="99">
        <v>21</v>
      </c>
      <c r="AE63" s="1453" t="s">
        <v>637</v>
      </c>
      <c r="AF63" s="1454"/>
      <c r="AG63" s="491"/>
      <c r="AH63" s="673"/>
      <c r="AI63" s="675"/>
      <c r="AJ63" s="675"/>
      <c r="AK63" s="675"/>
      <c r="AL63" s="675"/>
      <c r="AM63" s="675"/>
      <c r="AN63" s="675"/>
      <c r="AO63" s="675"/>
      <c r="AP63" s="675"/>
      <c r="AQ63" s="675"/>
      <c r="AR63" s="675"/>
      <c r="AS63" s="675"/>
      <c r="AT63" s="675"/>
      <c r="AU63" s="675"/>
      <c r="AV63" s="675"/>
      <c r="AW63" s="675"/>
      <c r="AX63" s="675"/>
      <c r="AY63" s="675"/>
      <c r="AZ63" s="675"/>
      <c r="BA63" s="675"/>
      <c r="BB63" s="675"/>
      <c r="BC63" s="675"/>
      <c r="BD63" s="675"/>
      <c r="BE63" s="675"/>
      <c r="BF63" s="675"/>
      <c r="BG63" s="675"/>
      <c r="BH63" s="675"/>
      <c r="BI63" s="675"/>
      <c r="BJ63" s="675"/>
      <c r="BK63" s="675"/>
      <c r="BL63" s="675"/>
      <c r="BM63" s="675"/>
      <c r="BN63" s="675"/>
      <c r="BO63" s="675"/>
      <c r="BP63" s="675"/>
      <c r="BQ63" s="675"/>
      <c r="BR63" s="675"/>
      <c r="BS63" s="675"/>
      <c r="BT63" s="675"/>
      <c r="BU63" s="675"/>
      <c r="BV63" s="675"/>
      <c r="BW63" s="675"/>
      <c r="BX63" s="675"/>
      <c r="BY63" s="675"/>
      <c r="BZ63" s="675"/>
      <c r="CA63" s="675"/>
      <c r="CB63" s="675"/>
      <c r="CC63" s="675"/>
      <c r="CD63" s="675"/>
      <c r="CE63" s="675"/>
      <c r="CF63" s="675"/>
      <c r="CG63" s="675"/>
      <c r="CH63" s="675"/>
      <c r="CI63" s="675"/>
      <c r="CJ63" s="675"/>
      <c r="CK63" s="675"/>
      <c r="CL63" s="675"/>
      <c r="CM63" s="675"/>
      <c r="CN63" s="675"/>
      <c r="CO63" s="675"/>
      <c r="CP63" s="675"/>
      <c r="CQ63" s="675"/>
      <c r="CR63" s="675"/>
      <c r="CS63" s="675"/>
      <c r="CT63" s="22"/>
      <c r="CW63" s="902" t="s">
        <v>638</v>
      </c>
    </row>
    <row r="64" spans="5:106" ht="16.7" hidden="1" customHeight="1">
      <c r="E64" s="623">
        <v>17.100000000000001</v>
      </c>
      <c r="F64" s="714">
        <f t="shared" ca="1" si="35"/>
        <v>0</v>
      </c>
      <c r="S64" s="98" t="b">
        <f t="shared" ca="1" si="36"/>
        <v>0</v>
      </c>
      <c r="T64" s="98" t="b">
        <f>AD64&lt;&gt;"21.0"</f>
        <v>0</v>
      </c>
      <c r="U64" s="645" t="b">
        <f t="shared" ca="1" si="8"/>
        <v>0</v>
      </c>
      <c r="X64" s="98" t="s">
        <v>170</v>
      </c>
      <c r="Y64" s="1382"/>
      <c r="Z64" s="1382"/>
      <c r="AB64" s="1434"/>
      <c r="AD64" s="99" t="s">
        <v>639</v>
      </c>
      <c r="AE64" s="757"/>
      <c r="AF64" s="833"/>
      <c r="AG64" s="835" t="str">
        <f>IFERROR(INDEX(fuel_ed_izm_list,MATCH(AE64,fuel_list,0)),"тнт")</f>
        <v>тнт</v>
      </c>
      <c r="AH64" s="28">
        <f>IFERROR(AH55/AH61,0)</f>
        <v>0</v>
      </c>
      <c r="AI64" s="29"/>
      <c r="AJ64" s="29"/>
      <c r="AK64" s="29">
        <f>IFERROR(AK55/AK61,0)</f>
        <v>0</v>
      </c>
      <c r="AL64" s="672">
        <f>AM64+AN64</f>
        <v>0</v>
      </c>
      <c r="AM64" s="29">
        <f>IFERROR(AM55/AM61,0)</f>
        <v>0</v>
      </c>
      <c r="AN64" s="29">
        <f>IFERROR(AN55/AN61,0)</f>
        <v>0</v>
      </c>
      <c r="AO64" s="672">
        <f>AP64+AQ64</f>
        <v>0</v>
      </c>
      <c r="AP64" s="1111">
        <f>IFERROR(AP55/AP61,0)</f>
        <v>0</v>
      </c>
      <c r="AQ64" s="1111">
        <f>IFERROR(AQ55/AQ61,0)</f>
        <v>0</v>
      </c>
      <c r="AR64" s="672">
        <f>AS64+AT64</f>
        <v>0</v>
      </c>
      <c r="AS64" s="1111">
        <f>IFERROR(AS55/AS61,0)</f>
        <v>0</v>
      </c>
      <c r="AT64" s="1111">
        <f>IFERROR(AT55/AT61,0)</f>
        <v>0</v>
      </c>
      <c r="AU64" s="672">
        <f>AV64+AW64</f>
        <v>0</v>
      </c>
      <c r="AV64" s="29">
        <f>IFERROR(AV55/AV61,0)</f>
        <v>0</v>
      </c>
      <c r="AW64" s="29">
        <f>IFERROR(AW55/AW61,0)</f>
        <v>0</v>
      </c>
      <c r="AX64" s="672">
        <f>AY64+AZ64</f>
        <v>0</v>
      </c>
      <c r="AY64" s="29">
        <f>IFERROR(AY55/AY61,0)</f>
        <v>0</v>
      </c>
      <c r="AZ64" s="29">
        <f>IFERROR(AZ55/AZ61,0)</f>
        <v>0</v>
      </c>
      <c r="BA64" s="672">
        <f>BB64+BC64</f>
        <v>0</v>
      </c>
      <c r="BB64" s="29">
        <f>IFERROR(BB55/BB61,0)</f>
        <v>0</v>
      </c>
      <c r="BC64" s="29">
        <f>IFERROR(BC55/BC61,0)</f>
        <v>0</v>
      </c>
      <c r="BD64" s="672">
        <f>BE64+BF64</f>
        <v>0</v>
      </c>
      <c r="BE64" s="29">
        <f>IFERROR(BE55/BE61,0)</f>
        <v>0</v>
      </c>
      <c r="BF64" s="29">
        <f>IFERROR(BF55/BF61,0)</f>
        <v>0</v>
      </c>
      <c r="BG64" s="672">
        <f>BH64+BI64</f>
        <v>0</v>
      </c>
      <c r="BH64" s="29">
        <f>IFERROR(BH55/BH61,0)</f>
        <v>0</v>
      </c>
      <c r="BI64" s="29">
        <f>IFERROR(BI55/BI61,0)</f>
        <v>0</v>
      </c>
      <c r="BJ64" s="672">
        <f>BK64+BL64</f>
        <v>0</v>
      </c>
      <c r="BK64" s="29">
        <f>IFERROR(BK55/BK61,0)</f>
        <v>0</v>
      </c>
      <c r="BL64" s="29">
        <f>IFERROR(BL55/BL61,0)</f>
        <v>0</v>
      </c>
      <c r="BM64" s="672">
        <f>BN64+BO64</f>
        <v>0</v>
      </c>
      <c r="BN64" s="29">
        <f>IFERROR(BN55/BN61,0)</f>
        <v>0</v>
      </c>
      <c r="BO64" s="29">
        <f>IFERROR(BO55/BO61,0)</f>
        <v>0</v>
      </c>
      <c r="BP64" s="672">
        <f>BQ64+BR64</f>
        <v>0</v>
      </c>
      <c r="BQ64" s="762">
        <f>IFERROR(BQ55/BQ61,0)</f>
        <v>0</v>
      </c>
      <c r="BR64" s="762">
        <f>IFERROR(BR55/BR61,0)</f>
        <v>0</v>
      </c>
      <c r="BS64" s="672">
        <f>BT64+BU64</f>
        <v>0</v>
      </c>
      <c r="BT64" s="1111">
        <f>IFERROR(BT55/BT61,0)</f>
        <v>0</v>
      </c>
      <c r="BU64" s="1111">
        <f>IFERROR(BU55/BU61,0)</f>
        <v>0</v>
      </c>
      <c r="BV64" s="672">
        <f>BW64+BX64</f>
        <v>0</v>
      </c>
      <c r="BW64" s="1111">
        <f>IFERROR(BW55/BW61,0)</f>
        <v>0</v>
      </c>
      <c r="BX64" s="1111">
        <f>IFERROR(BX55/BX61,0)</f>
        <v>0</v>
      </c>
      <c r="BY64" s="672">
        <f>BZ64+CA64</f>
        <v>0</v>
      </c>
      <c r="BZ64" s="29">
        <f>IFERROR(BZ55/BZ61,0)</f>
        <v>0</v>
      </c>
      <c r="CA64" s="29">
        <f>IFERROR(CA55/CA61,0)</f>
        <v>0</v>
      </c>
      <c r="CB64" s="672">
        <f>CC64+CD64</f>
        <v>0</v>
      </c>
      <c r="CC64" s="29">
        <f>IFERROR(CC55/CC61,0)</f>
        <v>0</v>
      </c>
      <c r="CD64" s="29">
        <f>IFERROR(CD55/CD61,0)</f>
        <v>0</v>
      </c>
      <c r="CE64" s="672">
        <f>CF64+CG64</f>
        <v>0</v>
      </c>
      <c r="CF64" s="29">
        <f>IFERROR(CF55/CF61,0)</f>
        <v>0</v>
      </c>
      <c r="CG64" s="29">
        <f>IFERROR(CG55/CG61,0)</f>
        <v>0</v>
      </c>
      <c r="CH64" s="672">
        <f>CI64+CJ64</f>
        <v>0</v>
      </c>
      <c r="CI64" s="29">
        <f>IFERROR(CI55/CI61,0)</f>
        <v>0</v>
      </c>
      <c r="CJ64" s="29">
        <f>IFERROR(CJ55/CJ61,0)</f>
        <v>0</v>
      </c>
      <c r="CK64" s="672">
        <f>CL64+CM64</f>
        <v>0</v>
      </c>
      <c r="CL64" s="29">
        <f>IFERROR(CL55/CL61,0)</f>
        <v>0</v>
      </c>
      <c r="CM64" s="29">
        <f>IFERROR(CM55/CM61,0)</f>
        <v>0</v>
      </c>
      <c r="CN64" s="672">
        <f>CO64+CP64</f>
        <v>0</v>
      </c>
      <c r="CO64" s="29">
        <f>IFERROR(CO55/CO61,0)</f>
        <v>0</v>
      </c>
      <c r="CP64" s="29">
        <f>IFERROR(CP55/CP61,0)</f>
        <v>0</v>
      </c>
      <c r="CQ64" s="672">
        <f>CR64+CS64</f>
        <v>0</v>
      </c>
      <c r="CR64" s="29">
        <f>IFERROR(CR55/CR61,0)</f>
        <v>0</v>
      </c>
      <c r="CS64" s="29">
        <f>IFERROR(CS55/CS61,0)</f>
        <v>0</v>
      </c>
      <c r="CT64" s="22"/>
      <c r="CW64" s="902" t="s">
        <v>638</v>
      </c>
      <c r="CX64" s="907" t="s">
        <v>630</v>
      </c>
      <c r="CY64" s="911">
        <f>AE64</f>
        <v>0</v>
      </c>
      <c r="CZ64" s="911">
        <f>AF64</f>
        <v>0</v>
      </c>
    </row>
    <row r="65" spans="5:104" ht="17.25" hidden="1" customHeight="1">
      <c r="E65" s="623">
        <v>0</v>
      </c>
      <c r="F65" s="714">
        <f t="shared" ca="1" si="35"/>
        <v>0</v>
      </c>
      <c r="S65" s="98" t="b">
        <f t="shared" ca="1" si="36"/>
        <v>0</v>
      </c>
      <c r="U65" s="645" t="b">
        <f t="shared" ca="1" si="8"/>
        <v>0</v>
      </c>
      <c r="X65" s="756" t="str">
        <f>"{                  
         funcDyn: 'msg1',
         blok: 'blok_2',
         wsCross: 'Топливо 4.4',
         linkFormula: 'AE-AE#AF-AF',
         levelDyn: "&amp;Y28&amp;"
}"</f>
        <v>{                  
         funcDyn: 'msg1',
         blok: 'blok_2',
         wsCross: 'Топливо 4.4',
         linkFormula: 'AE-AE#AF-AF',
         levelDyn: 0
}</v>
      </c>
      <c r="Y65" s="1382"/>
      <c r="Z65" s="1382"/>
      <c r="AB65" s="1435"/>
      <c r="AD65" s="759"/>
      <c r="AE65" s="758" t="s">
        <v>172</v>
      </c>
      <c r="AF65" s="685"/>
      <c r="AG65" s="834"/>
      <c r="AH65" s="673"/>
      <c r="AI65" s="675"/>
      <c r="AJ65" s="675"/>
      <c r="AK65" s="675"/>
      <c r="AL65" s="673"/>
      <c r="AM65" s="675"/>
      <c r="AN65" s="675"/>
      <c r="AO65" s="673"/>
      <c r="AP65" s="675"/>
      <c r="AQ65" s="675"/>
      <c r="AR65" s="673"/>
      <c r="AS65" s="675"/>
      <c r="AT65" s="675"/>
      <c r="AU65" s="673"/>
      <c r="AV65" s="675"/>
      <c r="AW65" s="675"/>
      <c r="AX65" s="673"/>
      <c r="AY65" s="675"/>
      <c r="AZ65" s="675"/>
      <c r="BA65" s="673"/>
      <c r="BB65" s="675"/>
      <c r="BC65" s="675"/>
      <c r="BD65" s="673"/>
      <c r="BE65" s="675"/>
      <c r="BF65" s="675"/>
      <c r="BG65" s="673"/>
      <c r="BH65" s="675"/>
      <c r="BI65" s="675"/>
      <c r="BJ65" s="673"/>
      <c r="BK65" s="675"/>
      <c r="BL65" s="675"/>
      <c r="BM65" s="673"/>
      <c r="BN65" s="675"/>
      <c r="BO65" s="675"/>
      <c r="BP65" s="673"/>
      <c r="BQ65" s="675"/>
      <c r="BR65" s="675"/>
      <c r="BS65" s="673"/>
      <c r="BT65" s="675"/>
      <c r="BU65" s="675"/>
      <c r="BV65" s="673"/>
      <c r="BW65" s="675"/>
      <c r="BX65" s="675"/>
      <c r="BY65" s="673"/>
      <c r="BZ65" s="675"/>
      <c r="CA65" s="675"/>
      <c r="CB65" s="673"/>
      <c r="CC65" s="675"/>
      <c r="CD65" s="675"/>
      <c r="CE65" s="673"/>
      <c r="CF65" s="675"/>
      <c r="CG65" s="675"/>
      <c r="CH65" s="673"/>
      <c r="CI65" s="675"/>
      <c r="CJ65" s="675"/>
      <c r="CK65" s="673"/>
      <c r="CL65" s="675"/>
      <c r="CM65" s="675"/>
      <c r="CN65" s="673"/>
      <c r="CO65" s="675"/>
      <c r="CP65" s="675"/>
      <c r="CQ65" s="673"/>
      <c r="CR65" s="675"/>
      <c r="CS65" s="675"/>
      <c r="CT65" s="33"/>
      <c r="CW65" s="902" t="str">
        <f>IF(AND(ISNUMBER(VALUE(TRIM(SUBSTITUTE(AD65,".","")))),TRIM(SUBSTITUTE(AD65,".",""))&lt;&gt;""),"P"&amp;SUBSTITUTE(AD65,".",""),"")</f>
        <v/>
      </c>
    </row>
    <row r="66" spans="5:104" ht="16.7" hidden="1" customHeight="1">
      <c r="E66" s="623">
        <v>17.100000000000001</v>
      </c>
      <c r="F66" s="714">
        <f t="shared" ca="1" si="35"/>
        <v>0</v>
      </c>
      <c r="S66" s="98" t="b">
        <f t="shared" ca="1" si="36"/>
        <v>0</v>
      </c>
      <c r="U66" s="645" t="b">
        <f t="shared" ca="1" si="8"/>
        <v>0</v>
      </c>
      <c r="Y66" s="1382"/>
      <c r="Z66" s="1382"/>
      <c r="AB66" s="1430" t="s">
        <v>640</v>
      </c>
      <c r="AD66" s="99">
        <v>22</v>
      </c>
      <c r="AE66" s="1443" t="s">
        <v>641</v>
      </c>
      <c r="AF66" s="1444"/>
      <c r="AG66" s="467"/>
      <c r="AH66" s="673"/>
      <c r="AI66" s="675"/>
      <c r="AJ66" s="675"/>
      <c r="AK66" s="675"/>
      <c r="AL66" s="675"/>
      <c r="AM66" s="675"/>
      <c r="AN66" s="675"/>
      <c r="AO66" s="675"/>
      <c r="AP66" s="675"/>
      <c r="AQ66" s="675"/>
      <c r="AR66" s="675"/>
      <c r="AS66" s="675"/>
      <c r="AT66" s="675"/>
      <c r="AU66" s="675"/>
      <c r="AV66" s="675"/>
      <c r="AW66" s="675"/>
      <c r="AX66" s="675"/>
      <c r="AY66" s="675"/>
      <c r="AZ66" s="675"/>
      <c r="BA66" s="675"/>
      <c r="BB66" s="675"/>
      <c r="BC66" s="675"/>
      <c r="BD66" s="675"/>
      <c r="BE66" s="675"/>
      <c r="BF66" s="675"/>
      <c r="BG66" s="675"/>
      <c r="BH66" s="675"/>
      <c r="BI66" s="675"/>
      <c r="BJ66" s="675"/>
      <c r="BK66" s="675"/>
      <c r="BL66" s="675"/>
      <c r="BM66" s="675"/>
      <c r="BN66" s="675"/>
      <c r="BO66" s="675"/>
      <c r="BP66" s="675"/>
      <c r="BQ66" s="675"/>
      <c r="BR66" s="675"/>
      <c r="BS66" s="675"/>
      <c r="BT66" s="675"/>
      <c r="BU66" s="675"/>
      <c r="BV66" s="675"/>
      <c r="BW66" s="675"/>
      <c r="BX66" s="675"/>
      <c r="BY66" s="675"/>
      <c r="BZ66" s="675"/>
      <c r="CA66" s="675"/>
      <c r="CB66" s="675"/>
      <c r="CC66" s="675"/>
      <c r="CD66" s="675"/>
      <c r="CE66" s="675"/>
      <c r="CF66" s="675"/>
      <c r="CG66" s="675"/>
      <c r="CH66" s="675"/>
      <c r="CI66" s="675"/>
      <c r="CJ66" s="675"/>
      <c r="CK66" s="675"/>
      <c r="CL66" s="675"/>
      <c r="CM66" s="675"/>
      <c r="CN66" s="675"/>
      <c r="CO66" s="675"/>
      <c r="CP66" s="675"/>
      <c r="CQ66" s="675"/>
      <c r="CR66" s="675"/>
      <c r="CS66" s="675"/>
      <c r="CT66" s="22"/>
      <c r="CW66" s="902" t="s">
        <v>642</v>
      </c>
    </row>
    <row r="67" spans="5:104" ht="16.7" hidden="1" customHeight="1">
      <c r="E67" s="623">
        <v>17.100000000000001</v>
      </c>
      <c r="F67" s="714">
        <f t="shared" ca="1" si="35"/>
        <v>0</v>
      </c>
      <c r="S67" s="98" t="b">
        <f t="shared" ca="1" si="36"/>
        <v>0</v>
      </c>
      <c r="T67" s="98" t="b">
        <f>AD67&lt;&gt;"22.0"</f>
        <v>0</v>
      </c>
      <c r="U67" s="645" t="b">
        <f t="shared" ca="1" si="8"/>
        <v>0</v>
      </c>
      <c r="X67" s="98" t="s">
        <v>170</v>
      </c>
      <c r="Y67" s="1382"/>
      <c r="Z67" s="1382"/>
      <c r="AB67" s="1431"/>
      <c r="AD67" s="99" t="s">
        <v>643</v>
      </c>
      <c r="AE67" s="757"/>
      <c r="AF67" s="475"/>
      <c r="AG67" s="99" t="s">
        <v>388</v>
      </c>
      <c r="AH67" s="34"/>
      <c r="AI67" s="35"/>
      <c r="AJ67" s="35"/>
      <c r="AK67" s="35"/>
      <c r="AL67" s="788"/>
      <c r="AM67" s="35"/>
      <c r="AN67" s="35"/>
      <c r="AO67" s="788"/>
      <c r="AP67" s="1114"/>
      <c r="AQ67" s="1114"/>
      <c r="AR67" s="788"/>
      <c r="AS67" s="1114"/>
      <c r="AT67" s="1114"/>
      <c r="AU67" s="788"/>
      <c r="AV67" s="35"/>
      <c r="AW67" s="35"/>
      <c r="AX67" s="788"/>
      <c r="AY67" s="35"/>
      <c r="AZ67" s="35"/>
      <c r="BA67" s="788"/>
      <c r="BB67" s="35"/>
      <c r="BC67" s="35"/>
      <c r="BD67" s="788"/>
      <c r="BE67" s="35"/>
      <c r="BF67" s="35"/>
      <c r="BG67" s="788"/>
      <c r="BH67" s="35"/>
      <c r="BI67" s="35"/>
      <c r="BJ67" s="788"/>
      <c r="BK67" s="35"/>
      <c r="BL67" s="35"/>
      <c r="BM67" s="788"/>
      <c r="BN67" s="35"/>
      <c r="BO67" s="35"/>
      <c r="BP67" s="788"/>
      <c r="BQ67" s="787"/>
      <c r="BR67" s="787"/>
      <c r="BS67" s="788"/>
      <c r="BT67" s="1114"/>
      <c r="BU67" s="1114"/>
      <c r="BV67" s="788"/>
      <c r="BW67" s="1114"/>
      <c r="BX67" s="1114"/>
      <c r="BY67" s="788"/>
      <c r="BZ67" s="35"/>
      <c r="CA67" s="35"/>
      <c r="CB67" s="788"/>
      <c r="CC67" s="35"/>
      <c r="CD67" s="35"/>
      <c r="CE67" s="788"/>
      <c r="CF67" s="35"/>
      <c r="CG67" s="35"/>
      <c r="CH67" s="788"/>
      <c r="CI67" s="35"/>
      <c r="CJ67" s="35"/>
      <c r="CK67" s="788"/>
      <c r="CL67" s="35"/>
      <c r="CM67" s="35"/>
      <c r="CN67" s="788"/>
      <c r="CO67" s="35"/>
      <c r="CP67" s="35"/>
      <c r="CQ67" s="788"/>
      <c r="CR67" s="35"/>
      <c r="CS67" s="35"/>
      <c r="CT67" s="22"/>
      <c r="CW67" s="902" t="s">
        <v>642</v>
      </c>
      <c r="CX67" s="907" t="s">
        <v>630</v>
      </c>
      <c r="CY67" s="911">
        <f>AE67</f>
        <v>0</v>
      </c>
      <c r="CZ67" s="911">
        <f>AF67</f>
        <v>0</v>
      </c>
    </row>
    <row r="68" spans="5:104" ht="17.25" hidden="1" customHeight="1">
      <c r="E68" s="623">
        <v>0</v>
      </c>
      <c r="F68" s="714">
        <f t="shared" ca="1" si="35"/>
        <v>0</v>
      </c>
      <c r="S68" s="98" t="b">
        <f t="shared" ca="1" si="36"/>
        <v>0</v>
      </c>
      <c r="U68" s="645" t="b">
        <f t="shared" ca="1" si="8"/>
        <v>0</v>
      </c>
      <c r="X68" s="756" t="str">
        <f>"{                  
         funcDyn: 'msg1',
         blok: 'blok_2',
         wsCross: 'Топливо 4.4',
         linkFormula: 'AE-AE#AF-AF',
         levelDyn: "&amp;Y28&amp;"
}"</f>
        <v>{                  
         funcDyn: 'msg1',
         blok: 'blok_2',
         wsCross: 'Топливо 4.4',
         linkFormula: 'AE-AE#AF-AF',
         levelDyn: 0
}</v>
      </c>
      <c r="Y68" s="1382"/>
      <c r="Z68" s="1382"/>
      <c r="AB68" s="1431"/>
      <c r="AD68" s="759"/>
      <c r="AE68" s="758" t="s">
        <v>172</v>
      </c>
      <c r="AF68" s="685"/>
      <c r="AG68" s="497"/>
      <c r="AH68" s="673"/>
      <c r="AI68" s="675"/>
      <c r="AJ68" s="675"/>
      <c r="AK68" s="675"/>
      <c r="AL68" s="675"/>
      <c r="AM68" s="675"/>
      <c r="AN68" s="675"/>
      <c r="AO68" s="675"/>
      <c r="AP68" s="675"/>
      <c r="AQ68" s="675"/>
      <c r="AR68" s="675"/>
      <c r="AS68" s="675"/>
      <c r="AT68" s="675"/>
      <c r="AU68" s="675"/>
      <c r="AV68" s="675"/>
      <c r="AW68" s="675"/>
      <c r="AX68" s="675"/>
      <c r="AY68" s="675"/>
      <c r="AZ68" s="675"/>
      <c r="BA68" s="675"/>
      <c r="BB68" s="675"/>
      <c r="BC68" s="675"/>
      <c r="BD68" s="675"/>
      <c r="BE68" s="675"/>
      <c r="BF68" s="675"/>
      <c r="BG68" s="675"/>
      <c r="BH68" s="675"/>
      <c r="BI68" s="675"/>
      <c r="BJ68" s="675"/>
      <c r="BK68" s="675"/>
      <c r="BL68" s="675"/>
      <c r="BM68" s="675"/>
      <c r="BN68" s="675"/>
      <c r="BO68" s="675"/>
      <c r="BP68" s="675"/>
      <c r="BQ68" s="675"/>
      <c r="BR68" s="675"/>
      <c r="BS68" s="675"/>
      <c r="BT68" s="675"/>
      <c r="BU68" s="675"/>
      <c r="BV68" s="675"/>
      <c r="BW68" s="675"/>
      <c r="BX68" s="675"/>
      <c r="BY68" s="675"/>
      <c r="BZ68" s="675"/>
      <c r="CA68" s="675"/>
      <c r="CB68" s="675"/>
      <c r="CC68" s="675"/>
      <c r="CD68" s="675"/>
      <c r="CE68" s="675"/>
      <c r="CF68" s="675"/>
      <c r="CG68" s="675"/>
      <c r="CH68" s="675"/>
      <c r="CI68" s="675"/>
      <c r="CJ68" s="675"/>
      <c r="CK68" s="675"/>
      <c r="CL68" s="675"/>
      <c r="CM68" s="675"/>
      <c r="CN68" s="675"/>
      <c r="CO68" s="675"/>
      <c r="CP68" s="675"/>
      <c r="CQ68" s="675"/>
      <c r="CR68" s="675"/>
      <c r="CS68" s="675"/>
      <c r="CT68" s="33"/>
      <c r="CW68" s="902" t="str">
        <f>IF(AND(ISNUMBER(VALUE(TRIM(SUBSTITUTE(AD68,".","")))),TRIM(SUBSTITUTE(AD68,".",""))&lt;&gt;""),"P"&amp;SUBSTITUTE(AD68,".",""),"")</f>
        <v/>
      </c>
    </row>
    <row r="69" spans="5:104" ht="16.7" hidden="1" customHeight="1">
      <c r="E69" s="623">
        <v>17.100000000000001</v>
      </c>
      <c r="F69" s="714">
        <f t="shared" ca="1" si="35"/>
        <v>0</v>
      </c>
      <c r="S69" s="98" t="b">
        <f t="shared" ca="1" si="36"/>
        <v>0</v>
      </c>
      <c r="U69" s="645" t="b">
        <f t="shared" ca="1" si="8"/>
        <v>0</v>
      </c>
      <c r="Y69" s="1382"/>
      <c r="Z69" s="1382"/>
      <c r="AB69" s="1431"/>
      <c r="AD69" s="99">
        <v>23</v>
      </c>
      <c r="AE69" s="1443" t="s">
        <v>644</v>
      </c>
      <c r="AF69" s="1444"/>
      <c r="AG69" s="491"/>
      <c r="AH69" s="673"/>
      <c r="AI69" s="675"/>
      <c r="AJ69" s="675"/>
      <c r="AK69" s="675"/>
      <c r="AL69" s="675"/>
      <c r="AM69" s="675"/>
      <c r="AN69" s="675"/>
      <c r="AO69" s="675"/>
      <c r="AP69" s="675"/>
      <c r="AQ69" s="675"/>
      <c r="AR69" s="675"/>
      <c r="AS69" s="675"/>
      <c r="AT69" s="675"/>
      <c r="AU69" s="675"/>
      <c r="AV69" s="675"/>
      <c r="AW69" s="675"/>
      <c r="AX69" s="675"/>
      <c r="AY69" s="675"/>
      <c r="AZ69" s="675"/>
      <c r="BA69" s="675"/>
      <c r="BB69" s="675"/>
      <c r="BC69" s="675"/>
      <c r="BD69" s="675"/>
      <c r="BE69" s="675"/>
      <c r="BF69" s="675"/>
      <c r="BG69" s="675"/>
      <c r="BH69" s="675"/>
      <c r="BI69" s="675"/>
      <c r="BJ69" s="675"/>
      <c r="BK69" s="675"/>
      <c r="BL69" s="675"/>
      <c r="BM69" s="675"/>
      <c r="BN69" s="675"/>
      <c r="BO69" s="675"/>
      <c r="BP69" s="675"/>
      <c r="BQ69" s="675"/>
      <c r="BR69" s="675"/>
      <c r="BS69" s="675"/>
      <c r="BT69" s="675"/>
      <c r="BU69" s="675"/>
      <c r="BV69" s="675"/>
      <c r="BW69" s="675"/>
      <c r="BX69" s="675"/>
      <c r="BY69" s="675"/>
      <c r="BZ69" s="675"/>
      <c r="CA69" s="675"/>
      <c r="CB69" s="675"/>
      <c r="CC69" s="675"/>
      <c r="CD69" s="675"/>
      <c r="CE69" s="675"/>
      <c r="CF69" s="675"/>
      <c r="CG69" s="675"/>
      <c r="CH69" s="675"/>
      <c r="CI69" s="675"/>
      <c r="CJ69" s="675"/>
      <c r="CK69" s="675"/>
      <c r="CL69" s="675"/>
      <c r="CM69" s="675"/>
      <c r="CN69" s="675"/>
      <c r="CO69" s="675"/>
      <c r="CP69" s="675"/>
      <c r="CQ69" s="675"/>
      <c r="CR69" s="675"/>
      <c r="CS69" s="675"/>
      <c r="CT69" s="22"/>
      <c r="CW69" s="902" t="s">
        <v>645</v>
      </c>
    </row>
    <row r="70" spans="5:104" ht="16.7" hidden="1" customHeight="1">
      <c r="E70" s="623">
        <v>17.100000000000001</v>
      </c>
      <c r="F70" s="714">
        <f t="shared" ca="1" si="35"/>
        <v>0</v>
      </c>
      <c r="S70" s="98" t="b">
        <f t="shared" ca="1" si="36"/>
        <v>0</v>
      </c>
      <c r="T70" s="98" t="b">
        <f>AD70&lt;&gt;"23.0"</f>
        <v>0</v>
      </c>
      <c r="U70" s="645" t="b">
        <f t="shared" ca="1" si="8"/>
        <v>0</v>
      </c>
      <c r="X70" s="98" t="s">
        <v>170</v>
      </c>
      <c r="Y70" s="1382"/>
      <c r="Z70" s="1382"/>
      <c r="AB70" s="1431"/>
      <c r="AD70" s="99" t="s">
        <v>646</v>
      </c>
      <c r="AE70" s="757"/>
      <c r="AF70" s="833"/>
      <c r="AG70" s="835" t="str">
        <f>"руб./"&amp;IFERROR(INDEX(fuel_ed_izm_list,MATCH(AE70,fuel_list,0)),"")</f>
        <v>руб./</v>
      </c>
      <c r="AH70" s="28">
        <f>IFERROR(AH74/AH64,0)*1000</f>
        <v>0</v>
      </c>
      <c r="AI70" s="28">
        <f>IFERROR(AI74/AI64,0)*1000</f>
        <v>0</v>
      </c>
      <c r="AJ70" s="28">
        <f>IFERROR(AJ74/AJ64,0)*1000</f>
        <v>0</v>
      </c>
      <c r="AK70" s="28">
        <f>IFERROR(AK74/AK64,0)*1000</f>
        <v>0</v>
      </c>
      <c r="AL70" s="674">
        <f>IFERROR(AL74/AL64,0)*1000</f>
        <v>0</v>
      </c>
      <c r="AM70" s="29"/>
      <c r="AN70" s="29"/>
      <c r="AO70" s="674">
        <f>IFERROR(AO74/AO64,0)*1000</f>
        <v>0</v>
      </c>
      <c r="AP70" s="1111"/>
      <c r="AQ70" s="1111"/>
      <c r="AR70" s="674">
        <f>IFERROR(AR74/AR64,0)*1000</f>
        <v>0</v>
      </c>
      <c r="AS70" s="1111"/>
      <c r="AT70" s="1111"/>
      <c r="AU70" s="674">
        <f>IFERROR(AU74/AU64,0)*1000</f>
        <v>0</v>
      </c>
      <c r="AV70" s="29"/>
      <c r="AW70" s="29"/>
      <c r="AX70" s="674">
        <f>IFERROR(AX74/AX64,0)*1000</f>
        <v>0</v>
      </c>
      <c r="AY70" s="29"/>
      <c r="AZ70" s="29"/>
      <c r="BA70" s="674">
        <f>IFERROR(BA74/BA64,0)*1000</f>
        <v>0</v>
      </c>
      <c r="BB70" s="29"/>
      <c r="BC70" s="29"/>
      <c r="BD70" s="674">
        <f>IFERROR(BD74/BD64,0)*1000</f>
        <v>0</v>
      </c>
      <c r="BE70" s="29"/>
      <c r="BF70" s="29"/>
      <c r="BG70" s="674">
        <f>IFERROR(BG74/BG64,0)*1000</f>
        <v>0</v>
      </c>
      <c r="BH70" s="29"/>
      <c r="BI70" s="29"/>
      <c r="BJ70" s="674">
        <f>IFERROR(BJ74/BJ64,0)*1000</f>
        <v>0</v>
      </c>
      <c r="BK70" s="29"/>
      <c r="BL70" s="29"/>
      <c r="BM70" s="674">
        <f>IFERROR(BM74/BM64,0)*1000</f>
        <v>0</v>
      </c>
      <c r="BN70" s="29"/>
      <c r="BO70" s="29"/>
      <c r="BP70" s="674">
        <f>IFERROR(BP74/BP64,0)*1000</f>
        <v>0</v>
      </c>
      <c r="BQ70" s="762"/>
      <c r="BR70" s="762"/>
      <c r="BS70" s="674">
        <f>IFERROR(BS74/BS64,0)*1000</f>
        <v>0</v>
      </c>
      <c r="BT70" s="1111"/>
      <c r="BU70" s="1111"/>
      <c r="BV70" s="674">
        <f>IFERROR(BV74/BV64,0)*1000</f>
        <v>0</v>
      </c>
      <c r="BW70" s="1111"/>
      <c r="BX70" s="1111"/>
      <c r="BY70" s="674">
        <f>IFERROR(BY74/BY64,0)*1000</f>
        <v>0</v>
      </c>
      <c r="BZ70" s="29"/>
      <c r="CA70" s="29"/>
      <c r="CB70" s="674">
        <f>IFERROR(CB74/CB64,0)*1000</f>
        <v>0</v>
      </c>
      <c r="CC70" s="29"/>
      <c r="CD70" s="29"/>
      <c r="CE70" s="674">
        <f>IFERROR(CE74/CE64,0)*1000</f>
        <v>0</v>
      </c>
      <c r="CF70" s="29"/>
      <c r="CG70" s="29"/>
      <c r="CH70" s="674">
        <f>IFERROR(CH74/CH64,0)*1000</f>
        <v>0</v>
      </c>
      <c r="CI70" s="29"/>
      <c r="CJ70" s="29"/>
      <c r="CK70" s="674">
        <f>IFERROR(CK74/CK64,0)*1000</f>
        <v>0</v>
      </c>
      <c r="CL70" s="29"/>
      <c r="CM70" s="29"/>
      <c r="CN70" s="674">
        <f>IFERROR(CN74/CN64,0)*1000</f>
        <v>0</v>
      </c>
      <c r="CO70" s="29"/>
      <c r="CP70" s="29"/>
      <c r="CQ70" s="674">
        <f>IFERROR(CQ74/CQ64,0)*1000</f>
        <v>0</v>
      </c>
      <c r="CR70" s="29"/>
      <c r="CS70" s="29"/>
      <c r="CT70" s="22"/>
      <c r="CW70" s="902" t="s">
        <v>645</v>
      </c>
      <c r="CX70" s="907" t="s">
        <v>630</v>
      </c>
      <c r="CY70" s="911">
        <f>AE70</f>
        <v>0</v>
      </c>
      <c r="CZ70" s="911">
        <f>AF70</f>
        <v>0</v>
      </c>
    </row>
    <row r="71" spans="5:104" ht="17.25" hidden="1" customHeight="1">
      <c r="E71" s="623">
        <v>0</v>
      </c>
      <c r="F71" s="714">
        <f t="shared" ca="1" si="35"/>
        <v>0</v>
      </c>
      <c r="S71" s="98" t="b">
        <f t="shared" ca="1" si="36"/>
        <v>0</v>
      </c>
      <c r="U71" s="645" t="b">
        <f t="shared" ca="1" si="8"/>
        <v>0</v>
      </c>
      <c r="X71" s="756" t="str">
        <f>"{                  
         funcDyn: 'msg1',
         blok: 'blok_2',
         wsCross: 'Топливо 4.4',
         linkFormula: 'AE-AE#AF-AF',
         levelDyn: "&amp;Y28&amp;"
}"</f>
        <v>{                  
         funcDyn: 'msg1',
         blok: 'blok_2',
         wsCross: 'Топливо 4.4',
         linkFormula: 'AE-AE#AF-AF',
         levelDyn: 0
}</v>
      </c>
      <c r="Y71" s="1382"/>
      <c r="Z71" s="1382"/>
      <c r="AB71" s="1431"/>
      <c r="AD71" s="759"/>
      <c r="AE71" s="758" t="s">
        <v>172</v>
      </c>
      <c r="AF71" s="685"/>
      <c r="AG71" s="834"/>
      <c r="AH71" s="673"/>
      <c r="AI71" s="675"/>
      <c r="AJ71" s="675"/>
      <c r="AK71" s="675"/>
      <c r="AL71" s="675"/>
      <c r="AM71" s="675"/>
      <c r="AN71" s="675"/>
      <c r="AO71" s="675"/>
      <c r="AP71" s="675"/>
      <c r="AQ71" s="675"/>
      <c r="AR71" s="675"/>
      <c r="AS71" s="675"/>
      <c r="AT71" s="675"/>
      <c r="AU71" s="675"/>
      <c r="AV71" s="675"/>
      <c r="AW71" s="675"/>
      <c r="AX71" s="675"/>
      <c r="AY71" s="675"/>
      <c r="AZ71" s="675"/>
      <c r="BA71" s="675"/>
      <c r="BB71" s="675"/>
      <c r="BC71" s="675"/>
      <c r="BD71" s="675"/>
      <c r="BE71" s="675"/>
      <c r="BF71" s="675"/>
      <c r="BG71" s="675"/>
      <c r="BH71" s="675"/>
      <c r="BI71" s="675"/>
      <c r="BJ71" s="675"/>
      <c r="BK71" s="675"/>
      <c r="BL71" s="675"/>
      <c r="BM71" s="675"/>
      <c r="BN71" s="675"/>
      <c r="BO71" s="675"/>
      <c r="BP71" s="675"/>
      <c r="BQ71" s="675"/>
      <c r="BR71" s="675"/>
      <c r="BS71" s="675"/>
      <c r="BT71" s="675"/>
      <c r="BU71" s="675"/>
      <c r="BV71" s="675"/>
      <c r="BW71" s="675"/>
      <c r="BX71" s="675"/>
      <c r="BY71" s="675"/>
      <c r="BZ71" s="675"/>
      <c r="CA71" s="675"/>
      <c r="CB71" s="675"/>
      <c r="CC71" s="675"/>
      <c r="CD71" s="675"/>
      <c r="CE71" s="675"/>
      <c r="CF71" s="675"/>
      <c r="CG71" s="675"/>
      <c r="CH71" s="675"/>
      <c r="CI71" s="675"/>
      <c r="CJ71" s="675"/>
      <c r="CK71" s="675"/>
      <c r="CL71" s="675"/>
      <c r="CM71" s="675"/>
      <c r="CN71" s="675"/>
      <c r="CO71" s="675"/>
      <c r="CP71" s="675"/>
      <c r="CQ71" s="675"/>
      <c r="CR71" s="675"/>
      <c r="CS71" s="675"/>
      <c r="CT71" s="33"/>
      <c r="CW71" s="902" t="str">
        <f>IF(AND(ISNUMBER(VALUE(TRIM(SUBSTITUTE(AD71,".","")))),TRIM(SUBSTITUTE(AD71,".",""))&lt;&gt;""),"P"&amp;SUBSTITUTE(AD71,".",""),"")</f>
        <v/>
      </c>
    </row>
    <row r="72" spans="5:104" ht="16.7" hidden="1" customHeight="1">
      <c r="E72" s="623">
        <v>17.100000000000001</v>
      </c>
      <c r="F72" s="714">
        <f t="shared" ca="1" si="35"/>
        <v>0</v>
      </c>
      <c r="S72" s="98" t="b">
        <f t="shared" ca="1" si="36"/>
        <v>0</v>
      </c>
      <c r="U72" s="645" t="b">
        <f t="shared" ca="1" si="8"/>
        <v>0</v>
      </c>
      <c r="Y72" s="1382"/>
      <c r="Z72" s="1382"/>
      <c r="AB72" s="1431"/>
      <c r="AD72" s="99">
        <v>24</v>
      </c>
      <c r="AE72" s="1443" t="s">
        <v>647</v>
      </c>
      <c r="AF72" s="1444"/>
      <c r="AG72" s="99" t="s">
        <v>648</v>
      </c>
      <c r="AH72" s="672">
        <f t="shared" ref="AH72:BM72" si="37">SUM(AH74:AH75)</f>
        <v>0</v>
      </c>
      <c r="AI72" s="672">
        <f t="shared" si="37"/>
        <v>0</v>
      </c>
      <c r="AJ72" s="672">
        <f t="shared" si="37"/>
        <v>0</v>
      </c>
      <c r="AK72" s="672">
        <f t="shared" si="37"/>
        <v>0</v>
      </c>
      <c r="AL72" s="672">
        <f t="shared" si="37"/>
        <v>0</v>
      </c>
      <c r="AM72" s="672">
        <f t="shared" si="37"/>
        <v>0</v>
      </c>
      <c r="AN72" s="672">
        <f t="shared" si="37"/>
        <v>0</v>
      </c>
      <c r="AO72" s="672">
        <f t="shared" si="37"/>
        <v>0</v>
      </c>
      <c r="AP72" s="672">
        <f t="shared" si="37"/>
        <v>0</v>
      </c>
      <c r="AQ72" s="672">
        <f t="shared" si="37"/>
        <v>0</v>
      </c>
      <c r="AR72" s="672">
        <f t="shared" si="37"/>
        <v>0</v>
      </c>
      <c r="AS72" s="672">
        <f t="shared" si="37"/>
        <v>0</v>
      </c>
      <c r="AT72" s="672">
        <f t="shared" si="37"/>
        <v>0</v>
      </c>
      <c r="AU72" s="672">
        <f t="shared" si="37"/>
        <v>0</v>
      </c>
      <c r="AV72" s="672">
        <f t="shared" si="37"/>
        <v>0</v>
      </c>
      <c r="AW72" s="672">
        <f t="shared" si="37"/>
        <v>0</v>
      </c>
      <c r="AX72" s="672">
        <f t="shared" si="37"/>
        <v>0</v>
      </c>
      <c r="AY72" s="672">
        <f t="shared" si="37"/>
        <v>0</v>
      </c>
      <c r="AZ72" s="672">
        <f t="shared" si="37"/>
        <v>0</v>
      </c>
      <c r="BA72" s="672">
        <f t="shared" si="37"/>
        <v>0</v>
      </c>
      <c r="BB72" s="672">
        <f t="shared" si="37"/>
        <v>0</v>
      </c>
      <c r="BC72" s="672">
        <f t="shared" si="37"/>
        <v>0</v>
      </c>
      <c r="BD72" s="672">
        <f t="shared" si="37"/>
        <v>0</v>
      </c>
      <c r="BE72" s="672">
        <f t="shared" si="37"/>
        <v>0</v>
      </c>
      <c r="BF72" s="672">
        <f t="shared" si="37"/>
        <v>0</v>
      </c>
      <c r="BG72" s="672">
        <f t="shared" si="37"/>
        <v>0</v>
      </c>
      <c r="BH72" s="672">
        <f t="shared" si="37"/>
        <v>0</v>
      </c>
      <c r="BI72" s="672">
        <f t="shared" si="37"/>
        <v>0</v>
      </c>
      <c r="BJ72" s="672">
        <f t="shared" si="37"/>
        <v>0</v>
      </c>
      <c r="BK72" s="672">
        <f t="shared" si="37"/>
        <v>0</v>
      </c>
      <c r="BL72" s="672">
        <f t="shared" si="37"/>
        <v>0</v>
      </c>
      <c r="BM72" s="672">
        <f t="shared" si="37"/>
        <v>0</v>
      </c>
      <c r="BN72" s="672">
        <f t="shared" ref="BN72:CS72" si="38">SUM(BN74:BN75)</f>
        <v>0</v>
      </c>
      <c r="BO72" s="672">
        <f t="shared" si="38"/>
        <v>0</v>
      </c>
      <c r="BP72" s="672">
        <f t="shared" si="38"/>
        <v>0</v>
      </c>
      <c r="BQ72" s="672">
        <f t="shared" si="38"/>
        <v>0</v>
      </c>
      <c r="BR72" s="672">
        <f t="shared" si="38"/>
        <v>0</v>
      </c>
      <c r="BS72" s="672">
        <f t="shared" si="38"/>
        <v>0</v>
      </c>
      <c r="BT72" s="672">
        <f t="shared" si="38"/>
        <v>0</v>
      </c>
      <c r="BU72" s="672">
        <f t="shared" si="38"/>
        <v>0</v>
      </c>
      <c r="BV72" s="672">
        <f t="shared" si="38"/>
        <v>0</v>
      </c>
      <c r="BW72" s="672">
        <f t="shared" si="38"/>
        <v>0</v>
      </c>
      <c r="BX72" s="672">
        <f t="shared" si="38"/>
        <v>0</v>
      </c>
      <c r="BY72" s="672">
        <f t="shared" si="38"/>
        <v>0</v>
      </c>
      <c r="BZ72" s="672">
        <f t="shared" si="38"/>
        <v>0</v>
      </c>
      <c r="CA72" s="672">
        <f t="shared" si="38"/>
        <v>0</v>
      </c>
      <c r="CB72" s="672">
        <f t="shared" si="38"/>
        <v>0</v>
      </c>
      <c r="CC72" s="672">
        <f t="shared" si="38"/>
        <v>0</v>
      </c>
      <c r="CD72" s="672">
        <f t="shared" si="38"/>
        <v>0</v>
      </c>
      <c r="CE72" s="672">
        <f t="shared" si="38"/>
        <v>0</v>
      </c>
      <c r="CF72" s="672">
        <f t="shared" si="38"/>
        <v>0</v>
      </c>
      <c r="CG72" s="672">
        <f t="shared" si="38"/>
        <v>0</v>
      </c>
      <c r="CH72" s="672">
        <f t="shared" si="38"/>
        <v>0</v>
      </c>
      <c r="CI72" s="672">
        <f t="shared" si="38"/>
        <v>0</v>
      </c>
      <c r="CJ72" s="672">
        <f t="shared" si="38"/>
        <v>0</v>
      </c>
      <c r="CK72" s="672">
        <f t="shared" si="38"/>
        <v>0</v>
      </c>
      <c r="CL72" s="672">
        <f t="shared" si="38"/>
        <v>0</v>
      </c>
      <c r="CM72" s="672">
        <f t="shared" si="38"/>
        <v>0</v>
      </c>
      <c r="CN72" s="672">
        <f t="shared" si="38"/>
        <v>0</v>
      </c>
      <c r="CO72" s="672">
        <f t="shared" si="38"/>
        <v>0</v>
      </c>
      <c r="CP72" s="672">
        <f t="shared" si="38"/>
        <v>0</v>
      </c>
      <c r="CQ72" s="672">
        <f t="shared" si="38"/>
        <v>0</v>
      </c>
      <c r="CR72" s="672">
        <f t="shared" si="38"/>
        <v>0</v>
      </c>
      <c r="CS72" s="672">
        <f t="shared" si="38"/>
        <v>0</v>
      </c>
      <c r="CT72" s="22"/>
      <c r="CW72" s="902" t="s">
        <v>649</v>
      </c>
    </row>
    <row r="73" spans="5:104" ht="16.7" hidden="1" customHeight="1">
      <c r="E73" s="623">
        <v>17.100000000000001</v>
      </c>
      <c r="F73" s="714">
        <f t="shared" ca="1" si="35"/>
        <v>0</v>
      </c>
      <c r="R73" s="714" t="s">
        <v>569</v>
      </c>
      <c r="S73" s="98" t="b">
        <f t="shared" ca="1" si="36"/>
        <v>0</v>
      </c>
      <c r="T73" s="714" t="b">
        <v>0</v>
      </c>
      <c r="U73" s="645" t="b">
        <f t="shared" ca="1" si="8"/>
        <v>0</v>
      </c>
      <c r="Y73" s="1382"/>
      <c r="Z73" s="1382"/>
      <c r="AB73" s="1431"/>
      <c r="AD73" s="99" t="str">
        <f>AD72&amp;".0"</f>
        <v>24.0</v>
      </c>
      <c r="AE73" s="1455" t="s">
        <v>580</v>
      </c>
      <c r="AF73" s="1456"/>
      <c r="AG73" s="99" t="s">
        <v>648</v>
      </c>
      <c r="AH73" s="28">
        <f>AH$52*AH72</f>
        <v>0</v>
      </c>
      <c r="AI73" s="29">
        <f>AI$52*AI72</f>
        <v>0</v>
      </c>
      <c r="AJ73" s="29">
        <f>AJ$52*AJ72</f>
        <v>0</v>
      </c>
      <c r="AK73" s="29">
        <f>AK$52*AK72</f>
        <v>0</v>
      </c>
      <c r="AL73" s="674">
        <f>AM73+AN73</f>
        <v>0</v>
      </c>
      <c r="AM73" s="29">
        <f>AM$52*AM72</f>
        <v>0</v>
      </c>
      <c r="AN73" s="29">
        <f>AN$52*AN72</f>
        <v>0</v>
      </c>
      <c r="AO73" s="674">
        <f>AP73+AQ73</f>
        <v>0</v>
      </c>
      <c r="AP73" s="1111">
        <f>AP$52*AP72</f>
        <v>0</v>
      </c>
      <c r="AQ73" s="1111">
        <f>AQ$52*AQ72</f>
        <v>0</v>
      </c>
      <c r="AR73" s="674">
        <f>AS73+AT73</f>
        <v>0</v>
      </c>
      <c r="AS73" s="1111">
        <f>AS$52*AS72</f>
        <v>0</v>
      </c>
      <c r="AT73" s="1111">
        <f>AT$52*AT72</f>
        <v>0</v>
      </c>
      <c r="AU73" s="674">
        <f>AV73+AW73</f>
        <v>0</v>
      </c>
      <c r="AV73" s="29">
        <f>AV$52*AV72</f>
        <v>0</v>
      </c>
      <c r="AW73" s="29">
        <f>AW$52*AW72</f>
        <v>0</v>
      </c>
      <c r="AX73" s="674">
        <f>AY73+AZ73</f>
        <v>0</v>
      </c>
      <c r="AY73" s="29">
        <f>AY$52*AY72</f>
        <v>0</v>
      </c>
      <c r="AZ73" s="29">
        <f>AZ$52*AZ72</f>
        <v>0</v>
      </c>
      <c r="BA73" s="674">
        <f>BB73+BC73</f>
        <v>0</v>
      </c>
      <c r="BB73" s="29">
        <f>BB$52*BB72</f>
        <v>0</v>
      </c>
      <c r="BC73" s="29">
        <f>BC$52*BC72</f>
        <v>0</v>
      </c>
      <c r="BD73" s="674">
        <f>BE73+BF73</f>
        <v>0</v>
      </c>
      <c r="BE73" s="29">
        <f>BE$52*BE72</f>
        <v>0</v>
      </c>
      <c r="BF73" s="29">
        <f>BF$52*BF72</f>
        <v>0</v>
      </c>
      <c r="BG73" s="674">
        <f>BH73+BI73</f>
        <v>0</v>
      </c>
      <c r="BH73" s="29">
        <f>BH$52*BH72</f>
        <v>0</v>
      </c>
      <c r="BI73" s="29">
        <f>BI$52*BI72</f>
        <v>0</v>
      </c>
      <c r="BJ73" s="674">
        <f>BK73+BL73</f>
        <v>0</v>
      </c>
      <c r="BK73" s="29">
        <f>BK$52*BK72</f>
        <v>0</v>
      </c>
      <c r="BL73" s="29">
        <f>BL$52*BL72</f>
        <v>0</v>
      </c>
      <c r="BM73" s="674">
        <f>BN73+BO73</f>
        <v>0</v>
      </c>
      <c r="BN73" s="29">
        <f>BN$52*BN72</f>
        <v>0</v>
      </c>
      <c r="BO73" s="29">
        <f>BO$52*BO72</f>
        <v>0</v>
      </c>
      <c r="BP73" s="674">
        <f>BQ73+BR73</f>
        <v>0</v>
      </c>
      <c r="BQ73" s="762">
        <f>BQ$52*BQ72</f>
        <v>0</v>
      </c>
      <c r="BR73" s="762">
        <f>BR$52*BR72</f>
        <v>0</v>
      </c>
      <c r="BS73" s="674">
        <f>BT73+BU73</f>
        <v>0</v>
      </c>
      <c r="BT73" s="1111">
        <f>BT$52*BT72</f>
        <v>0</v>
      </c>
      <c r="BU73" s="1111">
        <f>BU$52*BU72</f>
        <v>0</v>
      </c>
      <c r="BV73" s="674">
        <f>BW73+BX73</f>
        <v>0</v>
      </c>
      <c r="BW73" s="1111">
        <f>BW$52*BW72</f>
        <v>0</v>
      </c>
      <c r="BX73" s="1111">
        <f>BX$52*BX72</f>
        <v>0</v>
      </c>
      <c r="BY73" s="674">
        <f>BZ73+CA73</f>
        <v>0</v>
      </c>
      <c r="BZ73" s="29">
        <f>BZ$52*BZ72</f>
        <v>0</v>
      </c>
      <c r="CA73" s="29">
        <f>CA$52*CA72</f>
        <v>0</v>
      </c>
      <c r="CB73" s="674">
        <f>CC73+CD73</f>
        <v>0</v>
      </c>
      <c r="CC73" s="29">
        <f>CC$52*CC72</f>
        <v>0</v>
      </c>
      <c r="CD73" s="29">
        <f>CD$52*CD72</f>
        <v>0</v>
      </c>
      <c r="CE73" s="674">
        <f>CF73+CG73</f>
        <v>0</v>
      </c>
      <c r="CF73" s="29">
        <f>CF$52*CF72</f>
        <v>0</v>
      </c>
      <c r="CG73" s="29">
        <f>CG$52*CG72</f>
        <v>0</v>
      </c>
      <c r="CH73" s="674">
        <f>CI73+CJ73</f>
        <v>0</v>
      </c>
      <c r="CI73" s="29">
        <f>CI$52*CI72</f>
        <v>0</v>
      </c>
      <c r="CJ73" s="29">
        <f>CJ$52*CJ72</f>
        <v>0</v>
      </c>
      <c r="CK73" s="674">
        <f>CL73+CM73</f>
        <v>0</v>
      </c>
      <c r="CL73" s="29">
        <f>CL$52*CL72</f>
        <v>0</v>
      </c>
      <c r="CM73" s="29">
        <f>CM$52*CM72</f>
        <v>0</v>
      </c>
      <c r="CN73" s="674">
        <f>CO73+CP73</f>
        <v>0</v>
      </c>
      <c r="CO73" s="29">
        <f>CO$52*CO72</f>
        <v>0</v>
      </c>
      <c r="CP73" s="29">
        <f>CP$52*CP72</f>
        <v>0</v>
      </c>
      <c r="CQ73" s="674">
        <f>CR73+CS73</f>
        <v>0</v>
      </c>
      <c r="CR73" s="29">
        <f>CR$52*CR72</f>
        <v>0</v>
      </c>
      <c r="CS73" s="29">
        <f>CS$52*CS72</f>
        <v>0</v>
      </c>
      <c r="CT73" s="22"/>
      <c r="CW73" s="902" t="s">
        <v>650</v>
      </c>
    </row>
    <row r="74" spans="5:104" ht="16.7" hidden="1" customHeight="1">
      <c r="E74" s="623">
        <v>17.100000000000001</v>
      </c>
      <c r="F74" s="714">
        <f t="shared" ca="1" si="35"/>
        <v>0</v>
      </c>
      <c r="S74" s="98" t="b">
        <f t="shared" ca="1" si="36"/>
        <v>0</v>
      </c>
      <c r="T74" s="98" t="b">
        <f>AD74&lt;&gt;"24.0"</f>
        <v>0</v>
      </c>
      <c r="U74" s="645" t="b">
        <f t="shared" ca="1" si="8"/>
        <v>0</v>
      </c>
      <c r="X74" s="98" t="s">
        <v>170</v>
      </c>
      <c r="Y74" s="1382"/>
      <c r="Z74" s="1382"/>
      <c r="AB74" s="1431"/>
      <c r="AD74" s="99" t="s">
        <v>651</v>
      </c>
      <c r="AE74" s="757"/>
      <c r="AF74" s="475"/>
      <c r="AG74" s="99" t="s">
        <v>648</v>
      </c>
      <c r="AH74" s="28"/>
      <c r="AI74" s="29"/>
      <c r="AJ74" s="29"/>
      <c r="AK74" s="29"/>
      <c r="AL74" s="674">
        <f>AM74+AN74</f>
        <v>0</v>
      </c>
      <c r="AM74" s="29">
        <f>AM70*AM64/1000</f>
        <v>0</v>
      </c>
      <c r="AN74" s="29">
        <f>AN70*AN64/1000</f>
        <v>0</v>
      </c>
      <c r="AO74" s="674">
        <f>AP74+AQ74</f>
        <v>0</v>
      </c>
      <c r="AP74" s="1111">
        <f>AP70*AP64/1000</f>
        <v>0</v>
      </c>
      <c r="AQ74" s="1111">
        <f>AQ70*AQ64/1000</f>
        <v>0</v>
      </c>
      <c r="AR74" s="674">
        <f>AS74+AT74</f>
        <v>0</v>
      </c>
      <c r="AS74" s="1111">
        <f>AS70*AS64/1000</f>
        <v>0</v>
      </c>
      <c r="AT74" s="1111">
        <f>AT70*AT64/1000</f>
        <v>0</v>
      </c>
      <c r="AU74" s="674">
        <f>AV74+AW74</f>
        <v>0</v>
      </c>
      <c r="AV74" s="29">
        <f>AV70*AV64/1000</f>
        <v>0</v>
      </c>
      <c r="AW74" s="29">
        <f>AW70*AW64/1000</f>
        <v>0</v>
      </c>
      <c r="AX74" s="674">
        <f>AY74+AZ74</f>
        <v>0</v>
      </c>
      <c r="AY74" s="29">
        <f>AY70*AY64/1000</f>
        <v>0</v>
      </c>
      <c r="AZ74" s="29">
        <f>AZ70*AZ64/1000</f>
        <v>0</v>
      </c>
      <c r="BA74" s="674">
        <f>BB74+BC74</f>
        <v>0</v>
      </c>
      <c r="BB74" s="29">
        <f>BB70*BB64/1000</f>
        <v>0</v>
      </c>
      <c r="BC74" s="29">
        <f>BC70*BC64/1000</f>
        <v>0</v>
      </c>
      <c r="BD74" s="674">
        <f>BE74+BF74</f>
        <v>0</v>
      </c>
      <c r="BE74" s="29">
        <f>BE70*BE64/1000</f>
        <v>0</v>
      </c>
      <c r="BF74" s="29">
        <f>BF70*BF64/1000</f>
        <v>0</v>
      </c>
      <c r="BG74" s="674">
        <f>BH74+BI74</f>
        <v>0</v>
      </c>
      <c r="BH74" s="29">
        <f>BH70*BH64/1000</f>
        <v>0</v>
      </c>
      <c r="BI74" s="29">
        <f>BI70*BI64/1000</f>
        <v>0</v>
      </c>
      <c r="BJ74" s="674">
        <f>BK74+BL74</f>
        <v>0</v>
      </c>
      <c r="BK74" s="29">
        <f>BK70*BK64/1000</f>
        <v>0</v>
      </c>
      <c r="BL74" s="29">
        <f>BL70*BL64/1000</f>
        <v>0</v>
      </c>
      <c r="BM74" s="674">
        <f>BN74+BO74</f>
        <v>0</v>
      </c>
      <c r="BN74" s="29">
        <f>BN70*BN64/1000</f>
        <v>0</v>
      </c>
      <c r="BO74" s="29">
        <f>BO70*BO64/1000</f>
        <v>0</v>
      </c>
      <c r="BP74" s="674">
        <f>BQ74+BR74</f>
        <v>0</v>
      </c>
      <c r="BQ74" s="762">
        <f>BQ70*BQ64/1000</f>
        <v>0</v>
      </c>
      <c r="BR74" s="762">
        <f>BR70*BR64/1000</f>
        <v>0</v>
      </c>
      <c r="BS74" s="674">
        <f>BT74+BU74</f>
        <v>0</v>
      </c>
      <c r="BT74" s="1111">
        <f>BT70*BT64/1000</f>
        <v>0</v>
      </c>
      <c r="BU74" s="1111">
        <f>BU70*BU64/1000</f>
        <v>0</v>
      </c>
      <c r="BV74" s="674">
        <f>BW74+BX74</f>
        <v>0</v>
      </c>
      <c r="BW74" s="1111">
        <f>BW70*BW64/1000</f>
        <v>0</v>
      </c>
      <c r="BX74" s="1111">
        <f>BX70*BX64/1000</f>
        <v>0</v>
      </c>
      <c r="BY74" s="674">
        <f>BZ74+CA74</f>
        <v>0</v>
      </c>
      <c r="BZ74" s="29">
        <f>BZ70*BZ64/1000</f>
        <v>0</v>
      </c>
      <c r="CA74" s="29">
        <f>CA70*CA64/1000</f>
        <v>0</v>
      </c>
      <c r="CB74" s="674">
        <f>CC74+CD74</f>
        <v>0</v>
      </c>
      <c r="CC74" s="29">
        <f>CC70*CC64/1000</f>
        <v>0</v>
      </c>
      <c r="CD74" s="29">
        <f>CD70*CD64/1000</f>
        <v>0</v>
      </c>
      <c r="CE74" s="674">
        <f>CF74+CG74</f>
        <v>0</v>
      </c>
      <c r="CF74" s="29">
        <f>CF70*CF64/1000</f>
        <v>0</v>
      </c>
      <c r="CG74" s="29">
        <f>CG70*CG64/1000</f>
        <v>0</v>
      </c>
      <c r="CH74" s="674">
        <f>CI74+CJ74</f>
        <v>0</v>
      </c>
      <c r="CI74" s="29">
        <f>CI70*CI64/1000</f>
        <v>0</v>
      </c>
      <c r="CJ74" s="29">
        <f>CJ70*CJ64/1000</f>
        <v>0</v>
      </c>
      <c r="CK74" s="674">
        <f>CL74+CM74</f>
        <v>0</v>
      </c>
      <c r="CL74" s="29">
        <f>CL70*CL64/1000</f>
        <v>0</v>
      </c>
      <c r="CM74" s="29">
        <f>CM70*CM64/1000</f>
        <v>0</v>
      </c>
      <c r="CN74" s="674">
        <f>CO74+CP74</f>
        <v>0</v>
      </c>
      <c r="CO74" s="29">
        <f>CO70*CO64/1000</f>
        <v>0</v>
      </c>
      <c r="CP74" s="29">
        <f>CP70*CP64/1000</f>
        <v>0</v>
      </c>
      <c r="CQ74" s="674">
        <f>CR74+CS74</f>
        <v>0</v>
      </c>
      <c r="CR74" s="29">
        <f>CR70*CR64/1000</f>
        <v>0</v>
      </c>
      <c r="CS74" s="29">
        <f>CS70*CS64/1000</f>
        <v>0</v>
      </c>
      <c r="CT74" s="22"/>
      <c r="CW74" s="902" t="s">
        <v>650</v>
      </c>
      <c r="CX74" s="907" t="s">
        <v>630</v>
      </c>
      <c r="CY74" s="911">
        <f>AE74</f>
        <v>0</v>
      </c>
      <c r="CZ74" s="911">
        <f>AF74</f>
        <v>0</v>
      </c>
    </row>
    <row r="75" spans="5:104" ht="17.25" hidden="1" customHeight="1">
      <c r="E75" s="623">
        <v>0</v>
      </c>
      <c r="F75" s="714">
        <f t="shared" ca="1" si="35"/>
        <v>0</v>
      </c>
      <c r="S75" s="98" t="b">
        <f t="shared" ca="1" si="36"/>
        <v>0</v>
      </c>
      <c r="U75" s="645" t="b">
        <f t="shared" ca="1" si="8"/>
        <v>0</v>
      </c>
      <c r="X75" s="756" t="str">
        <f>"{                  
         funcDyn: 'msg1',
         blok: 'blok_2',
         wsCross: 'Топливо 4.4',
         linkFormula: 'AE-AE#AF-AF',
         levelDyn: "&amp;Y28&amp;"
}"</f>
        <v>{                  
         funcDyn: 'msg1',
         blok: 'blok_2',
         wsCross: 'Топливо 4.4',
         linkFormula: 'AE-AE#AF-AF',
         levelDyn: 0
}</v>
      </c>
      <c r="Y75" s="1382"/>
      <c r="Z75" s="1382"/>
      <c r="AB75" s="1431"/>
      <c r="AD75" s="759"/>
      <c r="AE75" s="758" t="s">
        <v>172</v>
      </c>
      <c r="AF75" s="685"/>
      <c r="AG75" s="111"/>
      <c r="AH75" s="673"/>
      <c r="AI75" s="675"/>
      <c r="AJ75" s="675"/>
      <c r="AK75" s="675"/>
      <c r="AL75" s="675"/>
      <c r="AM75" s="675"/>
      <c r="AN75" s="675"/>
      <c r="AO75" s="675"/>
      <c r="AP75" s="675"/>
      <c r="AQ75" s="675"/>
      <c r="AR75" s="675"/>
      <c r="AS75" s="675"/>
      <c r="AT75" s="675"/>
      <c r="AU75" s="675"/>
      <c r="AV75" s="675"/>
      <c r="AW75" s="675"/>
      <c r="AX75" s="675"/>
      <c r="AY75" s="675"/>
      <c r="AZ75" s="675"/>
      <c r="BA75" s="675"/>
      <c r="BB75" s="675"/>
      <c r="BC75" s="675"/>
      <c r="BD75" s="675"/>
      <c r="BE75" s="675"/>
      <c r="BF75" s="675"/>
      <c r="BG75" s="675"/>
      <c r="BH75" s="675"/>
      <c r="BI75" s="675"/>
      <c r="BJ75" s="675"/>
      <c r="BK75" s="675"/>
      <c r="BL75" s="675"/>
      <c r="BM75" s="675"/>
      <c r="BN75" s="675"/>
      <c r="BO75" s="675"/>
      <c r="BP75" s="675"/>
      <c r="BQ75" s="675"/>
      <c r="BR75" s="675"/>
      <c r="BS75" s="675"/>
      <c r="BT75" s="675"/>
      <c r="BU75" s="675"/>
      <c r="BV75" s="675"/>
      <c r="BW75" s="675"/>
      <c r="BX75" s="675"/>
      <c r="BY75" s="675"/>
      <c r="BZ75" s="675"/>
      <c r="CA75" s="675"/>
      <c r="CB75" s="675"/>
      <c r="CC75" s="675"/>
      <c r="CD75" s="675"/>
      <c r="CE75" s="675"/>
      <c r="CF75" s="675"/>
      <c r="CG75" s="675"/>
      <c r="CH75" s="675"/>
      <c r="CI75" s="675"/>
      <c r="CJ75" s="675"/>
      <c r="CK75" s="675"/>
      <c r="CL75" s="675"/>
      <c r="CM75" s="675"/>
      <c r="CN75" s="675"/>
      <c r="CO75" s="675"/>
      <c r="CP75" s="675"/>
      <c r="CQ75" s="675"/>
      <c r="CR75" s="675"/>
      <c r="CS75" s="675"/>
      <c r="CT75" s="33"/>
      <c r="CW75" s="902" t="str">
        <f>IF(AND(ISNUMBER(VALUE(TRIM(SUBSTITUTE(AD75,".","")))),TRIM(SUBSTITUTE(AD75,".",""))&lt;&gt;""),"P"&amp;SUBSTITUTE(AD75,".",""),"")</f>
        <v/>
      </c>
    </row>
    <row r="76" spans="5:104" ht="21.95" hidden="1" customHeight="1">
      <c r="E76" s="623">
        <v>22.5</v>
      </c>
      <c r="F76" s="714">
        <f t="shared" ca="1" si="35"/>
        <v>0</v>
      </c>
      <c r="R76" s="714" t="s">
        <v>569</v>
      </c>
      <c r="S76" s="98" t="b">
        <f t="shared" ca="1" si="36"/>
        <v>0</v>
      </c>
      <c r="U76" s="645" t="b">
        <f t="shared" ca="1" si="8"/>
        <v>0</v>
      </c>
      <c r="Y76" s="1382"/>
      <c r="Z76" s="1382"/>
      <c r="AB76" s="1431"/>
      <c r="AD76" s="99">
        <v>25</v>
      </c>
      <c r="AE76" s="1453" t="s">
        <v>652</v>
      </c>
      <c r="AF76" s="1454"/>
      <c r="AG76" s="99" t="s">
        <v>648</v>
      </c>
      <c r="AH76" s="672">
        <f t="shared" ref="AH76:BM76" si="39">SUM(AH77:AH78)</f>
        <v>0</v>
      </c>
      <c r="AI76" s="672">
        <f t="shared" si="39"/>
        <v>0</v>
      </c>
      <c r="AJ76" s="672">
        <f t="shared" si="39"/>
        <v>0</v>
      </c>
      <c r="AK76" s="672">
        <f t="shared" si="39"/>
        <v>0</v>
      </c>
      <c r="AL76" s="672">
        <f t="shared" si="39"/>
        <v>0</v>
      </c>
      <c r="AM76" s="672">
        <f t="shared" si="39"/>
        <v>0</v>
      </c>
      <c r="AN76" s="672">
        <f t="shared" si="39"/>
        <v>0</v>
      </c>
      <c r="AO76" s="672">
        <f t="shared" si="39"/>
        <v>0</v>
      </c>
      <c r="AP76" s="672">
        <f t="shared" si="39"/>
        <v>0</v>
      </c>
      <c r="AQ76" s="672">
        <f t="shared" si="39"/>
        <v>0</v>
      </c>
      <c r="AR76" s="672">
        <f t="shared" si="39"/>
        <v>0</v>
      </c>
      <c r="AS76" s="672">
        <f t="shared" si="39"/>
        <v>0</v>
      </c>
      <c r="AT76" s="672">
        <f t="shared" si="39"/>
        <v>0</v>
      </c>
      <c r="AU76" s="672">
        <f t="shared" si="39"/>
        <v>0</v>
      </c>
      <c r="AV76" s="672">
        <f t="shared" si="39"/>
        <v>0</v>
      </c>
      <c r="AW76" s="672">
        <f t="shared" si="39"/>
        <v>0</v>
      </c>
      <c r="AX76" s="672">
        <f t="shared" si="39"/>
        <v>0</v>
      </c>
      <c r="AY76" s="672">
        <f t="shared" si="39"/>
        <v>0</v>
      </c>
      <c r="AZ76" s="672">
        <f t="shared" si="39"/>
        <v>0</v>
      </c>
      <c r="BA76" s="672">
        <f t="shared" si="39"/>
        <v>0</v>
      </c>
      <c r="BB76" s="672">
        <f t="shared" si="39"/>
        <v>0</v>
      </c>
      <c r="BC76" s="672">
        <f t="shared" si="39"/>
        <v>0</v>
      </c>
      <c r="BD76" s="672">
        <f t="shared" si="39"/>
        <v>0</v>
      </c>
      <c r="BE76" s="672">
        <f t="shared" si="39"/>
        <v>0</v>
      </c>
      <c r="BF76" s="672">
        <f t="shared" si="39"/>
        <v>0</v>
      </c>
      <c r="BG76" s="672">
        <f t="shared" si="39"/>
        <v>0</v>
      </c>
      <c r="BH76" s="672">
        <f t="shared" si="39"/>
        <v>0</v>
      </c>
      <c r="BI76" s="672">
        <f t="shared" si="39"/>
        <v>0</v>
      </c>
      <c r="BJ76" s="672">
        <f t="shared" si="39"/>
        <v>0</v>
      </c>
      <c r="BK76" s="672">
        <f t="shared" si="39"/>
        <v>0</v>
      </c>
      <c r="BL76" s="672">
        <f t="shared" si="39"/>
        <v>0</v>
      </c>
      <c r="BM76" s="672">
        <f t="shared" si="39"/>
        <v>0</v>
      </c>
      <c r="BN76" s="672">
        <f t="shared" ref="BN76:CS76" si="40">SUM(BN77:BN78)</f>
        <v>0</v>
      </c>
      <c r="BO76" s="672">
        <f t="shared" si="40"/>
        <v>0</v>
      </c>
      <c r="BP76" s="672">
        <f t="shared" si="40"/>
        <v>0</v>
      </c>
      <c r="BQ76" s="672">
        <f t="shared" si="40"/>
        <v>0</v>
      </c>
      <c r="BR76" s="672">
        <f t="shared" si="40"/>
        <v>0</v>
      </c>
      <c r="BS76" s="672">
        <f t="shared" si="40"/>
        <v>0</v>
      </c>
      <c r="BT76" s="672">
        <f t="shared" si="40"/>
        <v>0</v>
      </c>
      <c r="BU76" s="672">
        <f t="shared" si="40"/>
        <v>0</v>
      </c>
      <c r="BV76" s="672">
        <f t="shared" si="40"/>
        <v>0</v>
      </c>
      <c r="BW76" s="672">
        <f t="shared" si="40"/>
        <v>0</v>
      </c>
      <c r="BX76" s="672">
        <f t="shared" si="40"/>
        <v>0</v>
      </c>
      <c r="BY76" s="672">
        <f t="shared" si="40"/>
        <v>0</v>
      </c>
      <c r="BZ76" s="672">
        <f t="shared" si="40"/>
        <v>0</v>
      </c>
      <c r="CA76" s="672">
        <f t="shared" si="40"/>
        <v>0</v>
      </c>
      <c r="CB76" s="672">
        <f t="shared" si="40"/>
        <v>0</v>
      </c>
      <c r="CC76" s="672">
        <f t="shared" si="40"/>
        <v>0</v>
      </c>
      <c r="CD76" s="672">
        <f t="shared" si="40"/>
        <v>0</v>
      </c>
      <c r="CE76" s="672">
        <f t="shared" si="40"/>
        <v>0</v>
      </c>
      <c r="CF76" s="672">
        <f t="shared" si="40"/>
        <v>0</v>
      </c>
      <c r="CG76" s="672">
        <f t="shared" si="40"/>
        <v>0</v>
      </c>
      <c r="CH76" s="672">
        <f t="shared" si="40"/>
        <v>0</v>
      </c>
      <c r="CI76" s="672">
        <f t="shared" si="40"/>
        <v>0</v>
      </c>
      <c r="CJ76" s="672">
        <f t="shared" si="40"/>
        <v>0</v>
      </c>
      <c r="CK76" s="672">
        <f t="shared" si="40"/>
        <v>0</v>
      </c>
      <c r="CL76" s="672">
        <f t="shared" si="40"/>
        <v>0</v>
      </c>
      <c r="CM76" s="672">
        <f t="shared" si="40"/>
        <v>0</v>
      </c>
      <c r="CN76" s="672">
        <f t="shared" si="40"/>
        <v>0</v>
      </c>
      <c r="CO76" s="672">
        <f t="shared" si="40"/>
        <v>0</v>
      </c>
      <c r="CP76" s="672">
        <f t="shared" si="40"/>
        <v>0</v>
      </c>
      <c r="CQ76" s="672">
        <f t="shared" si="40"/>
        <v>0</v>
      </c>
      <c r="CR76" s="672">
        <f t="shared" si="40"/>
        <v>0</v>
      </c>
      <c r="CS76" s="672">
        <f t="shared" si="40"/>
        <v>0</v>
      </c>
      <c r="CT76" s="22"/>
      <c r="CW76" s="902" t="s">
        <v>653</v>
      </c>
    </row>
    <row r="77" spans="5:104" ht="16.7" hidden="1" customHeight="1">
      <c r="E77" s="623">
        <v>17.100000000000001</v>
      </c>
      <c r="F77" s="714">
        <f t="shared" ca="1" si="35"/>
        <v>0</v>
      </c>
      <c r="R77" s="714" t="s">
        <v>569</v>
      </c>
      <c r="S77" s="98" t="b">
        <f t="shared" ca="1" si="36"/>
        <v>0</v>
      </c>
      <c r="T77" s="98" t="b">
        <f>AD77&lt;&gt;"25.0"</f>
        <v>0</v>
      </c>
      <c r="U77" s="645" t="b">
        <f t="shared" ca="1" si="8"/>
        <v>0</v>
      </c>
      <c r="X77" s="98" t="s">
        <v>170</v>
      </c>
      <c r="Y77" s="1382"/>
      <c r="Z77" s="1382"/>
      <c r="AB77" s="1431"/>
      <c r="AD77" s="99" t="s">
        <v>654</v>
      </c>
      <c r="AE77" s="757"/>
      <c r="AF77" s="475"/>
      <c r="AG77" s="99" t="s">
        <v>648</v>
      </c>
      <c r="AH77" s="28">
        <f>AH$52*AH74</f>
        <v>0</v>
      </c>
      <c r="AI77" s="29">
        <f>AI$52*AI74</f>
        <v>0</v>
      </c>
      <c r="AJ77" s="29">
        <f>AJ$52*AJ74</f>
        <v>0</v>
      </c>
      <c r="AK77" s="29">
        <f>AK$52*AK74</f>
        <v>0</v>
      </c>
      <c r="AL77" s="674">
        <f>AM77+AN77</f>
        <v>0</v>
      </c>
      <c r="AM77" s="29">
        <f>AM$52*AM74</f>
        <v>0</v>
      </c>
      <c r="AN77" s="29">
        <f>AN$52*AN74</f>
        <v>0</v>
      </c>
      <c r="AO77" s="674">
        <f>AP77+AQ77</f>
        <v>0</v>
      </c>
      <c r="AP77" s="1111">
        <f>AP$52*AP74</f>
        <v>0</v>
      </c>
      <c r="AQ77" s="1111">
        <f>AQ$52*AQ74</f>
        <v>0</v>
      </c>
      <c r="AR77" s="674">
        <f>AS77+AT77</f>
        <v>0</v>
      </c>
      <c r="AS77" s="1111">
        <f>AS$52*AS74</f>
        <v>0</v>
      </c>
      <c r="AT77" s="1111">
        <f>AT$52*AT74</f>
        <v>0</v>
      </c>
      <c r="AU77" s="674">
        <f>AV77+AW77</f>
        <v>0</v>
      </c>
      <c r="AV77" s="29">
        <f>AV$52*AV74</f>
        <v>0</v>
      </c>
      <c r="AW77" s="29">
        <f>AW$52*AW74</f>
        <v>0</v>
      </c>
      <c r="AX77" s="674">
        <f>AY77+AZ77</f>
        <v>0</v>
      </c>
      <c r="AY77" s="29">
        <f>AY$52*AY74</f>
        <v>0</v>
      </c>
      <c r="AZ77" s="29">
        <f>AZ$52*AZ74</f>
        <v>0</v>
      </c>
      <c r="BA77" s="674">
        <f>BB77+BC77</f>
        <v>0</v>
      </c>
      <c r="BB77" s="29">
        <f>BB$52*BB74</f>
        <v>0</v>
      </c>
      <c r="BC77" s="29">
        <f>BC$52*BC74</f>
        <v>0</v>
      </c>
      <c r="BD77" s="674">
        <f>BE77+BF77</f>
        <v>0</v>
      </c>
      <c r="BE77" s="29">
        <f>BE$52*BE74</f>
        <v>0</v>
      </c>
      <c r="BF77" s="29">
        <f>BF$52*BF74</f>
        <v>0</v>
      </c>
      <c r="BG77" s="674">
        <f>BH77+BI77</f>
        <v>0</v>
      </c>
      <c r="BH77" s="29">
        <f>BH$52*BH74</f>
        <v>0</v>
      </c>
      <c r="BI77" s="29">
        <f>BI$52*BI74</f>
        <v>0</v>
      </c>
      <c r="BJ77" s="674">
        <f>BK77+BL77</f>
        <v>0</v>
      </c>
      <c r="BK77" s="29">
        <f>BK$52*BK74</f>
        <v>0</v>
      </c>
      <c r="BL77" s="29">
        <f>BL$52*BL74</f>
        <v>0</v>
      </c>
      <c r="BM77" s="674">
        <f>BN77+BO77</f>
        <v>0</v>
      </c>
      <c r="BN77" s="29">
        <f>BN$52*BN74</f>
        <v>0</v>
      </c>
      <c r="BO77" s="29">
        <f>BO$52*BO74</f>
        <v>0</v>
      </c>
      <c r="BP77" s="674">
        <f>BQ77+BR77</f>
        <v>0</v>
      </c>
      <c r="BQ77" s="762">
        <f>BQ$52*BQ74</f>
        <v>0</v>
      </c>
      <c r="BR77" s="762">
        <f>BR$52*BR74</f>
        <v>0</v>
      </c>
      <c r="BS77" s="674">
        <f>BT77+BU77</f>
        <v>0</v>
      </c>
      <c r="BT77" s="1111">
        <f>BT$52*BT74</f>
        <v>0</v>
      </c>
      <c r="BU77" s="1111">
        <f>BU$52*BU74</f>
        <v>0</v>
      </c>
      <c r="BV77" s="674">
        <f>BW77+BX77</f>
        <v>0</v>
      </c>
      <c r="BW77" s="1111">
        <f>BW$52*BW74</f>
        <v>0</v>
      </c>
      <c r="BX77" s="1111">
        <f>BX$52*BX74</f>
        <v>0</v>
      </c>
      <c r="BY77" s="674">
        <f>BZ77+CA77</f>
        <v>0</v>
      </c>
      <c r="BZ77" s="29">
        <f>BZ$52*BZ74</f>
        <v>0</v>
      </c>
      <c r="CA77" s="29">
        <f>CA$52*CA74</f>
        <v>0</v>
      </c>
      <c r="CB77" s="674">
        <f>CC77+CD77</f>
        <v>0</v>
      </c>
      <c r="CC77" s="29">
        <f>CC$52*CC74</f>
        <v>0</v>
      </c>
      <c r="CD77" s="29">
        <f>CD$52*CD74</f>
        <v>0</v>
      </c>
      <c r="CE77" s="674">
        <f>CF77+CG77</f>
        <v>0</v>
      </c>
      <c r="CF77" s="29">
        <f>CF$52*CF74</f>
        <v>0</v>
      </c>
      <c r="CG77" s="29">
        <f>CG$52*CG74</f>
        <v>0</v>
      </c>
      <c r="CH77" s="674">
        <f>CI77+CJ77</f>
        <v>0</v>
      </c>
      <c r="CI77" s="29">
        <f>CI$52*CI74</f>
        <v>0</v>
      </c>
      <c r="CJ77" s="29">
        <f>CJ$52*CJ74</f>
        <v>0</v>
      </c>
      <c r="CK77" s="674">
        <f>CL77+CM77</f>
        <v>0</v>
      </c>
      <c r="CL77" s="29">
        <f>CL$52*CL74</f>
        <v>0</v>
      </c>
      <c r="CM77" s="29">
        <f>CM$52*CM74</f>
        <v>0</v>
      </c>
      <c r="CN77" s="674">
        <f>CO77+CP77</f>
        <v>0</v>
      </c>
      <c r="CO77" s="29">
        <f>CO$52*CO74</f>
        <v>0</v>
      </c>
      <c r="CP77" s="29">
        <f>CP$52*CP74</f>
        <v>0</v>
      </c>
      <c r="CQ77" s="674">
        <f>CR77+CS77</f>
        <v>0</v>
      </c>
      <c r="CR77" s="29">
        <f>CR$52*CR74</f>
        <v>0</v>
      </c>
      <c r="CS77" s="29">
        <f>CS$52*CS74</f>
        <v>0</v>
      </c>
      <c r="CT77" s="22"/>
      <c r="CW77" s="902" t="s">
        <v>653</v>
      </c>
      <c r="CX77" s="907" t="s">
        <v>630</v>
      </c>
      <c r="CY77" s="911">
        <f>AE77</f>
        <v>0</v>
      </c>
      <c r="CZ77" s="911">
        <f>AF77</f>
        <v>0</v>
      </c>
    </row>
    <row r="78" spans="5:104" ht="15" hidden="1" customHeight="1">
      <c r="E78" s="623">
        <v>0</v>
      </c>
      <c r="F78" s="714">
        <f t="shared" ca="1" si="35"/>
        <v>0</v>
      </c>
      <c r="S78" s="98" t="b">
        <f t="shared" ca="1" si="36"/>
        <v>0</v>
      </c>
      <c r="U78" s="645" t="b">
        <f t="shared" ca="1" si="8"/>
        <v>0</v>
      </c>
      <c r="X78" s="756" t="str">
        <f>"{                  
         funcDyn: 'msg1',
         blok: 'blok_2',
         wsCross: 'Топливо 4.4',
         linkFormula: 'AE-AE#AF-AF',
         levelDyn: "&amp;Y28&amp;"
}"</f>
        <v>{                  
         funcDyn: 'msg1',
         blok: 'blok_2',
         wsCross: 'Топливо 4.4',
         linkFormula: 'AE-AE#AF-AF',
         levelDyn: 0
}</v>
      </c>
      <c r="Y78" s="1382"/>
      <c r="Z78" s="1382"/>
      <c r="AB78" s="1432"/>
      <c r="AD78" s="759"/>
      <c r="AE78" s="758" t="s">
        <v>172</v>
      </c>
      <c r="AF78" s="685"/>
      <c r="AG78" s="497"/>
      <c r="AH78" s="673"/>
      <c r="AI78" s="675"/>
      <c r="AJ78" s="675"/>
      <c r="AK78" s="675"/>
      <c r="AL78" s="675"/>
      <c r="AM78" s="675"/>
      <c r="AN78" s="675"/>
      <c r="AO78" s="675"/>
      <c r="AP78" s="675"/>
      <c r="AQ78" s="675"/>
      <c r="AR78" s="675"/>
      <c r="AS78" s="675"/>
      <c r="AT78" s="675"/>
      <c r="AU78" s="675"/>
      <c r="AV78" s="675"/>
      <c r="AW78" s="675"/>
      <c r="AX78" s="675"/>
      <c r="AY78" s="675"/>
      <c r="AZ78" s="675"/>
      <c r="BA78" s="675"/>
      <c r="BB78" s="675"/>
      <c r="BC78" s="675"/>
      <c r="BD78" s="675"/>
      <c r="BE78" s="675"/>
      <c r="BF78" s="675"/>
      <c r="BG78" s="675"/>
      <c r="BH78" s="675"/>
      <c r="BI78" s="675"/>
      <c r="BJ78" s="675"/>
      <c r="BK78" s="675"/>
      <c r="BL78" s="675"/>
      <c r="BM78" s="675"/>
      <c r="BN78" s="675"/>
      <c r="BO78" s="675"/>
      <c r="BP78" s="675"/>
      <c r="BQ78" s="675"/>
      <c r="BR78" s="675"/>
      <c r="BS78" s="675"/>
      <c r="BT78" s="675"/>
      <c r="BU78" s="675"/>
      <c r="BV78" s="675"/>
      <c r="BW78" s="675"/>
      <c r="BX78" s="675"/>
      <c r="BY78" s="675"/>
      <c r="BZ78" s="675"/>
      <c r="CA78" s="675"/>
      <c r="CB78" s="675"/>
      <c r="CC78" s="675"/>
      <c r="CD78" s="675"/>
      <c r="CE78" s="675"/>
      <c r="CF78" s="675"/>
      <c r="CG78" s="675"/>
      <c r="CH78" s="675"/>
      <c r="CI78" s="675"/>
      <c r="CJ78" s="675"/>
      <c r="CK78" s="675"/>
      <c r="CL78" s="675"/>
      <c r="CM78" s="675"/>
      <c r="CN78" s="675"/>
      <c r="CO78" s="675"/>
      <c r="CP78" s="675"/>
      <c r="CQ78" s="675"/>
      <c r="CR78" s="675"/>
      <c r="CS78" s="675"/>
      <c r="CT78" s="33"/>
      <c r="CW78" s="902" t="str">
        <f>IF(AND(ISNUMBER(VALUE(TRIM(SUBSTITUTE(AD78,".","")))),TRIM(SUBSTITUTE(AD78,".",""))&lt;&gt;""),"P"&amp;SUBSTITUTE(AD78,".",""),"")</f>
        <v/>
      </c>
    </row>
    <row r="79" spans="5:104" ht="16.7" hidden="1" customHeight="1">
      <c r="E79" s="623">
        <v>17.100000000000001</v>
      </c>
      <c r="F79" s="714">
        <f t="shared" ca="1" si="35"/>
        <v>0</v>
      </c>
      <c r="S79" s="98" t="b">
        <f t="shared" ca="1" si="36"/>
        <v>0</v>
      </c>
      <c r="U79" s="645" t="b">
        <f t="shared" ca="1" si="8"/>
        <v>0</v>
      </c>
      <c r="Y79" s="1382"/>
      <c r="Z79" s="1382"/>
      <c r="AB79" s="1436" t="s">
        <v>655</v>
      </c>
      <c r="AD79" s="111">
        <v>26</v>
      </c>
      <c r="AE79" s="1442" t="s">
        <v>656</v>
      </c>
      <c r="AF79" s="1413"/>
      <c r="AG79" s="477"/>
      <c r="AH79" s="673"/>
      <c r="AI79" s="675"/>
      <c r="AJ79" s="675"/>
      <c r="AK79" s="675"/>
      <c r="AL79" s="675"/>
      <c r="AM79" s="675"/>
      <c r="AN79" s="675"/>
      <c r="AO79" s="675"/>
      <c r="AP79" s="675"/>
      <c r="AQ79" s="675"/>
      <c r="AR79" s="675"/>
      <c r="AS79" s="675"/>
      <c r="AT79" s="675"/>
      <c r="AU79" s="675"/>
      <c r="AV79" s="675"/>
      <c r="AW79" s="675"/>
      <c r="AX79" s="675"/>
      <c r="AY79" s="675"/>
      <c r="AZ79" s="675"/>
      <c r="BA79" s="675"/>
      <c r="BB79" s="675"/>
      <c r="BC79" s="675"/>
      <c r="BD79" s="675"/>
      <c r="BE79" s="675"/>
      <c r="BF79" s="675"/>
      <c r="BG79" s="675"/>
      <c r="BH79" s="675"/>
      <c r="BI79" s="675"/>
      <c r="BJ79" s="675"/>
      <c r="BK79" s="675"/>
      <c r="BL79" s="675"/>
      <c r="BM79" s="675"/>
      <c r="BN79" s="675"/>
      <c r="BO79" s="675"/>
      <c r="BP79" s="675"/>
      <c r="BQ79" s="675"/>
      <c r="BR79" s="675"/>
      <c r="BS79" s="675"/>
      <c r="BT79" s="675"/>
      <c r="BU79" s="675"/>
      <c r="BV79" s="675"/>
      <c r="BW79" s="675"/>
      <c r="BX79" s="675"/>
      <c r="BY79" s="675"/>
      <c r="BZ79" s="675"/>
      <c r="CA79" s="675"/>
      <c r="CB79" s="675"/>
      <c r="CC79" s="675"/>
      <c r="CD79" s="675"/>
      <c r="CE79" s="675"/>
      <c r="CF79" s="675"/>
      <c r="CG79" s="675"/>
      <c r="CH79" s="675"/>
      <c r="CI79" s="675"/>
      <c r="CJ79" s="675"/>
      <c r="CK79" s="675"/>
      <c r="CL79" s="675"/>
      <c r="CM79" s="675"/>
      <c r="CN79" s="675"/>
      <c r="CO79" s="675"/>
      <c r="CP79" s="675"/>
      <c r="CQ79" s="675"/>
      <c r="CR79" s="675"/>
      <c r="CS79" s="675"/>
      <c r="CT79" s="22"/>
      <c r="CW79" s="902" t="s">
        <v>657</v>
      </c>
    </row>
    <row r="80" spans="5:104" ht="16.7" hidden="1" customHeight="1">
      <c r="E80" s="623">
        <v>17.100000000000001</v>
      </c>
      <c r="F80" s="714">
        <f t="shared" ca="1" si="35"/>
        <v>0</v>
      </c>
      <c r="S80" s="98" t="b">
        <f t="shared" ca="1" si="36"/>
        <v>0</v>
      </c>
      <c r="T80" s="98" t="b">
        <f>AD80&lt;&gt;"26.0"</f>
        <v>0</v>
      </c>
      <c r="U80" s="645" t="b">
        <f t="shared" ca="1" si="8"/>
        <v>0</v>
      </c>
      <c r="X80" s="98" t="s">
        <v>170</v>
      </c>
      <c r="Y80" s="1382"/>
      <c r="Z80" s="1382"/>
      <c r="AB80" s="1437"/>
      <c r="AD80" s="99" t="s">
        <v>658</v>
      </c>
      <c r="AE80" s="757"/>
      <c r="AF80" s="475"/>
      <c r="AG80" s="111" t="s">
        <v>388</v>
      </c>
      <c r="AH80" s="32"/>
      <c r="AI80" s="36"/>
      <c r="AJ80" s="36"/>
      <c r="AK80" s="36"/>
      <c r="AL80" s="675"/>
      <c r="AM80" s="29"/>
      <c r="AN80" s="29"/>
      <c r="AO80" s="675"/>
      <c r="AP80" s="1115"/>
      <c r="AQ80" s="1115"/>
      <c r="AR80" s="675"/>
      <c r="AS80" s="1115"/>
      <c r="AT80" s="1115"/>
      <c r="AU80" s="675"/>
      <c r="AV80" s="36"/>
      <c r="AW80" s="36"/>
      <c r="AX80" s="675"/>
      <c r="AY80" s="36"/>
      <c r="AZ80" s="36"/>
      <c r="BA80" s="675"/>
      <c r="BB80" s="36"/>
      <c r="BC80" s="36"/>
      <c r="BD80" s="675"/>
      <c r="BE80" s="36"/>
      <c r="BF80" s="36"/>
      <c r="BG80" s="675"/>
      <c r="BH80" s="36"/>
      <c r="BI80" s="36"/>
      <c r="BJ80" s="675"/>
      <c r="BK80" s="36"/>
      <c r="BL80" s="36"/>
      <c r="BM80" s="675"/>
      <c r="BN80" s="36"/>
      <c r="BO80" s="36"/>
      <c r="BP80" s="675"/>
      <c r="BQ80" s="765"/>
      <c r="BR80" s="765"/>
      <c r="BS80" s="675"/>
      <c r="BT80" s="1115"/>
      <c r="BU80" s="1115"/>
      <c r="BV80" s="675"/>
      <c r="BW80" s="1115"/>
      <c r="BX80" s="1115"/>
      <c r="BY80" s="675"/>
      <c r="BZ80" s="36"/>
      <c r="CA80" s="36"/>
      <c r="CB80" s="675"/>
      <c r="CC80" s="36"/>
      <c r="CD80" s="36"/>
      <c r="CE80" s="675"/>
      <c r="CF80" s="36"/>
      <c r="CG80" s="36"/>
      <c r="CH80" s="675"/>
      <c r="CI80" s="36"/>
      <c r="CJ80" s="36"/>
      <c r="CK80" s="675"/>
      <c r="CL80" s="36"/>
      <c r="CM80" s="36"/>
      <c r="CN80" s="675"/>
      <c r="CO80" s="36"/>
      <c r="CP80" s="36"/>
      <c r="CQ80" s="675"/>
      <c r="CR80" s="36"/>
      <c r="CS80" s="36"/>
      <c r="CT80" s="22"/>
      <c r="CW80" s="902" t="s">
        <v>657</v>
      </c>
      <c r="CX80" s="907" t="s">
        <v>630</v>
      </c>
      <c r="CY80" s="911">
        <f>AE80</f>
        <v>0</v>
      </c>
      <c r="CZ80" s="911">
        <f>AF80</f>
        <v>0</v>
      </c>
    </row>
    <row r="81" spans="5:104" ht="15" hidden="1" customHeight="1">
      <c r="E81" s="623">
        <v>0</v>
      </c>
      <c r="F81" s="714">
        <f t="shared" ca="1" si="35"/>
        <v>0</v>
      </c>
      <c r="S81" s="98" t="b">
        <f t="shared" ca="1" si="36"/>
        <v>0</v>
      </c>
      <c r="U81" s="645" t="b">
        <f t="shared" ca="1" si="8"/>
        <v>0</v>
      </c>
      <c r="X81" s="756" t="str">
        <f>"{                  
         funcDyn: 'msg1',
         blok: 'blok_2',
         wsCross: 'Топливо 4.4',
         linkFormula: 'AE-AE#AF-AF',
         levelDyn: "&amp;Y28&amp;"
}"</f>
        <v>{                  
         funcDyn: 'msg1',
         blok: 'blok_2',
         wsCross: 'Топливо 4.4',
         linkFormula: 'AE-AE#AF-AF',
         levelDyn: 0
}</v>
      </c>
      <c r="Y81" s="1382"/>
      <c r="Z81" s="1382"/>
      <c r="AB81" s="1437"/>
      <c r="AD81" s="759"/>
      <c r="AE81" s="758" t="s">
        <v>172</v>
      </c>
      <c r="AF81" s="685"/>
      <c r="AG81" s="111"/>
      <c r="AH81" s="686"/>
      <c r="AI81" s="37"/>
      <c r="AJ81" s="37"/>
      <c r="AK81" s="37"/>
      <c r="AL81" s="675"/>
      <c r="AM81" s="37"/>
      <c r="AN81" s="37"/>
      <c r="AO81" s="675"/>
      <c r="AP81" s="37"/>
      <c r="AQ81" s="37"/>
      <c r="AR81" s="675"/>
      <c r="AS81" s="37"/>
      <c r="AT81" s="37"/>
      <c r="AU81" s="675"/>
      <c r="AV81" s="37"/>
      <c r="AW81" s="37"/>
      <c r="AX81" s="675"/>
      <c r="AY81" s="37"/>
      <c r="AZ81" s="37"/>
      <c r="BA81" s="675"/>
      <c r="BB81" s="37"/>
      <c r="BC81" s="37"/>
      <c r="BD81" s="675"/>
      <c r="BE81" s="37"/>
      <c r="BF81" s="37"/>
      <c r="BG81" s="675"/>
      <c r="BH81" s="37"/>
      <c r="BI81" s="37"/>
      <c r="BJ81" s="675"/>
      <c r="BK81" s="37"/>
      <c r="BL81" s="37"/>
      <c r="BM81" s="675"/>
      <c r="BN81" s="37"/>
      <c r="BO81" s="37"/>
      <c r="BP81" s="675"/>
      <c r="BQ81" s="37"/>
      <c r="BR81" s="37"/>
      <c r="BS81" s="675"/>
      <c r="BT81" s="37"/>
      <c r="BU81" s="37"/>
      <c r="BV81" s="675"/>
      <c r="BW81" s="37"/>
      <c r="BX81" s="37"/>
      <c r="BY81" s="675"/>
      <c r="BZ81" s="37"/>
      <c r="CA81" s="37"/>
      <c r="CB81" s="675"/>
      <c r="CC81" s="37"/>
      <c r="CD81" s="37"/>
      <c r="CE81" s="675"/>
      <c r="CF81" s="37"/>
      <c r="CG81" s="37"/>
      <c r="CH81" s="675"/>
      <c r="CI81" s="37"/>
      <c r="CJ81" s="37"/>
      <c r="CK81" s="675"/>
      <c r="CL81" s="37"/>
      <c r="CM81" s="37"/>
      <c r="CN81" s="675"/>
      <c r="CO81" s="37"/>
      <c r="CP81" s="37"/>
      <c r="CQ81" s="675"/>
      <c r="CR81" s="37"/>
      <c r="CS81" s="37"/>
      <c r="CT81" s="33"/>
      <c r="CW81" s="902" t="str">
        <f>IF(AND(ISNUMBER(VALUE(TRIM(SUBSTITUTE(AD81,".","")))),TRIM(SUBSTITUTE(AD81,".",""))&lt;&gt;""),"P"&amp;SUBSTITUTE(AD81,".",""),"")</f>
        <v/>
      </c>
    </row>
    <row r="82" spans="5:104" ht="16.7" hidden="1" customHeight="1">
      <c r="E82" s="623">
        <v>17.100000000000001</v>
      </c>
      <c r="F82" s="714">
        <f t="shared" ca="1" si="35"/>
        <v>0</v>
      </c>
      <c r="S82" s="98" t="b">
        <f t="shared" ca="1" si="36"/>
        <v>0</v>
      </c>
      <c r="U82" s="645" t="b">
        <f t="shared" ca="1" si="8"/>
        <v>0</v>
      </c>
      <c r="Y82" s="1382"/>
      <c r="Z82" s="1382"/>
      <c r="AB82" s="1437"/>
      <c r="AD82" s="111">
        <v>27</v>
      </c>
      <c r="AE82" s="1442" t="s">
        <v>659</v>
      </c>
      <c r="AF82" s="1413"/>
      <c r="AG82" s="477"/>
      <c r="AH82" s="673"/>
      <c r="AI82" s="675"/>
      <c r="AJ82" s="675"/>
      <c r="AK82" s="675"/>
      <c r="AL82" s="675"/>
      <c r="AM82" s="675"/>
      <c r="AN82" s="675"/>
      <c r="AO82" s="675"/>
      <c r="AP82" s="675"/>
      <c r="AQ82" s="675"/>
      <c r="AR82" s="675"/>
      <c r="AS82" s="675"/>
      <c r="AT82" s="675"/>
      <c r="AU82" s="675"/>
      <c r="AV82" s="675"/>
      <c r="AW82" s="675"/>
      <c r="AX82" s="675"/>
      <c r="AY82" s="675"/>
      <c r="AZ82" s="675"/>
      <c r="BA82" s="675"/>
      <c r="BB82" s="675"/>
      <c r="BC82" s="675"/>
      <c r="BD82" s="675"/>
      <c r="BE82" s="675"/>
      <c r="BF82" s="675"/>
      <c r="BG82" s="675"/>
      <c r="BH82" s="675"/>
      <c r="BI82" s="675"/>
      <c r="BJ82" s="675"/>
      <c r="BK82" s="675"/>
      <c r="BL82" s="675"/>
      <c r="BM82" s="675"/>
      <c r="BN82" s="675"/>
      <c r="BO82" s="675"/>
      <c r="BP82" s="675"/>
      <c r="BQ82" s="675"/>
      <c r="BR82" s="675"/>
      <c r="BS82" s="675"/>
      <c r="BT82" s="675"/>
      <c r="BU82" s="675"/>
      <c r="BV82" s="675"/>
      <c r="BW82" s="675"/>
      <c r="BX82" s="675"/>
      <c r="BY82" s="675"/>
      <c r="BZ82" s="675"/>
      <c r="CA82" s="675"/>
      <c r="CB82" s="675"/>
      <c r="CC82" s="675"/>
      <c r="CD82" s="675"/>
      <c r="CE82" s="675"/>
      <c r="CF82" s="675"/>
      <c r="CG82" s="675"/>
      <c r="CH82" s="675"/>
      <c r="CI82" s="675"/>
      <c r="CJ82" s="675"/>
      <c r="CK82" s="675"/>
      <c r="CL82" s="675"/>
      <c r="CM82" s="675"/>
      <c r="CN82" s="675"/>
      <c r="CO82" s="675"/>
      <c r="CP82" s="675"/>
      <c r="CQ82" s="675"/>
      <c r="CR82" s="675"/>
      <c r="CS82" s="675"/>
      <c r="CT82" s="22"/>
      <c r="CW82" s="902" t="s">
        <v>660</v>
      </c>
    </row>
    <row r="83" spans="5:104" ht="16.7" hidden="1" customHeight="1">
      <c r="E83" s="623">
        <v>17.100000000000001</v>
      </c>
      <c r="F83" s="714">
        <f t="shared" ca="1" si="35"/>
        <v>0</v>
      </c>
      <c r="S83" s="98" t="b">
        <f t="shared" ca="1" si="36"/>
        <v>0</v>
      </c>
      <c r="T83" s="98" t="b">
        <f>AD83&lt;&gt;"27.0"</f>
        <v>0</v>
      </c>
      <c r="U83" s="645" t="b">
        <f t="shared" ca="1" si="8"/>
        <v>0</v>
      </c>
      <c r="X83" s="98" t="s">
        <v>170</v>
      </c>
      <c r="Y83" s="1382"/>
      <c r="Z83" s="1382"/>
      <c r="AB83" s="1437"/>
      <c r="AD83" s="99" t="s">
        <v>661</v>
      </c>
      <c r="AE83" s="757"/>
      <c r="AF83" s="475"/>
      <c r="AG83" s="835" t="str">
        <f>"руб./"&amp;IFERROR(INDEX(fuel_ed_izm_list,MATCH(AE83,fuel_list,0)),"")</f>
        <v>руб./</v>
      </c>
      <c r="AH83" s="28">
        <f>IFERROR(AH87/AH64,0)*1000</f>
        <v>0</v>
      </c>
      <c r="AI83" s="28">
        <f>IFERROR(AI87/AI64,0)*1000</f>
        <v>0</v>
      </c>
      <c r="AJ83" s="28">
        <f>IFERROR(AJ87/AJ64,0)*1000</f>
        <v>0</v>
      </c>
      <c r="AK83" s="28">
        <f>IFERROR(AK87/AK64,0)*1000</f>
        <v>0</v>
      </c>
      <c r="AL83" s="674">
        <f>IFERROR(AL87/AL64,0)*1000</f>
        <v>0</v>
      </c>
      <c r="AM83" s="29"/>
      <c r="AN83" s="29"/>
      <c r="AO83" s="674">
        <f>IFERROR(AO87/AO64,0)*1000</f>
        <v>0</v>
      </c>
      <c r="AP83" s="1111"/>
      <c r="AQ83" s="1111"/>
      <c r="AR83" s="674">
        <f>IFERROR(AR87/AR64,0)*1000</f>
        <v>0</v>
      </c>
      <c r="AS83" s="1111"/>
      <c r="AT83" s="1111"/>
      <c r="AU83" s="674">
        <f>IFERROR(AU87/AU64,0)*1000</f>
        <v>0</v>
      </c>
      <c r="AV83" s="29"/>
      <c r="AW83" s="29"/>
      <c r="AX83" s="674">
        <f>IFERROR(AX87/AX64,0)*1000</f>
        <v>0</v>
      </c>
      <c r="AY83" s="29"/>
      <c r="AZ83" s="29"/>
      <c r="BA83" s="674">
        <f>IFERROR(BA87/BA64,0)*1000</f>
        <v>0</v>
      </c>
      <c r="BB83" s="29"/>
      <c r="BC83" s="29"/>
      <c r="BD83" s="674">
        <f>IFERROR(BD87/BD64,0)*1000</f>
        <v>0</v>
      </c>
      <c r="BE83" s="29"/>
      <c r="BF83" s="29"/>
      <c r="BG83" s="674">
        <f>IFERROR(BG87/BG64,0)*1000</f>
        <v>0</v>
      </c>
      <c r="BH83" s="29"/>
      <c r="BI83" s="29"/>
      <c r="BJ83" s="674">
        <f>IFERROR(BJ87/BJ64,0)*1000</f>
        <v>0</v>
      </c>
      <c r="BK83" s="29"/>
      <c r="BL83" s="29"/>
      <c r="BM83" s="674">
        <f>IFERROR(BM87/BM64,0)*1000</f>
        <v>0</v>
      </c>
      <c r="BN83" s="29"/>
      <c r="BO83" s="29"/>
      <c r="BP83" s="674">
        <f>IFERROR(BP87/BP64,0)*1000</f>
        <v>0</v>
      </c>
      <c r="BQ83" s="762"/>
      <c r="BR83" s="762"/>
      <c r="BS83" s="674">
        <f>IFERROR(BS87/BS64,0)*1000</f>
        <v>0</v>
      </c>
      <c r="BT83" s="1111"/>
      <c r="BU83" s="1111"/>
      <c r="BV83" s="674">
        <f>IFERROR(BV87/BV64,0)*1000</f>
        <v>0</v>
      </c>
      <c r="BW83" s="1111"/>
      <c r="BX83" s="1111"/>
      <c r="BY83" s="674">
        <f>IFERROR(BY87/BY64,0)*1000</f>
        <v>0</v>
      </c>
      <c r="BZ83" s="29"/>
      <c r="CA83" s="29"/>
      <c r="CB83" s="674">
        <f>IFERROR(CB87/CB64,0)*1000</f>
        <v>0</v>
      </c>
      <c r="CC83" s="29"/>
      <c r="CD83" s="29"/>
      <c r="CE83" s="674">
        <f>IFERROR(CE87/CE64,0)*1000</f>
        <v>0</v>
      </c>
      <c r="CF83" s="29"/>
      <c r="CG83" s="29"/>
      <c r="CH83" s="674">
        <f>IFERROR(CH87/CH64,0)*1000</f>
        <v>0</v>
      </c>
      <c r="CI83" s="29"/>
      <c r="CJ83" s="29"/>
      <c r="CK83" s="674">
        <f>IFERROR(CK87/CK64,0)*1000</f>
        <v>0</v>
      </c>
      <c r="CL83" s="29"/>
      <c r="CM83" s="29"/>
      <c r="CN83" s="674">
        <f>IFERROR(CN87/CN64,0)*1000</f>
        <v>0</v>
      </c>
      <c r="CO83" s="29"/>
      <c r="CP83" s="29"/>
      <c r="CQ83" s="674">
        <f>IFERROR(CQ87/CQ64,0)*1000</f>
        <v>0</v>
      </c>
      <c r="CR83" s="29"/>
      <c r="CS83" s="29"/>
      <c r="CT83" s="22"/>
      <c r="CW83" s="902" t="s">
        <v>660</v>
      </c>
      <c r="CX83" s="907" t="s">
        <v>630</v>
      </c>
      <c r="CY83" s="911">
        <f>AE83</f>
        <v>0</v>
      </c>
      <c r="CZ83" s="911">
        <f>AF83</f>
        <v>0</v>
      </c>
    </row>
    <row r="84" spans="5:104" ht="15" hidden="1" customHeight="1">
      <c r="E84" s="623">
        <v>0</v>
      </c>
      <c r="F84" s="714">
        <f t="shared" ca="1" si="35"/>
        <v>0</v>
      </c>
      <c r="S84" s="98" t="b">
        <f t="shared" ca="1" si="36"/>
        <v>0</v>
      </c>
      <c r="U84" s="645" t="b">
        <f t="shared" ca="1" si="8"/>
        <v>0</v>
      </c>
      <c r="X84" s="756" t="str">
        <f>"{                  
         funcDyn: 'msg1',
         blok: 'blok_2',
         wsCross: 'Топливо 4.4',
         linkFormula: 'AE-AE#AF-AF',
         levelDyn: "&amp;Y28&amp;"
}"</f>
        <v>{                  
         funcDyn: 'msg1',
         blok: 'blok_2',
         wsCross: 'Топливо 4.4',
         linkFormula: 'AE-AE#AF-AF',
         levelDyn: 0
}</v>
      </c>
      <c r="Y84" s="1382"/>
      <c r="Z84" s="1382"/>
      <c r="AB84" s="1437"/>
      <c r="AD84" s="759"/>
      <c r="AE84" s="758" t="s">
        <v>172</v>
      </c>
      <c r="AF84" s="685"/>
      <c r="AG84" s="111"/>
      <c r="AH84" s="673"/>
      <c r="AI84" s="675"/>
      <c r="AJ84" s="675"/>
      <c r="AK84" s="675"/>
      <c r="AL84" s="675"/>
      <c r="AM84" s="675"/>
      <c r="AN84" s="675"/>
      <c r="AO84" s="675"/>
      <c r="AP84" s="675"/>
      <c r="AQ84" s="675"/>
      <c r="AR84" s="675"/>
      <c r="AS84" s="675"/>
      <c r="AT84" s="675"/>
      <c r="AU84" s="675"/>
      <c r="AV84" s="675"/>
      <c r="AW84" s="675"/>
      <c r="AX84" s="675"/>
      <c r="AY84" s="675"/>
      <c r="AZ84" s="675"/>
      <c r="BA84" s="675"/>
      <c r="BB84" s="675"/>
      <c r="BC84" s="675"/>
      <c r="BD84" s="675"/>
      <c r="BE84" s="675"/>
      <c r="BF84" s="675"/>
      <c r="BG84" s="675"/>
      <c r="BH84" s="675"/>
      <c r="BI84" s="675"/>
      <c r="BJ84" s="675"/>
      <c r="BK84" s="675"/>
      <c r="BL84" s="675"/>
      <c r="BM84" s="675"/>
      <c r="BN84" s="675"/>
      <c r="BO84" s="675"/>
      <c r="BP84" s="675"/>
      <c r="BQ84" s="675"/>
      <c r="BR84" s="675"/>
      <c r="BS84" s="675"/>
      <c r="BT84" s="675"/>
      <c r="BU84" s="675"/>
      <c r="BV84" s="675"/>
      <c r="BW84" s="675"/>
      <c r="BX84" s="675"/>
      <c r="BY84" s="675"/>
      <c r="BZ84" s="675"/>
      <c r="CA84" s="675"/>
      <c r="CB84" s="675"/>
      <c r="CC84" s="675"/>
      <c r="CD84" s="675"/>
      <c r="CE84" s="675"/>
      <c r="CF84" s="675"/>
      <c r="CG84" s="675"/>
      <c r="CH84" s="675"/>
      <c r="CI84" s="675"/>
      <c r="CJ84" s="675"/>
      <c r="CK84" s="675"/>
      <c r="CL84" s="675"/>
      <c r="CM84" s="675"/>
      <c r="CN84" s="675"/>
      <c r="CO84" s="675"/>
      <c r="CP84" s="675"/>
      <c r="CQ84" s="675"/>
      <c r="CR84" s="675"/>
      <c r="CS84" s="675"/>
      <c r="CT84" s="33"/>
      <c r="CW84" s="902" t="str">
        <f>IF(AND(ISNUMBER(VALUE(TRIM(SUBSTITUTE(AD84,".","")))),TRIM(SUBSTITUTE(AD84,".",""))&lt;&gt;""),"P"&amp;SUBSTITUTE(AD84,".",""),"")</f>
        <v/>
      </c>
    </row>
    <row r="85" spans="5:104" ht="16.7" hidden="1" customHeight="1">
      <c r="E85" s="623">
        <v>17.100000000000001</v>
      </c>
      <c r="F85" s="714">
        <f t="shared" ca="1" si="35"/>
        <v>0</v>
      </c>
      <c r="S85" s="98" t="b">
        <f t="shared" ca="1" si="36"/>
        <v>0</v>
      </c>
      <c r="U85" s="645" t="b">
        <f t="shared" ca="1" si="8"/>
        <v>0</v>
      </c>
      <c r="Y85" s="1382"/>
      <c r="Z85" s="1382"/>
      <c r="AB85" s="1437"/>
      <c r="AD85" s="111">
        <v>28</v>
      </c>
      <c r="AE85" s="1442" t="s">
        <v>662</v>
      </c>
      <c r="AF85" s="1413"/>
      <c r="AG85" s="111" t="s">
        <v>648</v>
      </c>
      <c r="AH85" s="672">
        <f t="shared" ref="AH85:BM85" si="41">SUM(AH87:AH88)</f>
        <v>0</v>
      </c>
      <c r="AI85" s="672">
        <f t="shared" si="41"/>
        <v>0</v>
      </c>
      <c r="AJ85" s="672">
        <f t="shared" si="41"/>
        <v>0</v>
      </c>
      <c r="AK85" s="672">
        <f t="shared" si="41"/>
        <v>0</v>
      </c>
      <c r="AL85" s="672">
        <f t="shared" si="41"/>
        <v>0</v>
      </c>
      <c r="AM85" s="672">
        <f t="shared" si="41"/>
        <v>0</v>
      </c>
      <c r="AN85" s="672">
        <f t="shared" si="41"/>
        <v>0</v>
      </c>
      <c r="AO85" s="672">
        <f t="shared" si="41"/>
        <v>0</v>
      </c>
      <c r="AP85" s="672">
        <f t="shared" si="41"/>
        <v>0</v>
      </c>
      <c r="AQ85" s="672">
        <f t="shared" si="41"/>
        <v>0</v>
      </c>
      <c r="AR85" s="672">
        <f t="shared" si="41"/>
        <v>0</v>
      </c>
      <c r="AS85" s="672">
        <f t="shared" si="41"/>
        <v>0</v>
      </c>
      <c r="AT85" s="672">
        <f t="shared" si="41"/>
        <v>0</v>
      </c>
      <c r="AU85" s="672">
        <f t="shared" si="41"/>
        <v>0</v>
      </c>
      <c r="AV85" s="672">
        <f t="shared" si="41"/>
        <v>0</v>
      </c>
      <c r="AW85" s="672">
        <f t="shared" si="41"/>
        <v>0</v>
      </c>
      <c r="AX85" s="672">
        <f t="shared" si="41"/>
        <v>0</v>
      </c>
      <c r="AY85" s="672">
        <f t="shared" si="41"/>
        <v>0</v>
      </c>
      <c r="AZ85" s="672">
        <f t="shared" si="41"/>
        <v>0</v>
      </c>
      <c r="BA85" s="672">
        <f t="shared" si="41"/>
        <v>0</v>
      </c>
      <c r="BB85" s="672">
        <f t="shared" si="41"/>
        <v>0</v>
      </c>
      <c r="BC85" s="672">
        <f t="shared" si="41"/>
        <v>0</v>
      </c>
      <c r="BD85" s="672">
        <f t="shared" si="41"/>
        <v>0</v>
      </c>
      <c r="BE85" s="672">
        <f t="shared" si="41"/>
        <v>0</v>
      </c>
      <c r="BF85" s="672">
        <f t="shared" si="41"/>
        <v>0</v>
      </c>
      <c r="BG85" s="672">
        <f t="shared" si="41"/>
        <v>0</v>
      </c>
      <c r="BH85" s="672">
        <f t="shared" si="41"/>
        <v>0</v>
      </c>
      <c r="BI85" s="672">
        <f t="shared" si="41"/>
        <v>0</v>
      </c>
      <c r="BJ85" s="672">
        <f t="shared" si="41"/>
        <v>0</v>
      </c>
      <c r="BK85" s="672">
        <f t="shared" si="41"/>
        <v>0</v>
      </c>
      <c r="BL85" s="672">
        <f t="shared" si="41"/>
        <v>0</v>
      </c>
      <c r="BM85" s="672">
        <f t="shared" si="41"/>
        <v>0</v>
      </c>
      <c r="BN85" s="672">
        <f t="shared" ref="BN85:CS85" si="42">SUM(BN87:BN88)</f>
        <v>0</v>
      </c>
      <c r="BO85" s="672">
        <f t="shared" si="42"/>
        <v>0</v>
      </c>
      <c r="BP85" s="672">
        <f t="shared" si="42"/>
        <v>0</v>
      </c>
      <c r="BQ85" s="672">
        <f t="shared" si="42"/>
        <v>0</v>
      </c>
      <c r="BR85" s="672">
        <f t="shared" si="42"/>
        <v>0</v>
      </c>
      <c r="BS85" s="672">
        <f t="shared" si="42"/>
        <v>0</v>
      </c>
      <c r="BT85" s="672">
        <f t="shared" si="42"/>
        <v>0</v>
      </c>
      <c r="BU85" s="672">
        <f t="shared" si="42"/>
        <v>0</v>
      </c>
      <c r="BV85" s="672">
        <f t="shared" si="42"/>
        <v>0</v>
      </c>
      <c r="BW85" s="672">
        <f t="shared" si="42"/>
        <v>0</v>
      </c>
      <c r="BX85" s="672">
        <f t="shared" si="42"/>
        <v>0</v>
      </c>
      <c r="BY85" s="672">
        <f t="shared" si="42"/>
        <v>0</v>
      </c>
      <c r="BZ85" s="672">
        <f t="shared" si="42"/>
        <v>0</v>
      </c>
      <c r="CA85" s="672">
        <f t="shared" si="42"/>
        <v>0</v>
      </c>
      <c r="CB85" s="672">
        <f t="shared" si="42"/>
        <v>0</v>
      </c>
      <c r="CC85" s="672">
        <f t="shared" si="42"/>
        <v>0</v>
      </c>
      <c r="CD85" s="672">
        <f t="shared" si="42"/>
        <v>0</v>
      </c>
      <c r="CE85" s="672">
        <f t="shared" si="42"/>
        <v>0</v>
      </c>
      <c r="CF85" s="672">
        <f t="shared" si="42"/>
        <v>0</v>
      </c>
      <c r="CG85" s="672">
        <f t="shared" si="42"/>
        <v>0</v>
      </c>
      <c r="CH85" s="672">
        <f t="shared" si="42"/>
        <v>0</v>
      </c>
      <c r="CI85" s="672">
        <f t="shared" si="42"/>
        <v>0</v>
      </c>
      <c r="CJ85" s="672">
        <f t="shared" si="42"/>
        <v>0</v>
      </c>
      <c r="CK85" s="672">
        <f t="shared" si="42"/>
        <v>0</v>
      </c>
      <c r="CL85" s="672">
        <f t="shared" si="42"/>
        <v>0</v>
      </c>
      <c r="CM85" s="672">
        <f t="shared" si="42"/>
        <v>0</v>
      </c>
      <c r="CN85" s="672">
        <f t="shared" si="42"/>
        <v>0</v>
      </c>
      <c r="CO85" s="672">
        <f t="shared" si="42"/>
        <v>0</v>
      </c>
      <c r="CP85" s="672">
        <f t="shared" si="42"/>
        <v>0</v>
      </c>
      <c r="CQ85" s="672">
        <f t="shared" si="42"/>
        <v>0</v>
      </c>
      <c r="CR85" s="672">
        <f t="shared" si="42"/>
        <v>0</v>
      </c>
      <c r="CS85" s="672">
        <f t="shared" si="42"/>
        <v>0</v>
      </c>
      <c r="CT85" s="22"/>
      <c r="CW85" s="902" t="s">
        <v>663</v>
      </c>
    </row>
    <row r="86" spans="5:104" ht="16.7" hidden="1" customHeight="1">
      <c r="E86" s="623">
        <v>17.100000000000001</v>
      </c>
      <c r="F86" s="714">
        <f t="shared" ca="1" si="35"/>
        <v>0</v>
      </c>
      <c r="R86" s="714" t="s">
        <v>569</v>
      </c>
      <c r="S86" s="98" t="b">
        <f t="shared" ca="1" si="36"/>
        <v>0</v>
      </c>
      <c r="T86" s="714" t="b">
        <v>0</v>
      </c>
      <c r="U86" s="645" t="b">
        <f t="shared" ca="1" si="8"/>
        <v>0</v>
      </c>
      <c r="Y86" s="1382"/>
      <c r="Z86" s="1382"/>
      <c r="AB86" s="1437"/>
      <c r="AD86" s="99" t="str">
        <f>AD85&amp;".0"</f>
        <v>28.0</v>
      </c>
      <c r="AE86" s="1445" t="s">
        <v>580</v>
      </c>
      <c r="AF86" s="1446"/>
      <c r="AG86" s="111" t="s">
        <v>648</v>
      </c>
      <c r="AH86" s="28">
        <f>AH$52*AH85</f>
        <v>0</v>
      </c>
      <c r="AI86" s="29">
        <f>AI$52*AI85</f>
        <v>0</v>
      </c>
      <c r="AJ86" s="29">
        <f>AJ$52*AJ85</f>
        <v>0</v>
      </c>
      <c r="AK86" s="29">
        <f>AK$52*AK85</f>
        <v>0</v>
      </c>
      <c r="AL86" s="674">
        <f>AM86+AN86</f>
        <v>0</v>
      </c>
      <c r="AM86" s="29">
        <f>AM$52*AM85</f>
        <v>0</v>
      </c>
      <c r="AN86" s="29">
        <f>AN$52*AN85</f>
        <v>0</v>
      </c>
      <c r="AO86" s="674">
        <f>AP86+AQ86</f>
        <v>0</v>
      </c>
      <c r="AP86" s="1111">
        <f>AP$52*AP85</f>
        <v>0</v>
      </c>
      <c r="AQ86" s="1111">
        <f>AQ$52*AQ85</f>
        <v>0</v>
      </c>
      <c r="AR86" s="674">
        <f>AS86+AT86</f>
        <v>0</v>
      </c>
      <c r="AS86" s="1111">
        <f>AS$52*AS85</f>
        <v>0</v>
      </c>
      <c r="AT86" s="1111">
        <f>AT$52*AT85</f>
        <v>0</v>
      </c>
      <c r="AU86" s="674">
        <f>AV86+AW86</f>
        <v>0</v>
      </c>
      <c r="AV86" s="29">
        <f>AV$52*AV85</f>
        <v>0</v>
      </c>
      <c r="AW86" s="29">
        <f>AW$52*AW85</f>
        <v>0</v>
      </c>
      <c r="AX86" s="674">
        <f>AY86+AZ86</f>
        <v>0</v>
      </c>
      <c r="AY86" s="29">
        <f>AY$52*AY85</f>
        <v>0</v>
      </c>
      <c r="AZ86" s="29">
        <f>AZ$52*AZ85</f>
        <v>0</v>
      </c>
      <c r="BA86" s="674">
        <f>BB86+BC86</f>
        <v>0</v>
      </c>
      <c r="BB86" s="29">
        <f>BB$52*BB85</f>
        <v>0</v>
      </c>
      <c r="BC86" s="29">
        <f>BC$52*BC85</f>
        <v>0</v>
      </c>
      <c r="BD86" s="674">
        <f>BE86+BF86</f>
        <v>0</v>
      </c>
      <c r="BE86" s="29">
        <f>BE$52*BE85</f>
        <v>0</v>
      </c>
      <c r="BF86" s="29">
        <f>BF$52*BF85</f>
        <v>0</v>
      </c>
      <c r="BG86" s="674">
        <f>BH86+BI86</f>
        <v>0</v>
      </c>
      <c r="BH86" s="29">
        <f>BH$52*BH85</f>
        <v>0</v>
      </c>
      <c r="BI86" s="29">
        <f>BI$52*BI85</f>
        <v>0</v>
      </c>
      <c r="BJ86" s="674">
        <f>BK86+BL86</f>
        <v>0</v>
      </c>
      <c r="BK86" s="29">
        <f>BK$52*BK85</f>
        <v>0</v>
      </c>
      <c r="BL86" s="29">
        <f>BL$52*BL85</f>
        <v>0</v>
      </c>
      <c r="BM86" s="674">
        <f>BN86+BO86</f>
        <v>0</v>
      </c>
      <c r="BN86" s="29">
        <f>BN$52*BN85</f>
        <v>0</v>
      </c>
      <c r="BO86" s="29">
        <f>BO$52*BO85</f>
        <v>0</v>
      </c>
      <c r="BP86" s="674">
        <f>BQ86+BR86</f>
        <v>0</v>
      </c>
      <c r="BQ86" s="762">
        <f>BQ$52*BQ85</f>
        <v>0</v>
      </c>
      <c r="BR86" s="762">
        <f>BR$52*BR85</f>
        <v>0</v>
      </c>
      <c r="BS86" s="674">
        <f>BT86+BU86</f>
        <v>0</v>
      </c>
      <c r="BT86" s="1111">
        <f>BT$52*BT85</f>
        <v>0</v>
      </c>
      <c r="BU86" s="1111">
        <f>BU$52*BU85</f>
        <v>0</v>
      </c>
      <c r="BV86" s="674">
        <f>BW86+BX86</f>
        <v>0</v>
      </c>
      <c r="BW86" s="1111">
        <f>BW$52*BW85</f>
        <v>0</v>
      </c>
      <c r="BX86" s="1111">
        <f>BX$52*BX85</f>
        <v>0</v>
      </c>
      <c r="BY86" s="674">
        <f>BZ86+CA86</f>
        <v>0</v>
      </c>
      <c r="BZ86" s="29">
        <f>BZ$52*BZ85</f>
        <v>0</v>
      </c>
      <c r="CA86" s="29">
        <f>CA$52*CA85</f>
        <v>0</v>
      </c>
      <c r="CB86" s="674">
        <f>CC86+CD86</f>
        <v>0</v>
      </c>
      <c r="CC86" s="29">
        <f>CC$52*CC85</f>
        <v>0</v>
      </c>
      <c r="CD86" s="29">
        <f>CD$52*CD85</f>
        <v>0</v>
      </c>
      <c r="CE86" s="674">
        <f>CF86+CG86</f>
        <v>0</v>
      </c>
      <c r="CF86" s="29">
        <f>CF$52*CF85</f>
        <v>0</v>
      </c>
      <c r="CG86" s="29">
        <f>CG$52*CG85</f>
        <v>0</v>
      </c>
      <c r="CH86" s="674">
        <f>CI86+CJ86</f>
        <v>0</v>
      </c>
      <c r="CI86" s="29">
        <f>CI$52*CI85</f>
        <v>0</v>
      </c>
      <c r="CJ86" s="29">
        <f>CJ$52*CJ85</f>
        <v>0</v>
      </c>
      <c r="CK86" s="674">
        <f>CL86+CM86</f>
        <v>0</v>
      </c>
      <c r="CL86" s="29">
        <f>CL$52*CL85</f>
        <v>0</v>
      </c>
      <c r="CM86" s="29">
        <f>CM$52*CM85</f>
        <v>0</v>
      </c>
      <c r="CN86" s="674">
        <f>CO86+CP86</f>
        <v>0</v>
      </c>
      <c r="CO86" s="29">
        <f>CO$52*CO85</f>
        <v>0</v>
      </c>
      <c r="CP86" s="29">
        <f>CP$52*CP85</f>
        <v>0</v>
      </c>
      <c r="CQ86" s="674">
        <f>CR86+CS86</f>
        <v>0</v>
      </c>
      <c r="CR86" s="29">
        <f>CR$52*CR85</f>
        <v>0</v>
      </c>
      <c r="CS86" s="29">
        <f>CS$52*CS85</f>
        <v>0</v>
      </c>
      <c r="CT86" s="22"/>
      <c r="CW86" s="902" t="s">
        <v>664</v>
      </c>
    </row>
    <row r="87" spans="5:104" ht="16.7" hidden="1" customHeight="1">
      <c r="E87" s="623">
        <v>17.100000000000001</v>
      </c>
      <c r="F87" s="714">
        <f t="shared" ca="1" si="35"/>
        <v>0</v>
      </c>
      <c r="S87" s="98" t="b">
        <f t="shared" ca="1" si="36"/>
        <v>0</v>
      </c>
      <c r="T87" s="98" t="b">
        <f>AD87&lt;&gt;"28.0"</f>
        <v>0</v>
      </c>
      <c r="U87" s="645" t="b">
        <f t="shared" ca="1" si="8"/>
        <v>0</v>
      </c>
      <c r="X87" s="98" t="s">
        <v>170</v>
      </c>
      <c r="Y87" s="1382"/>
      <c r="Z87" s="1382"/>
      <c r="AB87" s="1437"/>
      <c r="AD87" s="99" t="s">
        <v>665</v>
      </c>
      <c r="AE87" s="757"/>
      <c r="AF87" s="475"/>
      <c r="AG87" s="111" t="s">
        <v>648</v>
      </c>
      <c r="AH87" s="28"/>
      <c r="AI87" s="29"/>
      <c r="AJ87" s="29"/>
      <c r="AK87" s="29"/>
      <c r="AL87" s="674">
        <f>AM87+AN87</f>
        <v>0</v>
      </c>
      <c r="AM87" s="29">
        <f>AM83*AM64/1000</f>
        <v>0</v>
      </c>
      <c r="AN87" s="29">
        <f>AN83*AN64/1000</f>
        <v>0</v>
      </c>
      <c r="AO87" s="674">
        <f>AP87+AQ87</f>
        <v>0</v>
      </c>
      <c r="AP87" s="1111">
        <f>AP83*AP64/1000</f>
        <v>0</v>
      </c>
      <c r="AQ87" s="1111">
        <f>AQ83*AQ64/1000</f>
        <v>0</v>
      </c>
      <c r="AR87" s="674">
        <f>AS87+AT87</f>
        <v>0</v>
      </c>
      <c r="AS87" s="1111">
        <f>AS83*AS64/1000</f>
        <v>0</v>
      </c>
      <c r="AT87" s="1111">
        <f>AT83*AT64/1000</f>
        <v>0</v>
      </c>
      <c r="AU87" s="674">
        <f>AV87+AW87</f>
        <v>0</v>
      </c>
      <c r="AV87" s="29">
        <f>AV83*AV64/1000</f>
        <v>0</v>
      </c>
      <c r="AW87" s="29">
        <f>AW83*AW64/1000</f>
        <v>0</v>
      </c>
      <c r="AX87" s="674">
        <f>AY87+AZ87</f>
        <v>0</v>
      </c>
      <c r="AY87" s="29">
        <f>AY83*AY64/1000</f>
        <v>0</v>
      </c>
      <c r="AZ87" s="29">
        <f>AZ83*AZ64/1000</f>
        <v>0</v>
      </c>
      <c r="BA87" s="674">
        <f>BB87+BC87</f>
        <v>0</v>
      </c>
      <c r="BB87" s="29">
        <f>BB83*BB64/1000</f>
        <v>0</v>
      </c>
      <c r="BC87" s="29">
        <f>BC83*BC64/1000</f>
        <v>0</v>
      </c>
      <c r="BD87" s="674">
        <f>BE87+BF87</f>
        <v>0</v>
      </c>
      <c r="BE87" s="29">
        <f>BE83*BE64/1000</f>
        <v>0</v>
      </c>
      <c r="BF87" s="29">
        <f>BF83*BF64/1000</f>
        <v>0</v>
      </c>
      <c r="BG87" s="674">
        <f>BH87+BI87</f>
        <v>0</v>
      </c>
      <c r="BH87" s="29">
        <f>BH83*BH64/1000</f>
        <v>0</v>
      </c>
      <c r="BI87" s="29">
        <f>BI83*BI64/1000</f>
        <v>0</v>
      </c>
      <c r="BJ87" s="674">
        <f>BK87+BL87</f>
        <v>0</v>
      </c>
      <c r="BK87" s="29">
        <f>BK83*BK64/1000</f>
        <v>0</v>
      </c>
      <c r="BL87" s="29">
        <f>BL83*BL64/1000</f>
        <v>0</v>
      </c>
      <c r="BM87" s="674">
        <f>BN87+BO87</f>
        <v>0</v>
      </c>
      <c r="BN87" s="29">
        <f>BN83*BN64/1000</f>
        <v>0</v>
      </c>
      <c r="BO87" s="29">
        <f>BO83*BO64/1000</f>
        <v>0</v>
      </c>
      <c r="BP87" s="674">
        <f>BQ87+BR87</f>
        <v>0</v>
      </c>
      <c r="BQ87" s="762">
        <f>BQ83*BQ64/1000</f>
        <v>0</v>
      </c>
      <c r="BR87" s="762">
        <f>BR83*BR64/1000</f>
        <v>0</v>
      </c>
      <c r="BS87" s="674">
        <f>BT87+BU87</f>
        <v>0</v>
      </c>
      <c r="BT87" s="1111">
        <f>BT83*BT64/1000</f>
        <v>0</v>
      </c>
      <c r="BU87" s="1111">
        <f>BU83*BU64/1000</f>
        <v>0</v>
      </c>
      <c r="BV87" s="674">
        <f>BW87+BX87</f>
        <v>0</v>
      </c>
      <c r="BW87" s="1111">
        <f>BW83*BW64/1000</f>
        <v>0</v>
      </c>
      <c r="BX87" s="1111">
        <f>BX83*BX64/1000</f>
        <v>0</v>
      </c>
      <c r="BY87" s="674">
        <f>BZ87+CA87</f>
        <v>0</v>
      </c>
      <c r="BZ87" s="29">
        <f>BZ83*BZ64/1000</f>
        <v>0</v>
      </c>
      <c r="CA87" s="29">
        <f>CA83*CA64/1000</f>
        <v>0</v>
      </c>
      <c r="CB87" s="674">
        <f>CC87+CD87</f>
        <v>0</v>
      </c>
      <c r="CC87" s="29">
        <f>CC83*CC64/1000</f>
        <v>0</v>
      </c>
      <c r="CD87" s="29">
        <f>CD83*CD64/1000</f>
        <v>0</v>
      </c>
      <c r="CE87" s="674">
        <f>CF87+CG87</f>
        <v>0</v>
      </c>
      <c r="CF87" s="29">
        <f>CF83*CF64/1000</f>
        <v>0</v>
      </c>
      <c r="CG87" s="29">
        <f>CG83*CG64/1000</f>
        <v>0</v>
      </c>
      <c r="CH87" s="674">
        <f>CI87+CJ87</f>
        <v>0</v>
      </c>
      <c r="CI87" s="29">
        <f>CI83*CI64/1000</f>
        <v>0</v>
      </c>
      <c r="CJ87" s="29">
        <f>CJ83*CJ64/1000</f>
        <v>0</v>
      </c>
      <c r="CK87" s="674">
        <f>CL87+CM87</f>
        <v>0</v>
      </c>
      <c r="CL87" s="29">
        <f>CL83*CL64/1000</f>
        <v>0</v>
      </c>
      <c r="CM87" s="29">
        <f>CM83*CM64/1000</f>
        <v>0</v>
      </c>
      <c r="CN87" s="674">
        <f>CO87+CP87</f>
        <v>0</v>
      </c>
      <c r="CO87" s="29">
        <f>CO83*CO64/1000</f>
        <v>0</v>
      </c>
      <c r="CP87" s="29">
        <f>CP83*CP64/1000</f>
        <v>0</v>
      </c>
      <c r="CQ87" s="674">
        <f>CR87+CS87</f>
        <v>0</v>
      </c>
      <c r="CR87" s="29">
        <f>CR83*CR64/1000</f>
        <v>0</v>
      </c>
      <c r="CS87" s="29">
        <f>CS83*CS64/1000</f>
        <v>0</v>
      </c>
      <c r="CT87" s="22"/>
      <c r="CW87" s="902" t="s">
        <v>664</v>
      </c>
      <c r="CX87" s="907" t="s">
        <v>630</v>
      </c>
      <c r="CY87" s="911">
        <f>AE87</f>
        <v>0</v>
      </c>
      <c r="CZ87" s="911">
        <f>AF87</f>
        <v>0</v>
      </c>
    </row>
    <row r="88" spans="5:104" ht="15" hidden="1" customHeight="1">
      <c r="E88" s="623">
        <v>0</v>
      </c>
      <c r="F88" s="714">
        <f t="shared" ca="1" si="35"/>
        <v>0</v>
      </c>
      <c r="S88" s="98" t="b">
        <f t="shared" ca="1" si="36"/>
        <v>0</v>
      </c>
      <c r="U88" s="645" t="b">
        <f t="shared" ca="1" si="8"/>
        <v>0</v>
      </c>
      <c r="X88" s="756" t="str">
        <f>"{                  
         funcDyn: 'msg1',
         blok: 'blok_2',
         wsCross: 'Топливо 4.4',
         linkFormula: 'AE-AE#AF-AF',
         levelDyn: "&amp;Y28&amp;"
}"</f>
        <v>{                  
         funcDyn: 'msg1',
         blok: 'blok_2',
         wsCross: 'Топливо 4.4',
         linkFormula: 'AE-AE#AF-AF',
         levelDyn: 0
}</v>
      </c>
      <c r="Y88" s="1382"/>
      <c r="Z88" s="1382"/>
      <c r="AB88" s="1437"/>
      <c r="AD88" s="759"/>
      <c r="AE88" s="758" t="s">
        <v>172</v>
      </c>
      <c r="AF88" s="685"/>
      <c r="AG88" s="111"/>
      <c r="AH88" s="673"/>
      <c r="AI88" s="675"/>
      <c r="AJ88" s="675"/>
      <c r="AK88" s="675"/>
      <c r="AL88" s="675"/>
      <c r="AM88" s="675"/>
      <c r="AN88" s="675"/>
      <c r="AO88" s="675"/>
      <c r="AP88" s="675"/>
      <c r="AQ88" s="675"/>
      <c r="AR88" s="675"/>
      <c r="AS88" s="675"/>
      <c r="AT88" s="675"/>
      <c r="AU88" s="675"/>
      <c r="AV88" s="675"/>
      <c r="AW88" s="675"/>
      <c r="AX88" s="675"/>
      <c r="AY88" s="675"/>
      <c r="AZ88" s="675"/>
      <c r="BA88" s="675"/>
      <c r="BB88" s="675"/>
      <c r="BC88" s="675"/>
      <c r="BD88" s="675"/>
      <c r="BE88" s="675"/>
      <c r="BF88" s="675"/>
      <c r="BG88" s="675"/>
      <c r="BH88" s="675"/>
      <c r="BI88" s="675"/>
      <c r="BJ88" s="675"/>
      <c r="BK88" s="675"/>
      <c r="BL88" s="675"/>
      <c r="BM88" s="675"/>
      <c r="BN88" s="675"/>
      <c r="BO88" s="675"/>
      <c r="BP88" s="675"/>
      <c r="BQ88" s="675"/>
      <c r="BR88" s="675"/>
      <c r="BS88" s="675"/>
      <c r="BT88" s="675"/>
      <c r="BU88" s="675"/>
      <c r="BV88" s="675"/>
      <c r="BW88" s="675"/>
      <c r="BX88" s="675"/>
      <c r="BY88" s="675"/>
      <c r="BZ88" s="675"/>
      <c r="CA88" s="675"/>
      <c r="CB88" s="675"/>
      <c r="CC88" s="675"/>
      <c r="CD88" s="675"/>
      <c r="CE88" s="675"/>
      <c r="CF88" s="675"/>
      <c r="CG88" s="675"/>
      <c r="CH88" s="675"/>
      <c r="CI88" s="675"/>
      <c r="CJ88" s="675"/>
      <c r="CK88" s="675"/>
      <c r="CL88" s="675"/>
      <c r="CM88" s="675"/>
      <c r="CN88" s="675"/>
      <c r="CO88" s="675"/>
      <c r="CP88" s="675"/>
      <c r="CQ88" s="675"/>
      <c r="CR88" s="675"/>
      <c r="CS88" s="675"/>
      <c r="CT88" s="33"/>
      <c r="CW88" s="902" t="str">
        <f>IF(AND(ISNUMBER(VALUE(TRIM(SUBSTITUTE(AD88,".","")))),TRIM(SUBSTITUTE(AD88,".",""))&lt;&gt;""),"P"&amp;SUBSTITUTE(AD88,".",""),"")</f>
        <v/>
      </c>
    </row>
    <row r="89" spans="5:104" ht="29.25" hidden="1" customHeight="1">
      <c r="E89" s="623">
        <v>30</v>
      </c>
      <c r="F89" s="714">
        <f t="shared" ca="1" si="35"/>
        <v>0</v>
      </c>
      <c r="R89" s="714" t="s">
        <v>569</v>
      </c>
      <c r="S89" s="98" t="b">
        <f t="shared" ca="1" si="36"/>
        <v>0</v>
      </c>
      <c r="U89" s="645" t="b">
        <f t="shared" ca="1" si="8"/>
        <v>0</v>
      </c>
      <c r="Y89" s="1382"/>
      <c r="Z89" s="1382"/>
      <c r="AB89" s="1437"/>
      <c r="AD89" s="111">
        <v>29</v>
      </c>
      <c r="AE89" s="1447" t="s">
        <v>666</v>
      </c>
      <c r="AF89" s="1448"/>
      <c r="AG89" s="111" t="s">
        <v>648</v>
      </c>
      <c r="AH89" s="672">
        <f t="shared" ref="AH89:BM89" si="43">SUM(AH90:AH91)</f>
        <v>0</v>
      </c>
      <c r="AI89" s="672">
        <f t="shared" si="43"/>
        <v>0</v>
      </c>
      <c r="AJ89" s="672">
        <f t="shared" si="43"/>
        <v>0</v>
      </c>
      <c r="AK89" s="672">
        <f t="shared" si="43"/>
        <v>0</v>
      </c>
      <c r="AL89" s="672">
        <f t="shared" si="43"/>
        <v>0</v>
      </c>
      <c r="AM89" s="672">
        <f t="shared" si="43"/>
        <v>0</v>
      </c>
      <c r="AN89" s="672">
        <f t="shared" si="43"/>
        <v>0</v>
      </c>
      <c r="AO89" s="672">
        <f t="shared" si="43"/>
        <v>0</v>
      </c>
      <c r="AP89" s="672">
        <f t="shared" si="43"/>
        <v>0</v>
      </c>
      <c r="AQ89" s="672">
        <f t="shared" si="43"/>
        <v>0</v>
      </c>
      <c r="AR89" s="672">
        <f t="shared" si="43"/>
        <v>0</v>
      </c>
      <c r="AS89" s="672">
        <f t="shared" si="43"/>
        <v>0</v>
      </c>
      <c r="AT89" s="672">
        <f t="shared" si="43"/>
        <v>0</v>
      </c>
      <c r="AU89" s="672">
        <f t="shared" si="43"/>
        <v>0</v>
      </c>
      <c r="AV89" s="672">
        <f t="shared" si="43"/>
        <v>0</v>
      </c>
      <c r="AW89" s="672">
        <f t="shared" si="43"/>
        <v>0</v>
      </c>
      <c r="AX89" s="672">
        <f t="shared" si="43"/>
        <v>0</v>
      </c>
      <c r="AY89" s="672">
        <f t="shared" si="43"/>
        <v>0</v>
      </c>
      <c r="AZ89" s="672">
        <f t="shared" si="43"/>
        <v>0</v>
      </c>
      <c r="BA89" s="672">
        <f t="shared" si="43"/>
        <v>0</v>
      </c>
      <c r="BB89" s="672">
        <f t="shared" si="43"/>
        <v>0</v>
      </c>
      <c r="BC89" s="672">
        <f t="shared" si="43"/>
        <v>0</v>
      </c>
      <c r="BD89" s="672">
        <f t="shared" si="43"/>
        <v>0</v>
      </c>
      <c r="BE89" s="672">
        <f t="shared" si="43"/>
        <v>0</v>
      </c>
      <c r="BF89" s="672">
        <f t="shared" si="43"/>
        <v>0</v>
      </c>
      <c r="BG89" s="672">
        <f t="shared" si="43"/>
        <v>0</v>
      </c>
      <c r="BH89" s="672">
        <f t="shared" si="43"/>
        <v>0</v>
      </c>
      <c r="BI89" s="672">
        <f t="shared" si="43"/>
        <v>0</v>
      </c>
      <c r="BJ89" s="672">
        <f t="shared" si="43"/>
        <v>0</v>
      </c>
      <c r="BK89" s="672">
        <f t="shared" si="43"/>
        <v>0</v>
      </c>
      <c r="BL89" s="672">
        <f t="shared" si="43"/>
        <v>0</v>
      </c>
      <c r="BM89" s="672">
        <f t="shared" si="43"/>
        <v>0</v>
      </c>
      <c r="BN89" s="672">
        <f t="shared" ref="BN89:CS89" si="44">SUM(BN90:BN91)</f>
        <v>0</v>
      </c>
      <c r="BO89" s="672">
        <f t="shared" si="44"/>
        <v>0</v>
      </c>
      <c r="BP89" s="672">
        <f t="shared" si="44"/>
        <v>0</v>
      </c>
      <c r="BQ89" s="672">
        <f t="shared" si="44"/>
        <v>0</v>
      </c>
      <c r="BR89" s="672">
        <f t="shared" si="44"/>
        <v>0</v>
      </c>
      <c r="BS89" s="672">
        <f t="shared" si="44"/>
        <v>0</v>
      </c>
      <c r="BT89" s="672">
        <f t="shared" si="44"/>
        <v>0</v>
      </c>
      <c r="BU89" s="672">
        <f t="shared" si="44"/>
        <v>0</v>
      </c>
      <c r="BV89" s="672">
        <f t="shared" si="44"/>
        <v>0</v>
      </c>
      <c r="BW89" s="672">
        <f t="shared" si="44"/>
        <v>0</v>
      </c>
      <c r="BX89" s="672">
        <f t="shared" si="44"/>
        <v>0</v>
      </c>
      <c r="BY89" s="672">
        <f t="shared" si="44"/>
        <v>0</v>
      </c>
      <c r="BZ89" s="672">
        <f t="shared" si="44"/>
        <v>0</v>
      </c>
      <c r="CA89" s="672">
        <f t="shared" si="44"/>
        <v>0</v>
      </c>
      <c r="CB89" s="672">
        <f t="shared" si="44"/>
        <v>0</v>
      </c>
      <c r="CC89" s="672">
        <f t="shared" si="44"/>
        <v>0</v>
      </c>
      <c r="CD89" s="672">
        <f t="shared" si="44"/>
        <v>0</v>
      </c>
      <c r="CE89" s="672">
        <f t="shared" si="44"/>
        <v>0</v>
      </c>
      <c r="CF89" s="672">
        <f t="shared" si="44"/>
        <v>0</v>
      </c>
      <c r="CG89" s="672">
        <f t="shared" si="44"/>
        <v>0</v>
      </c>
      <c r="CH89" s="672">
        <f t="shared" si="44"/>
        <v>0</v>
      </c>
      <c r="CI89" s="672">
        <f t="shared" si="44"/>
        <v>0</v>
      </c>
      <c r="CJ89" s="672">
        <f t="shared" si="44"/>
        <v>0</v>
      </c>
      <c r="CK89" s="672">
        <f t="shared" si="44"/>
        <v>0</v>
      </c>
      <c r="CL89" s="672">
        <f t="shared" si="44"/>
        <v>0</v>
      </c>
      <c r="CM89" s="672">
        <f t="shared" si="44"/>
        <v>0</v>
      </c>
      <c r="CN89" s="672">
        <f t="shared" si="44"/>
        <v>0</v>
      </c>
      <c r="CO89" s="672">
        <f t="shared" si="44"/>
        <v>0</v>
      </c>
      <c r="CP89" s="672">
        <f t="shared" si="44"/>
        <v>0</v>
      </c>
      <c r="CQ89" s="672">
        <f t="shared" si="44"/>
        <v>0</v>
      </c>
      <c r="CR89" s="672">
        <f t="shared" si="44"/>
        <v>0</v>
      </c>
      <c r="CS89" s="672">
        <f t="shared" si="44"/>
        <v>0</v>
      </c>
      <c r="CT89" s="22"/>
      <c r="CW89" s="902" t="s">
        <v>667</v>
      </c>
    </row>
    <row r="90" spans="5:104" ht="16.7" hidden="1" customHeight="1">
      <c r="E90" s="623">
        <v>17.100000000000001</v>
      </c>
      <c r="F90" s="714">
        <f t="shared" ca="1" si="35"/>
        <v>0</v>
      </c>
      <c r="R90" s="714" t="s">
        <v>569</v>
      </c>
      <c r="S90" s="98" t="b">
        <f t="shared" ca="1" si="36"/>
        <v>0</v>
      </c>
      <c r="T90" s="98" t="b">
        <f>AD90&lt;&gt;"29.0"</f>
        <v>0</v>
      </c>
      <c r="U90" s="645" t="b">
        <f t="shared" ca="1" si="8"/>
        <v>0</v>
      </c>
      <c r="X90" s="98" t="s">
        <v>170</v>
      </c>
      <c r="Y90" s="1382"/>
      <c r="Z90" s="1382"/>
      <c r="AB90" s="1437"/>
      <c r="AD90" s="99" t="s">
        <v>668</v>
      </c>
      <c r="AE90" s="757"/>
      <c r="AF90" s="475"/>
      <c r="AG90" s="111" t="s">
        <v>648</v>
      </c>
      <c r="AH90" s="28">
        <f>AH$52*AH87</f>
        <v>0</v>
      </c>
      <c r="AI90" s="29">
        <f>AI$52*AI87</f>
        <v>0</v>
      </c>
      <c r="AJ90" s="29">
        <f>AJ$52*AJ87</f>
        <v>0</v>
      </c>
      <c r="AK90" s="29">
        <f>AK$52*AK87</f>
        <v>0</v>
      </c>
      <c r="AL90" s="674">
        <f>AM90+AN90</f>
        <v>0</v>
      </c>
      <c r="AM90" s="29">
        <f>AM$52*AM87</f>
        <v>0</v>
      </c>
      <c r="AN90" s="29">
        <f>AN$52*AN87</f>
        <v>0</v>
      </c>
      <c r="AO90" s="674">
        <f>AP90+AQ90</f>
        <v>0</v>
      </c>
      <c r="AP90" s="1111">
        <f>AP$52*AP87</f>
        <v>0</v>
      </c>
      <c r="AQ90" s="1111">
        <f>AQ$52*AQ87</f>
        <v>0</v>
      </c>
      <c r="AR90" s="674">
        <f>AS90+AT90</f>
        <v>0</v>
      </c>
      <c r="AS90" s="1111">
        <f>AS$52*AS87</f>
        <v>0</v>
      </c>
      <c r="AT90" s="1111">
        <f>AT$52*AT87</f>
        <v>0</v>
      </c>
      <c r="AU90" s="674">
        <f>AV90+AW90</f>
        <v>0</v>
      </c>
      <c r="AV90" s="29">
        <f>AV$52*AV87</f>
        <v>0</v>
      </c>
      <c r="AW90" s="29">
        <f>AW$52*AW87</f>
        <v>0</v>
      </c>
      <c r="AX90" s="674">
        <f>AY90+AZ90</f>
        <v>0</v>
      </c>
      <c r="AY90" s="29">
        <f>AY$52*AY87</f>
        <v>0</v>
      </c>
      <c r="AZ90" s="29">
        <f>AZ$52*AZ87</f>
        <v>0</v>
      </c>
      <c r="BA90" s="674">
        <f>BB90+BC90</f>
        <v>0</v>
      </c>
      <c r="BB90" s="29">
        <f>BB$52*BB87</f>
        <v>0</v>
      </c>
      <c r="BC90" s="29">
        <f>BC$52*BC87</f>
        <v>0</v>
      </c>
      <c r="BD90" s="674">
        <f>BE90+BF90</f>
        <v>0</v>
      </c>
      <c r="BE90" s="29">
        <f>BE$52*BE87</f>
        <v>0</v>
      </c>
      <c r="BF90" s="29">
        <f>BF$52*BF87</f>
        <v>0</v>
      </c>
      <c r="BG90" s="674">
        <f>BH90+BI90</f>
        <v>0</v>
      </c>
      <c r="BH90" s="29">
        <f>BH$52*BH87</f>
        <v>0</v>
      </c>
      <c r="BI90" s="29">
        <f>BI$52*BI87</f>
        <v>0</v>
      </c>
      <c r="BJ90" s="674">
        <f>BK90+BL90</f>
        <v>0</v>
      </c>
      <c r="BK90" s="29">
        <f>BK$52*BK87</f>
        <v>0</v>
      </c>
      <c r="BL90" s="29">
        <f>BL$52*BL87</f>
        <v>0</v>
      </c>
      <c r="BM90" s="674">
        <f>BN90+BO90</f>
        <v>0</v>
      </c>
      <c r="BN90" s="29">
        <f>BN$52*BN87</f>
        <v>0</v>
      </c>
      <c r="BO90" s="29">
        <f>BO$52*BO87</f>
        <v>0</v>
      </c>
      <c r="BP90" s="674">
        <f>BQ90+BR90</f>
        <v>0</v>
      </c>
      <c r="BQ90" s="762">
        <f>BQ$52*BQ87</f>
        <v>0</v>
      </c>
      <c r="BR90" s="762">
        <f>BR$52*BR87</f>
        <v>0</v>
      </c>
      <c r="BS90" s="674">
        <f>BT90+BU90</f>
        <v>0</v>
      </c>
      <c r="BT90" s="1111">
        <f>BT$52*BT87</f>
        <v>0</v>
      </c>
      <c r="BU90" s="1111">
        <f>BU$52*BU87</f>
        <v>0</v>
      </c>
      <c r="BV90" s="674">
        <f>BW90+BX90</f>
        <v>0</v>
      </c>
      <c r="BW90" s="1111">
        <f>BW$52*BW87</f>
        <v>0</v>
      </c>
      <c r="BX90" s="1111">
        <f>BX$52*BX87</f>
        <v>0</v>
      </c>
      <c r="BY90" s="674">
        <f>BZ90+CA90</f>
        <v>0</v>
      </c>
      <c r="BZ90" s="29">
        <f>BZ$52*BZ87</f>
        <v>0</v>
      </c>
      <c r="CA90" s="29">
        <f>CA$52*CA87</f>
        <v>0</v>
      </c>
      <c r="CB90" s="674">
        <f>CC90+CD90</f>
        <v>0</v>
      </c>
      <c r="CC90" s="29">
        <f>CC$52*CC87</f>
        <v>0</v>
      </c>
      <c r="CD90" s="29">
        <f>CD$52*CD87</f>
        <v>0</v>
      </c>
      <c r="CE90" s="674">
        <f>CF90+CG90</f>
        <v>0</v>
      </c>
      <c r="CF90" s="29">
        <f>CF$52*CF87</f>
        <v>0</v>
      </c>
      <c r="CG90" s="29">
        <f>CG$52*CG87</f>
        <v>0</v>
      </c>
      <c r="CH90" s="674">
        <f>CI90+CJ90</f>
        <v>0</v>
      </c>
      <c r="CI90" s="29">
        <f>CI$52*CI87</f>
        <v>0</v>
      </c>
      <c r="CJ90" s="29">
        <f>CJ$52*CJ87</f>
        <v>0</v>
      </c>
      <c r="CK90" s="674">
        <f>CL90+CM90</f>
        <v>0</v>
      </c>
      <c r="CL90" s="29">
        <f>CL$52*CL87</f>
        <v>0</v>
      </c>
      <c r="CM90" s="29">
        <f>CM$52*CM87</f>
        <v>0</v>
      </c>
      <c r="CN90" s="674">
        <f>CO90+CP90</f>
        <v>0</v>
      </c>
      <c r="CO90" s="29">
        <f>CO$52*CO87</f>
        <v>0</v>
      </c>
      <c r="CP90" s="29">
        <f>CP$52*CP87</f>
        <v>0</v>
      </c>
      <c r="CQ90" s="674">
        <f>CR90+CS90</f>
        <v>0</v>
      </c>
      <c r="CR90" s="29">
        <f>CR$52*CR87</f>
        <v>0</v>
      </c>
      <c r="CS90" s="29">
        <f>CS$52*CS87</f>
        <v>0</v>
      </c>
      <c r="CT90" s="22"/>
      <c r="CW90" s="902" t="s">
        <v>667</v>
      </c>
      <c r="CX90" s="907" t="s">
        <v>630</v>
      </c>
      <c r="CY90" s="911">
        <f>AE90</f>
        <v>0</v>
      </c>
      <c r="CZ90" s="911">
        <f>AF90</f>
        <v>0</v>
      </c>
    </row>
    <row r="91" spans="5:104" ht="15" hidden="1" customHeight="1">
      <c r="E91" s="623">
        <v>0</v>
      </c>
      <c r="F91" s="714">
        <f t="shared" ca="1" si="35"/>
        <v>0</v>
      </c>
      <c r="S91" s="98" t="b">
        <f t="shared" ca="1" si="36"/>
        <v>0</v>
      </c>
      <c r="U91" s="645" t="b">
        <f t="shared" ca="1" si="8"/>
        <v>0</v>
      </c>
      <c r="X91" s="756" t="str">
        <f>"{                  
         funcDyn: 'msg1',
         blok: 'blok_2',
         wsCross: 'Топливо 4.4',
         linkFormula: 'AE-AE#AF-AF',
         levelDyn: "&amp;Y28&amp;"
}"</f>
        <v>{                  
         funcDyn: 'msg1',
         blok: 'blok_2',
         wsCross: 'Топливо 4.4',
         linkFormula: 'AE-AE#AF-AF',
         levelDyn: 0
}</v>
      </c>
      <c r="Y91" s="1382"/>
      <c r="Z91" s="1382"/>
      <c r="AB91" s="1438"/>
      <c r="AD91" s="759"/>
      <c r="AE91" s="758" t="s">
        <v>172</v>
      </c>
      <c r="AF91" s="685"/>
      <c r="AG91" s="111"/>
      <c r="AH91" s="673"/>
      <c r="AI91" s="675"/>
      <c r="AJ91" s="675"/>
      <c r="AK91" s="675"/>
      <c r="AL91" s="675"/>
      <c r="AM91" s="675"/>
      <c r="AN91" s="675"/>
      <c r="AO91" s="675"/>
      <c r="AP91" s="675"/>
      <c r="AQ91" s="675"/>
      <c r="AR91" s="675"/>
      <c r="AS91" s="675"/>
      <c r="AT91" s="675"/>
      <c r="AU91" s="675"/>
      <c r="AV91" s="675"/>
      <c r="AW91" s="675"/>
      <c r="AX91" s="675"/>
      <c r="AY91" s="675"/>
      <c r="AZ91" s="675"/>
      <c r="BA91" s="675"/>
      <c r="BB91" s="675"/>
      <c r="BC91" s="675"/>
      <c r="BD91" s="675"/>
      <c r="BE91" s="675"/>
      <c r="BF91" s="675"/>
      <c r="BG91" s="675"/>
      <c r="BH91" s="675"/>
      <c r="BI91" s="675"/>
      <c r="BJ91" s="675"/>
      <c r="BK91" s="675"/>
      <c r="BL91" s="675"/>
      <c r="BM91" s="675"/>
      <c r="BN91" s="675"/>
      <c r="BO91" s="675"/>
      <c r="BP91" s="675"/>
      <c r="BQ91" s="675"/>
      <c r="BR91" s="675"/>
      <c r="BS91" s="675"/>
      <c r="BT91" s="675"/>
      <c r="BU91" s="675"/>
      <c r="BV91" s="675"/>
      <c r="BW91" s="675"/>
      <c r="BX91" s="675"/>
      <c r="BY91" s="675"/>
      <c r="BZ91" s="675"/>
      <c r="CA91" s="675"/>
      <c r="CB91" s="675"/>
      <c r="CC91" s="675"/>
      <c r="CD91" s="675"/>
      <c r="CE91" s="675"/>
      <c r="CF91" s="675"/>
      <c r="CG91" s="675"/>
      <c r="CH91" s="675"/>
      <c r="CI91" s="675"/>
      <c r="CJ91" s="675"/>
      <c r="CK91" s="675"/>
      <c r="CL91" s="675"/>
      <c r="CM91" s="675"/>
      <c r="CN91" s="675"/>
      <c r="CO91" s="675"/>
      <c r="CP91" s="675"/>
      <c r="CQ91" s="675"/>
      <c r="CR91" s="675"/>
      <c r="CS91" s="675"/>
      <c r="CT91" s="33"/>
      <c r="CW91" s="902" t="str">
        <f>IF(AND(ISNUMBER(VALUE(TRIM(SUBSTITUTE(AD91,".","")))),TRIM(SUBSTITUTE(AD91,".",""))&lt;&gt;""),"P"&amp;SUBSTITUTE(AD91,".",""),"")</f>
        <v/>
      </c>
    </row>
    <row r="92" spans="5:104" ht="16.7" hidden="1" customHeight="1">
      <c r="E92" s="623">
        <v>17.100000000000001</v>
      </c>
      <c r="F92" s="714">
        <f t="shared" ca="1" si="35"/>
        <v>0</v>
      </c>
      <c r="S92" s="98" t="b">
        <f t="shared" ca="1" si="36"/>
        <v>0</v>
      </c>
      <c r="U92" s="645" t="b">
        <f t="shared" ref="U92:U155" ca="1" si="45">AND(S92,IF(ISBLANK(T92),TRUE,T92))</f>
        <v>0</v>
      </c>
      <c r="Y92" s="1382"/>
      <c r="Z92" s="1382"/>
      <c r="AB92" s="1439" t="s">
        <v>669</v>
      </c>
      <c r="AD92" s="111" t="s">
        <v>670</v>
      </c>
      <c r="AE92" s="1442" t="s">
        <v>671</v>
      </c>
      <c r="AF92" s="1413"/>
      <c r="AG92" s="477"/>
      <c r="AH92" s="673"/>
      <c r="AI92" s="675"/>
      <c r="AJ92" s="675"/>
      <c r="AK92" s="675"/>
      <c r="AL92" s="675"/>
      <c r="AM92" s="675"/>
      <c r="AN92" s="675"/>
      <c r="AO92" s="675"/>
      <c r="AP92" s="675"/>
      <c r="AQ92" s="675"/>
      <c r="AR92" s="675"/>
      <c r="AS92" s="675"/>
      <c r="AT92" s="675"/>
      <c r="AU92" s="675"/>
      <c r="AV92" s="675"/>
      <c r="AW92" s="675"/>
      <c r="AX92" s="675"/>
      <c r="AY92" s="675"/>
      <c r="AZ92" s="675"/>
      <c r="BA92" s="675"/>
      <c r="BB92" s="675"/>
      <c r="BC92" s="675"/>
      <c r="BD92" s="675"/>
      <c r="BE92" s="675"/>
      <c r="BF92" s="675"/>
      <c r="BG92" s="675"/>
      <c r="BH92" s="675"/>
      <c r="BI92" s="675"/>
      <c r="BJ92" s="675"/>
      <c r="BK92" s="675"/>
      <c r="BL92" s="675"/>
      <c r="BM92" s="675"/>
      <c r="BN92" s="675"/>
      <c r="BO92" s="675"/>
      <c r="BP92" s="675"/>
      <c r="BQ92" s="675"/>
      <c r="BR92" s="675"/>
      <c r="BS92" s="675"/>
      <c r="BT92" s="675"/>
      <c r="BU92" s="675"/>
      <c r="BV92" s="675"/>
      <c r="BW92" s="675"/>
      <c r="BX92" s="675"/>
      <c r="BY92" s="675"/>
      <c r="BZ92" s="675"/>
      <c r="CA92" s="675"/>
      <c r="CB92" s="675"/>
      <c r="CC92" s="675"/>
      <c r="CD92" s="675"/>
      <c r="CE92" s="675"/>
      <c r="CF92" s="675"/>
      <c r="CG92" s="675"/>
      <c r="CH92" s="675"/>
      <c r="CI92" s="675"/>
      <c r="CJ92" s="675"/>
      <c r="CK92" s="675"/>
      <c r="CL92" s="675"/>
      <c r="CM92" s="675"/>
      <c r="CN92" s="675"/>
      <c r="CO92" s="675"/>
      <c r="CP92" s="675"/>
      <c r="CQ92" s="675"/>
      <c r="CR92" s="675"/>
      <c r="CS92" s="675"/>
      <c r="CT92" s="22"/>
      <c r="CW92" s="902" t="s">
        <v>672</v>
      </c>
    </row>
    <row r="93" spans="5:104" ht="16.7" hidden="1" customHeight="1">
      <c r="E93" s="623">
        <v>17.100000000000001</v>
      </c>
      <c r="F93" s="714">
        <f t="shared" ref="F93:F124" ca="1" si="46">OFFSET(G93,-1,-1)</f>
        <v>0</v>
      </c>
      <c r="S93" s="98" t="b">
        <f t="shared" ref="S93:S124" ca="1" si="47">OFFSET(T93,-1,-1)</f>
        <v>0</v>
      </c>
      <c r="T93" s="98" t="b">
        <f>AD93&lt;&gt;"30.0"</f>
        <v>0</v>
      </c>
      <c r="U93" s="645" t="b">
        <f t="shared" ca="1" si="45"/>
        <v>0</v>
      </c>
      <c r="X93" s="98" t="s">
        <v>170</v>
      </c>
      <c r="Y93" s="1382"/>
      <c r="Z93" s="1382"/>
      <c r="AB93" s="1440"/>
      <c r="AD93" s="99" t="s">
        <v>673</v>
      </c>
      <c r="AE93" s="757"/>
      <c r="AF93" s="475"/>
      <c r="AG93" s="111" t="s">
        <v>388</v>
      </c>
      <c r="AH93" s="32"/>
      <c r="AI93" s="36"/>
      <c r="AJ93" s="36"/>
      <c r="AK93" s="36"/>
      <c r="AL93" s="675"/>
      <c r="AM93" s="36"/>
      <c r="AN93" s="36"/>
      <c r="AO93" s="675"/>
      <c r="AP93" s="1115"/>
      <c r="AQ93" s="1115"/>
      <c r="AR93" s="675"/>
      <c r="AS93" s="1115"/>
      <c r="AT93" s="1115"/>
      <c r="AU93" s="675"/>
      <c r="AV93" s="36"/>
      <c r="AW93" s="36"/>
      <c r="AX93" s="675"/>
      <c r="AY93" s="36"/>
      <c r="AZ93" s="36"/>
      <c r="BA93" s="675"/>
      <c r="BB93" s="36"/>
      <c r="BC93" s="36"/>
      <c r="BD93" s="675"/>
      <c r="BE93" s="36"/>
      <c r="BF93" s="36"/>
      <c r="BG93" s="675"/>
      <c r="BH93" s="36"/>
      <c r="BI93" s="36"/>
      <c r="BJ93" s="675"/>
      <c r="BK93" s="36"/>
      <c r="BL93" s="36"/>
      <c r="BM93" s="675"/>
      <c r="BN93" s="36"/>
      <c r="BO93" s="36"/>
      <c r="BP93" s="675"/>
      <c r="BQ93" s="765"/>
      <c r="BR93" s="765"/>
      <c r="BS93" s="675"/>
      <c r="BT93" s="1115"/>
      <c r="BU93" s="1115"/>
      <c r="BV93" s="675"/>
      <c r="BW93" s="1115"/>
      <c r="BX93" s="1115"/>
      <c r="BY93" s="675"/>
      <c r="BZ93" s="36"/>
      <c r="CA93" s="36"/>
      <c r="CB93" s="675"/>
      <c r="CC93" s="36"/>
      <c r="CD93" s="36"/>
      <c r="CE93" s="675"/>
      <c r="CF93" s="36"/>
      <c r="CG93" s="36"/>
      <c r="CH93" s="675"/>
      <c r="CI93" s="36"/>
      <c r="CJ93" s="36"/>
      <c r="CK93" s="675"/>
      <c r="CL93" s="36"/>
      <c r="CM93" s="36"/>
      <c r="CN93" s="675"/>
      <c r="CO93" s="36"/>
      <c r="CP93" s="36"/>
      <c r="CQ93" s="675"/>
      <c r="CR93" s="36"/>
      <c r="CS93" s="36"/>
      <c r="CT93" s="22"/>
      <c r="CW93" s="902" t="s">
        <v>672</v>
      </c>
      <c r="CX93" s="907" t="s">
        <v>630</v>
      </c>
      <c r="CY93" s="911">
        <f>AE93</f>
        <v>0</v>
      </c>
      <c r="CZ93" s="911">
        <f>AF93</f>
        <v>0</v>
      </c>
    </row>
    <row r="94" spans="5:104" ht="15" hidden="1" customHeight="1">
      <c r="E94" s="623">
        <v>0</v>
      </c>
      <c r="F94" s="714">
        <f t="shared" ca="1" si="46"/>
        <v>0</v>
      </c>
      <c r="S94" s="98" t="b">
        <f t="shared" ca="1" si="47"/>
        <v>0</v>
      </c>
      <c r="U94" s="645" t="b">
        <f t="shared" ca="1" si="45"/>
        <v>0</v>
      </c>
      <c r="X94" s="756" t="str">
        <f>"{                  
         funcDyn: 'msg1',
         blok: 'blok_2',
         wsCross: 'Топливо 4.4',
         linkFormula: 'AE-AE#AF-AF',
         levelDyn: "&amp;Y28&amp;"
}"</f>
        <v>{                  
         funcDyn: 'msg1',
         blok: 'blok_2',
         wsCross: 'Топливо 4.4',
         linkFormula: 'AE-AE#AF-AF',
         levelDyn: 0
}</v>
      </c>
      <c r="Y94" s="1382"/>
      <c r="Z94" s="1382"/>
      <c r="AB94" s="1440"/>
      <c r="AD94" s="759"/>
      <c r="AE94" s="758" t="s">
        <v>172</v>
      </c>
      <c r="AF94" s="685"/>
      <c r="AG94" s="111"/>
      <c r="AH94" s="686"/>
      <c r="AI94" s="37"/>
      <c r="AJ94" s="37"/>
      <c r="AK94" s="37"/>
      <c r="AL94" s="675"/>
      <c r="AM94" s="37"/>
      <c r="AN94" s="37"/>
      <c r="AO94" s="675"/>
      <c r="AP94" s="37"/>
      <c r="AQ94" s="37"/>
      <c r="AR94" s="675"/>
      <c r="AS94" s="37"/>
      <c r="AT94" s="37"/>
      <c r="AU94" s="675"/>
      <c r="AV94" s="37"/>
      <c r="AW94" s="37"/>
      <c r="AX94" s="675"/>
      <c r="AY94" s="37"/>
      <c r="AZ94" s="37"/>
      <c r="BA94" s="675"/>
      <c r="BB94" s="37"/>
      <c r="BC94" s="37"/>
      <c r="BD94" s="675"/>
      <c r="BE94" s="37"/>
      <c r="BF94" s="37"/>
      <c r="BG94" s="675"/>
      <c r="BH94" s="37"/>
      <c r="BI94" s="37"/>
      <c r="BJ94" s="675"/>
      <c r="BK94" s="37"/>
      <c r="BL94" s="37"/>
      <c r="BM94" s="675"/>
      <c r="BN94" s="37"/>
      <c r="BO94" s="37"/>
      <c r="BP94" s="675"/>
      <c r="BQ94" s="37"/>
      <c r="BR94" s="37"/>
      <c r="BS94" s="675"/>
      <c r="BT94" s="37"/>
      <c r="BU94" s="37"/>
      <c r="BV94" s="675"/>
      <c r="BW94" s="37"/>
      <c r="BX94" s="37"/>
      <c r="BY94" s="675"/>
      <c r="BZ94" s="37"/>
      <c r="CA94" s="37"/>
      <c r="CB94" s="675"/>
      <c r="CC94" s="37"/>
      <c r="CD94" s="37"/>
      <c r="CE94" s="675"/>
      <c r="CF94" s="37"/>
      <c r="CG94" s="37"/>
      <c r="CH94" s="675"/>
      <c r="CI94" s="37"/>
      <c r="CJ94" s="37"/>
      <c r="CK94" s="675"/>
      <c r="CL94" s="37"/>
      <c r="CM94" s="37"/>
      <c r="CN94" s="675"/>
      <c r="CO94" s="37"/>
      <c r="CP94" s="37"/>
      <c r="CQ94" s="675"/>
      <c r="CR94" s="37"/>
      <c r="CS94" s="37"/>
      <c r="CT94" s="33"/>
      <c r="CW94" s="902" t="str">
        <f>IF(AND(ISNUMBER(VALUE(TRIM(SUBSTITUTE(AD94,".","")))),TRIM(SUBSTITUTE(AD94,".",""))&lt;&gt;""),"P"&amp;SUBSTITUTE(AD94,".",""),"")</f>
        <v/>
      </c>
    </row>
    <row r="95" spans="5:104" ht="16.7" hidden="1" customHeight="1">
      <c r="E95" s="623">
        <v>17.100000000000001</v>
      </c>
      <c r="F95" s="714">
        <f t="shared" ca="1" si="46"/>
        <v>0</v>
      </c>
      <c r="S95" s="98" t="b">
        <f t="shared" ca="1" si="47"/>
        <v>0</v>
      </c>
      <c r="U95" s="645" t="b">
        <f t="shared" ca="1" si="45"/>
        <v>0</v>
      </c>
      <c r="Y95" s="1382"/>
      <c r="Z95" s="1382"/>
      <c r="AB95" s="1440"/>
      <c r="AD95" s="111" t="s">
        <v>674</v>
      </c>
      <c r="AE95" s="1442" t="s">
        <v>675</v>
      </c>
      <c r="AF95" s="1413"/>
      <c r="AG95" s="477"/>
      <c r="AH95" s="673"/>
      <c r="AI95" s="675"/>
      <c r="AJ95" s="675"/>
      <c r="AK95" s="675"/>
      <c r="AL95" s="675"/>
      <c r="AM95" s="675"/>
      <c r="AN95" s="675"/>
      <c r="AO95" s="675"/>
      <c r="AP95" s="675"/>
      <c r="AQ95" s="675"/>
      <c r="AR95" s="675"/>
      <c r="AS95" s="675"/>
      <c r="AT95" s="675"/>
      <c r="AU95" s="675"/>
      <c r="AV95" s="675"/>
      <c r="AW95" s="675"/>
      <c r="AX95" s="675"/>
      <c r="AY95" s="675"/>
      <c r="AZ95" s="675"/>
      <c r="BA95" s="675"/>
      <c r="BB95" s="675"/>
      <c r="BC95" s="675"/>
      <c r="BD95" s="675"/>
      <c r="BE95" s="675"/>
      <c r="BF95" s="675"/>
      <c r="BG95" s="675"/>
      <c r="BH95" s="675"/>
      <c r="BI95" s="675"/>
      <c r="BJ95" s="675"/>
      <c r="BK95" s="675"/>
      <c r="BL95" s="675"/>
      <c r="BM95" s="675"/>
      <c r="BN95" s="675"/>
      <c r="BO95" s="675"/>
      <c r="BP95" s="675"/>
      <c r="BQ95" s="675"/>
      <c r="BR95" s="675"/>
      <c r="BS95" s="675"/>
      <c r="BT95" s="675"/>
      <c r="BU95" s="675"/>
      <c r="BV95" s="675"/>
      <c r="BW95" s="675"/>
      <c r="BX95" s="675"/>
      <c r="BY95" s="675"/>
      <c r="BZ95" s="675"/>
      <c r="CA95" s="675"/>
      <c r="CB95" s="675"/>
      <c r="CC95" s="675"/>
      <c r="CD95" s="675"/>
      <c r="CE95" s="675"/>
      <c r="CF95" s="675"/>
      <c r="CG95" s="675"/>
      <c r="CH95" s="675"/>
      <c r="CI95" s="675"/>
      <c r="CJ95" s="675"/>
      <c r="CK95" s="675"/>
      <c r="CL95" s="675"/>
      <c r="CM95" s="675"/>
      <c r="CN95" s="675"/>
      <c r="CO95" s="675"/>
      <c r="CP95" s="675"/>
      <c r="CQ95" s="675"/>
      <c r="CR95" s="675"/>
      <c r="CS95" s="675"/>
      <c r="CT95" s="22"/>
      <c r="CW95" s="902" t="s">
        <v>676</v>
      </c>
    </row>
    <row r="96" spans="5:104" ht="16.7" hidden="1" customHeight="1">
      <c r="E96" s="623">
        <v>17.100000000000001</v>
      </c>
      <c r="F96" s="714">
        <f t="shared" ca="1" si="46"/>
        <v>0</v>
      </c>
      <c r="S96" s="98" t="b">
        <f t="shared" ca="1" si="47"/>
        <v>0</v>
      </c>
      <c r="T96" s="98" t="b">
        <f>AD96&lt;&gt;"31.0"</f>
        <v>0</v>
      </c>
      <c r="U96" s="645" t="b">
        <f t="shared" ca="1" si="45"/>
        <v>0</v>
      </c>
      <c r="X96" s="98" t="s">
        <v>170</v>
      </c>
      <c r="Y96" s="1382"/>
      <c r="Z96" s="1382"/>
      <c r="AB96" s="1440"/>
      <c r="AD96" s="99" t="s">
        <v>677</v>
      </c>
      <c r="AE96" s="757"/>
      <c r="AF96" s="475"/>
      <c r="AG96" s="835" t="str">
        <f>"руб./"&amp;IFERROR(INDEX(fuel_ed_izm_list,MATCH(AE96,fuel_list,0)),"")</f>
        <v>руб./</v>
      </c>
      <c r="AH96" s="28">
        <f>IFERROR(AH100/AH64,0)*1000</f>
        <v>0</v>
      </c>
      <c r="AI96" s="28">
        <f>IFERROR(AI100/AI64,0)*1000</f>
        <v>0</v>
      </c>
      <c r="AJ96" s="28">
        <f>IFERROR(AJ100/AJ64,0)*1000</f>
        <v>0</v>
      </c>
      <c r="AK96" s="28">
        <f>IFERROR(AK100/AK64,0)*1000</f>
        <v>0</v>
      </c>
      <c r="AL96" s="674">
        <f>IFERROR(AL100/AL64,0)*1000</f>
        <v>0</v>
      </c>
      <c r="AM96" s="29"/>
      <c r="AN96" s="29"/>
      <c r="AO96" s="674">
        <f>IFERROR(AO100/AO64,0)*1000</f>
        <v>0</v>
      </c>
      <c r="AP96" s="1111"/>
      <c r="AQ96" s="1111"/>
      <c r="AR96" s="674">
        <f>IFERROR(AR100/AR64,0)*1000</f>
        <v>0</v>
      </c>
      <c r="AS96" s="1111"/>
      <c r="AT96" s="1111"/>
      <c r="AU96" s="674">
        <f>IFERROR(AU100/AU64,0)*1000</f>
        <v>0</v>
      </c>
      <c r="AV96" s="29"/>
      <c r="AW96" s="29"/>
      <c r="AX96" s="674">
        <f>IFERROR(AX100/AX64,0)*1000</f>
        <v>0</v>
      </c>
      <c r="AY96" s="29"/>
      <c r="AZ96" s="29"/>
      <c r="BA96" s="674">
        <f>IFERROR(BA100/BA64,0)*1000</f>
        <v>0</v>
      </c>
      <c r="BB96" s="29"/>
      <c r="BC96" s="29"/>
      <c r="BD96" s="674">
        <f>IFERROR(BD100/BD64,0)*1000</f>
        <v>0</v>
      </c>
      <c r="BE96" s="29"/>
      <c r="BF96" s="29"/>
      <c r="BG96" s="674">
        <f>IFERROR(BG100/BG64,0)*1000</f>
        <v>0</v>
      </c>
      <c r="BH96" s="29"/>
      <c r="BI96" s="29"/>
      <c r="BJ96" s="674">
        <f>IFERROR(BJ100/BJ64,0)*1000</f>
        <v>0</v>
      </c>
      <c r="BK96" s="29"/>
      <c r="BL96" s="29"/>
      <c r="BM96" s="674">
        <f>IFERROR(BM100/BM64,0)*1000</f>
        <v>0</v>
      </c>
      <c r="BN96" s="29"/>
      <c r="BO96" s="29"/>
      <c r="BP96" s="674">
        <f>IFERROR(BP100/BP64,0)*1000</f>
        <v>0</v>
      </c>
      <c r="BQ96" s="762"/>
      <c r="BR96" s="762"/>
      <c r="BS96" s="674">
        <f>IFERROR(BS100/BS64,0)*1000</f>
        <v>0</v>
      </c>
      <c r="BT96" s="1111"/>
      <c r="BU96" s="1111"/>
      <c r="BV96" s="674">
        <f>IFERROR(BV100/BV64,0)*1000</f>
        <v>0</v>
      </c>
      <c r="BW96" s="1111"/>
      <c r="BX96" s="1111"/>
      <c r="BY96" s="674">
        <f>IFERROR(BY100/BY64,0)*1000</f>
        <v>0</v>
      </c>
      <c r="BZ96" s="29"/>
      <c r="CA96" s="29"/>
      <c r="CB96" s="674">
        <f>IFERROR(CB100/CB64,0)*1000</f>
        <v>0</v>
      </c>
      <c r="CC96" s="29"/>
      <c r="CD96" s="29"/>
      <c r="CE96" s="674">
        <f>IFERROR(CE100/CE64,0)*1000</f>
        <v>0</v>
      </c>
      <c r="CF96" s="29"/>
      <c r="CG96" s="29"/>
      <c r="CH96" s="674">
        <f>IFERROR(CH100/CH64,0)*1000</f>
        <v>0</v>
      </c>
      <c r="CI96" s="29"/>
      <c r="CJ96" s="29"/>
      <c r="CK96" s="674">
        <f>IFERROR(CK100/CK64,0)*1000</f>
        <v>0</v>
      </c>
      <c r="CL96" s="29"/>
      <c r="CM96" s="29"/>
      <c r="CN96" s="674">
        <f>IFERROR(CN100/CN64,0)*1000</f>
        <v>0</v>
      </c>
      <c r="CO96" s="29"/>
      <c r="CP96" s="29"/>
      <c r="CQ96" s="674">
        <f>IFERROR(CQ100/CQ64,0)*1000</f>
        <v>0</v>
      </c>
      <c r="CR96" s="29"/>
      <c r="CS96" s="29"/>
      <c r="CT96" s="22"/>
      <c r="CW96" s="902" t="s">
        <v>676</v>
      </c>
      <c r="CX96" s="907" t="s">
        <v>630</v>
      </c>
      <c r="CY96" s="911">
        <f>AE96</f>
        <v>0</v>
      </c>
      <c r="CZ96" s="911">
        <f>AF96</f>
        <v>0</v>
      </c>
    </row>
    <row r="97" spans="5:104" ht="15" hidden="1" customHeight="1">
      <c r="E97" s="623">
        <v>0</v>
      </c>
      <c r="F97" s="714">
        <f t="shared" ca="1" si="46"/>
        <v>0</v>
      </c>
      <c r="S97" s="98" t="b">
        <f t="shared" ca="1" si="47"/>
        <v>0</v>
      </c>
      <c r="U97" s="645" t="b">
        <f t="shared" ca="1" si="45"/>
        <v>0</v>
      </c>
      <c r="X97" s="756" t="str">
        <f>"{                  
         funcDyn: 'msg1',
         blok: 'blok_2',
         wsCross: 'Топливо 4.4',
         linkFormula: 'AE-AE#AF-AF',
         levelDyn: "&amp;Y28&amp;"
}"</f>
        <v>{                  
         funcDyn: 'msg1',
         blok: 'blok_2',
         wsCross: 'Топливо 4.4',
         linkFormula: 'AE-AE#AF-AF',
         levelDyn: 0
}</v>
      </c>
      <c r="Y97" s="1382"/>
      <c r="Z97" s="1382"/>
      <c r="AB97" s="1440"/>
      <c r="AD97" s="759"/>
      <c r="AE97" s="758" t="s">
        <v>172</v>
      </c>
      <c r="AF97" s="685"/>
      <c r="AG97" s="111"/>
      <c r="AH97" s="675"/>
      <c r="AI97" s="675"/>
      <c r="AJ97" s="675"/>
      <c r="AK97" s="675"/>
      <c r="AL97" s="675"/>
      <c r="AM97" s="675"/>
      <c r="AN97" s="675"/>
      <c r="AO97" s="675"/>
      <c r="AP97" s="675"/>
      <c r="AQ97" s="675"/>
      <c r="AR97" s="675"/>
      <c r="AS97" s="675"/>
      <c r="AT97" s="675"/>
      <c r="AU97" s="675"/>
      <c r="AV97" s="675"/>
      <c r="AW97" s="675"/>
      <c r="AX97" s="675"/>
      <c r="AY97" s="675"/>
      <c r="AZ97" s="675"/>
      <c r="BA97" s="675"/>
      <c r="BB97" s="675"/>
      <c r="BC97" s="675"/>
      <c r="BD97" s="675"/>
      <c r="BE97" s="675"/>
      <c r="BF97" s="675"/>
      <c r="BG97" s="675"/>
      <c r="BH97" s="675"/>
      <c r="BI97" s="675"/>
      <c r="BJ97" s="675"/>
      <c r="BK97" s="675"/>
      <c r="BL97" s="675"/>
      <c r="BM97" s="675"/>
      <c r="BN97" s="675"/>
      <c r="BO97" s="675"/>
      <c r="BP97" s="675"/>
      <c r="BQ97" s="675"/>
      <c r="BR97" s="675"/>
      <c r="BS97" s="675"/>
      <c r="BT97" s="675"/>
      <c r="BU97" s="675"/>
      <c r="BV97" s="675"/>
      <c r="BW97" s="675"/>
      <c r="BX97" s="675"/>
      <c r="BY97" s="675"/>
      <c r="BZ97" s="675"/>
      <c r="CA97" s="675"/>
      <c r="CB97" s="675"/>
      <c r="CC97" s="675"/>
      <c r="CD97" s="675"/>
      <c r="CE97" s="675"/>
      <c r="CF97" s="675"/>
      <c r="CG97" s="675"/>
      <c r="CH97" s="675"/>
      <c r="CI97" s="675"/>
      <c r="CJ97" s="675"/>
      <c r="CK97" s="675"/>
      <c r="CL97" s="675"/>
      <c r="CM97" s="675"/>
      <c r="CN97" s="675"/>
      <c r="CO97" s="675"/>
      <c r="CP97" s="675"/>
      <c r="CQ97" s="675"/>
      <c r="CR97" s="675"/>
      <c r="CS97" s="675"/>
      <c r="CT97" s="33"/>
      <c r="CW97" s="902" t="str">
        <f>IF(AND(ISNUMBER(VALUE(TRIM(SUBSTITUTE(AD97,".","")))),TRIM(SUBSTITUTE(AD97,".",""))&lt;&gt;""),"P"&amp;SUBSTITUTE(AD97,".",""),"")</f>
        <v/>
      </c>
    </row>
    <row r="98" spans="5:104" ht="16.7" hidden="1" customHeight="1">
      <c r="E98" s="623">
        <v>17.100000000000001</v>
      </c>
      <c r="F98" s="714">
        <f t="shared" ca="1" si="46"/>
        <v>0</v>
      </c>
      <c r="S98" s="98" t="b">
        <f t="shared" ca="1" si="47"/>
        <v>0</v>
      </c>
      <c r="U98" s="645" t="b">
        <f t="shared" ca="1" si="45"/>
        <v>0</v>
      </c>
      <c r="Y98" s="1382"/>
      <c r="Z98" s="1382"/>
      <c r="AB98" s="1440"/>
      <c r="AD98" s="111" t="s">
        <v>678</v>
      </c>
      <c r="AE98" s="1442" t="s">
        <v>679</v>
      </c>
      <c r="AF98" s="1413"/>
      <c r="AG98" s="111" t="s">
        <v>648</v>
      </c>
      <c r="AH98" s="672">
        <f t="shared" ref="AH98:BM98" si="48">SUM(AH100:AH101)</f>
        <v>0</v>
      </c>
      <c r="AI98" s="672">
        <f t="shared" si="48"/>
        <v>0</v>
      </c>
      <c r="AJ98" s="672">
        <f t="shared" si="48"/>
        <v>0</v>
      </c>
      <c r="AK98" s="672">
        <f t="shared" si="48"/>
        <v>0</v>
      </c>
      <c r="AL98" s="672">
        <f t="shared" si="48"/>
        <v>0</v>
      </c>
      <c r="AM98" s="672">
        <f t="shared" si="48"/>
        <v>0</v>
      </c>
      <c r="AN98" s="672">
        <f t="shared" si="48"/>
        <v>0</v>
      </c>
      <c r="AO98" s="672">
        <f t="shared" si="48"/>
        <v>0</v>
      </c>
      <c r="AP98" s="672">
        <f t="shared" si="48"/>
        <v>0</v>
      </c>
      <c r="AQ98" s="672">
        <f t="shared" si="48"/>
        <v>0</v>
      </c>
      <c r="AR98" s="672">
        <f t="shared" si="48"/>
        <v>0</v>
      </c>
      <c r="AS98" s="672">
        <f t="shared" si="48"/>
        <v>0</v>
      </c>
      <c r="AT98" s="672">
        <f t="shared" si="48"/>
        <v>0</v>
      </c>
      <c r="AU98" s="672">
        <f t="shared" si="48"/>
        <v>0</v>
      </c>
      <c r="AV98" s="672">
        <f t="shared" si="48"/>
        <v>0</v>
      </c>
      <c r="AW98" s="672">
        <f t="shared" si="48"/>
        <v>0</v>
      </c>
      <c r="AX98" s="672">
        <f t="shared" si="48"/>
        <v>0</v>
      </c>
      <c r="AY98" s="672">
        <f t="shared" si="48"/>
        <v>0</v>
      </c>
      <c r="AZ98" s="672">
        <f t="shared" si="48"/>
        <v>0</v>
      </c>
      <c r="BA98" s="672">
        <f t="shared" si="48"/>
        <v>0</v>
      </c>
      <c r="BB98" s="672">
        <f t="shared" si="48"/>
        <v>0</v>
      </c>
      <c r="BC98" s="672">
        <f t="shared" si="48"/>
        <v>0</v>
      </c>
      <c r="BD98" s="672">
        <f t="shared" si="48"/>
        <v>0</v>
      </c>
      <c r="BE98" s="672">
        <f t="shared" si="48"/>
        <v>0</v>
      </c>
      <c r="BF98" s="672">
        <f t="shared" si="48"/>
        <v>0</v>
      </c>
      <c r="BG98" s="672">
        <f t="shared" si="48"/>
        <v>0</v>
      </c>
      <c r="BH98" s="672">
        <f t="shared" si="48"/>
        <v>0</v>
      </c>
      <c r="BI98" s="672">
        <f t="shared" si="48"/>
        <v>0</v>
      </c>
      <c r="BJ98" s="672">
        <f t="shared" si="48"/>
        <v>0</v>
      </c>
      <c r="BK98" s="672">
        <f t="shared" si="48"/>
        <v>0</v>
      </c>
      <c r="BL98" s="672">
        <f t="shared" si="48"/>
        <v>0</v>
      </c>
      <c r="BM98" s="672">
        <f t="shared" si="48"/>
        <v>0</v>
      </c>
      <c r="BN98" s="672">
        <f t="shared" ref="BN98:CS98" si="49">SUM(BN100:BN101)</f>
        <v>0</v>
      </c>
      <c r="BO98" s="672">
        <f t="shared" si="49"/>
        <v>0</v>
      </c>
      <c r="BP98" s="672">
        <f t="shared" si="49"/>
        <v>0</v>
      </c>
      <c r="BQ98" s="672">
        <f t="shared" si="49"/>
        <v>0</v>
      </c>
      <c r="BR98" s="672">
        <f t="shared" si="49"/>
        <v>0</v>
      </c>
      <c r="BS98" s="672">
        <f t="shared" si="49"/>
        <v>0</v>
      </c>
      <c r="BT98" s="672">
        <f t="shared" si="49"/>
        <v>0</v>
      </c>
      <c r="BU98" s="672">
        <f t="shared" si="49"/>
        <v>0</v>
      </c>
      <c r="BV98" s="672">
        <f t="shared" si="49"/>
        <v>0</v>
      </c>
      <c r="BW98" s="672">
        <f t="shared" si="49"/>
        <v>0</v>
      </c>
      <c r="BX98" s="672">
        <f t="shared" si="49"/>
        <v>0</v>
      </c>
      <c r="BY98" s="672">
        <f t="shared" si="49"/>
        <v>0</v>
      </c>
      <c r="BZ98" s="672">
        <f t="shared" si="49"/>
        <v>0</v>
      </c>
      <c r="CA98" s="672">
        <f t="shared" si="49"/>
        <v>0</v>
      </c>
      <c r="CB98" s="672">
        <f t="shared" si="49"/>
        <v>0</v>
      </c>
      <c r="CC98" s="672">
        <f t="shared" si="49"/>
        <v>0</v>
      </c>
      <c r="CD98" s="672">
        <f t="shared" si="49"/>
        <v>0</v>
      </c>
      <c r="CE98" s="672">
        <f t="shared" si="49"/>
        <v>0</v>
      </c>
      <c r="CF98" s="672">
        <f t="shared" si="49"/>
        <v>0</v>
      </c>
      <c r="CG98" s="672">
        <f t="shared" si="49"/>
        <v>0</v>
      </c>
      <c r="CH98" s="672">
        <f t="shared" si="49"/>
        <v>0</v>
      </c>
      <c r="CI98" s="672">
        <f t="shared" si="49"/>
        <v>0</v>
      </c>
      <c r="CJ98" s="672">
        <f t="shared" si="49"/>
        <v>0</v>
      </c>
      <c r="CK98" s="672">
        <f t="shared" si="49"/>
        <v>0</v>
      </c>
      <c r="CL98" s="672">
        <f t="shared" si="49"/>
        <v>0</v>
      </c>
      <c r="CM98" s="672">
        <f t="shared" si="49"/>
        <v>0</v>
      </c>
      <c r="CN98" s="672">
        <f t="shared" si="49"/>
        <v>0</v>
      </c>
      <c r="CO98" s="672">
        <f t="shared" si="49"/>
        <v>0</v>
      </c>
      <c r="CP98" s="672">
        <f t="shared" si="49"/>
        <v>0</v>
      </c>
      <c r="CQ98" s="672">
        <f t="shared" si="49"/>
        <v>0</v>
      </c>
      <c r="CR98" s="672">
        <f t="shared" si="49"/>
        <v>0</v>
      </c>
      <c r="CS98" s="672">
        <f t="shared" si="49"/>
        <v>0</v>
      </c>
      <c r="CT98" s="22"/>
      <c r="CW98" s="902" t="s">
        <v>680</v>
      </c>
    </row>
    <row r="99" spans="5:104" ht="16.7" hidden="1" customHeight="1">
      <c r="E99" s="623">
        <v>17.100000000000001</v>
      </c>
      <c r="F99" s="714">
        <f t="shared" ca="1" si="46"/>
        <v>0</v>
      </c>
      <c r="R99" s="714" t="s">
        <v>569</v>
      </c>
      <c r="S99" s="98" t="b">
        <f t="shared" ca="1" si="47"/>
        <v>0</v>
      </c>
      <c r="T99" s="714" t="b">
        <v>0</v>
      </c>
      <c r="U99" s="645" t="b">
        <f t="shared" ca="1" si="45"/>
        <v>0</v>
      </c>
      <c r="Y99" s="1382"/>
      <c r="Z99" s="1382"/>
      <c r="AB99" s="1440"/>
      <c r="AD99" s="99" t="str">
        <f>AD98&amp;".0"</f>
        <v>32.0</v>
      </c>
      <c r="AE99" s="1445" t="s">
        <v>580</v>
      </c>
      <c r="AF99" s="1446"/>
      <c r="AG99" s="111" t="s">
        <v>648</v>
      </c>
      <c r="AH99" s="28">
        <f>AH52*AH98</f>
        <v>0</v>
      </c>
      <c r="AI99" s="29">
        <f>AI$52*AI98</f>
        <v>0</v>
      </c>
      <c r="AJ99" s="29">
        <f>AJ$52*AJ98</f>
        <v>0</v>
      </c>
      <c r="AK99" s="29">
        <f>AK$52*AK98</f>
        <v>0</v>
      </c>
      <c r="AL99" s="674">
        <f>AM99+AN99</f>
        <v>0</v>
      </c>
      <c r="AM99" s="29">
        <f>AM$52*AM98</f>
        <v>0</v>
      </c>
      <c r="AN99" s="29">
        <f>AN$52*AN98</f>
        <v>0</v>
      </c>
      <c r="AO99" s="674">
        <f>AP99+AQ99</f>
        <v>0</v>
      </c>
      <c r="AP99" s="1111">
        <f>AP$52*AP98</f>
        <v>0</v>
      </c>
      <c r="AQ99" s="1111">
        <f>AQ$52*AQ98</f>
        <v>0</v>
      </c>
      <c r="AR99" s="674">
        <f>AS99+AT99</f>
        <v>0</v>
      </c>
      <c r="AS99" s="1111">
        <f>AS$52*AS98</f>
        <v>0</v>
      </c>
      <c r="AT99" s="1111">
        <f>AT$52*AT98</f>
        <v>0</v>
      </c>
      <c r="AU99" s="674">
        <f>AV99+AW99</f>
        <v>0</v>
      </c>
      <c r="AV99" s="29">
        <f>AV$52*AV98</f>
        <v>0</v>
      </c>
      <c r="AW99" s="29">
        <f>AW$52*AW98</f>
        <v>0</v>
      </c>
      <c r="AX99" s="674">
        <f>AY99+AZ99</f>
        <v>0</v>
      </c>
      <c r="AY99" s="29">
        <f>AY$52*AY98</f>
        <v>0</v>
      </c>
      <c r="AZ99" s="29">
        <f>AZ$52*AZ98</f>
        <v>0</v>
      </c>
      <c r="BA99" s="674">
        <f>BB99+BC99</f>
        <v>0</v>
      </c>
      <c r="BB99" s="29">
        <f>BB$52*BB98</f>
        <v>0</v>
      </c>
      <c r="BC99" s="29">
        <f>BC$52*BC98</f>
        <v>0</v>
      </c>
      <c r="BD99" s="674">
        <f>BE99+BF99</f>
        <v>0</v>
      </c>
      <c r="BE99" s="29">
        <f>BE$52*BE98</f>
        <v>0</v>
      </c>
      <c r="BF99" s="29">
        <f>BF$52*BF98</f>
        <v>0</v>
      </c>
      <c r="BG99" s="674">
        <f>BH99+BI99</f>
        <v>0</v>
      </c>
      <c r="BH99" s="29">
        <f>BH$52*BH98</f>
        <v>0</v>
      </c>
      <c r="BI99" s="29">
        <f>BI$52*BI98</f>
        <v>0</v>
      </c>
      <c r="BJ99" s="674">
        <f>BK99+BL99</f>
        <v>0</v>
      </c>
      <c r="BK99" s="29">
        <f>BK$52*BK98</f>
        <v>0</v>
      </c>
      <c r="BL99" s="29">
        <f>BL$52*BL98</f>
        <v>0</v>
      </c>
      <c r="BM99" s="674">
        <f>BN99+BO99</f>
        <v>0</v>
      </c>
      <c r="BN99" s="29">
        <f>BN$52*BN98</f>
        <v>0</v>
      </c>
      <c r="BO99" s="29">
        <f>BO$52*BO98</f>
        <v>0</v>
      </c>
      <c r="BP99" s="674">
        <f>BQ99+BR99</f>
        <v>0</v>
      </c>
      <c r="BQ99" s="762">
        <f>BQ$52*BQ98</f>
        <v>0</v>
      </c>
      <c r="BR99" s="762">
        <f>BR$52*BR98</f>
        <v>0</v>
      </c>
      <c r="BS99" s="674">
        <f>BT99+BU99</f>
        <v>0</v>
      </c>
      <c r="BT99" s="1111">
        <f>BT$52*BT98</f>
        <v>0</v>
      </c>
      <c r="BU99" s="1111">
        <f>BU$52*BU98</f>
        <v>0</v>
      </c>
      <c r="BV99" s="674">
        <f>BW99+BX99</f>
        <v>0</v>
      </c>
      <c r="BW99" s="1111">
        <f>BW$52*BW98</f>
        <v>0</v>
      </c>
      <c r="BX99" s="1111">
        <f>BX$52*BX98</f>
        <v>0</v>
      </c>
      <c r="BY99" s="674">
        <f>BZ99+CA99</f>
        <v>0</v>
      </c>
      <c r="BZ99" s="29">
        <f>BZ$52*BZ98</f>
        <v>0</v>
      </c>
      <c r="CA99" s="29">
        <f>CA$52*CA98</f>
        <v>0</v>
      </c>
      <c r="CB99" s="674">
        <f>CC99+CD99</f>
        <v>0</v>
      </c>
      <c r="CC99" s="29">
        <f>CC$52*CC98</f>
        <v>0</v>
      </c>
      <c r="CD99" s="29">
        <f>CD$52*CD98</f>
        <v>0</v>
      </c>
      <c r="CE99" s="674">
        <f>CF99+CG99</f>
        <v>0</v>
      </c>
      <c r="CF99" s="29">
        <f>CF$52*CF98</f>
        <v>0</v>
      </c>
      <c r="CG99" s="29">
        <f>CG$52*CG98</f>
        <v>0</v>
      </c>
      <c r="CH99" s="674">
        <f>CI99+CJ99</f>
        <v>0</v>
      </c>
      <c r="CI99" s="29">
        <f>CI$52*CI98</f>
        <v>0</v>
      </c>
      <c r="CJ99" s="29">
        <f>CJ$52*CJ98</f>
        <v>0</v>
      </c>
      <c r="CK99" s="674">
        <f>CL99+CM99</f>
        <v>0</v>
      </c>
      <c r="CL99" s="29">
        <f>CL$52*CL98</f>
        <v>0</v>
      </c>
      <c r="CM99" s="29">
        <f>CM$52*CM98</f>
        <v>0</v>
      </c>
      <c r="CN99" s="674">
        <f>CO99+CP99</f>
        <v>0</v>
      </c>
      <c r="CO99" s="29">
        <f>CO$52*CO98</f>
        <v>0</v>
      </c>
      <c r="CP99" s="29">
        <f>CP$52*CP98</f>
        <v>0</v>
      </c>
      <c r="CQ99" s="674">
        <f>CR99+CS99</f>
        <v>0</v>
      </c>
      <c r="CR99" s="29">
        <f>CR$52*CR98</f>
        <v>0</v>
      </c>
      <c r="CS99" s="29">
        <f>CS$52*CS98</f>
        <v>0</v>
      </c>
      <c r="CT99" s="22"/>
      <c r="CW99" s="902" t="s">
        <v>681</v>
      </c>
    </row>
    <row r="100" spans="5:104" ht="16.7" hidden="1" customHeight="1">
      <c r="E100" s="623">
        <v>17.100000000000001</v>
      </c>
      <c r="F100" s="714">
        <f t="shared" ca="1" si="46"/>
        <v>0</v>
      </c>
      <c r="S100" s="98" t="b">
        <f t="shared" ca="1" si="47"/>
        <v>0</v>
      </c>
      <c r="T100" s="98" t="b">
        <f>AD100&lt;&gt;"32.0"</f>
        <v>0</v>
      </c>
      <c r="U100" s="645" t="b">
        <f t="shared" ca="1" si="45"/>
        <v>0</v>
      </c>
      <c r="X100" s="98" t="s">
        <v>170</v>
      </c>
      <c r="Y100" s="1382"/>
      <c r="Z100" s="1382"/>
      <c r="AB100" s="1440"/>
      <c r="AD100" s="99" t="s">
        <v>682</v>
      </c>
      <c r="AE100" s="757"/>
      <c r="AF100" s="475"/>
      <c r="AG100" s="111" t="s">
        <v>648</v>
      </c>
      <c r="AH100" s="28"/>
      <c r="AI100" s="29"/>
      <c r="AJ100" s="29"/>
      <c r="AK100" s="29"/>
      <c r="AL100" s="674">
        <f>AM100+AN100</f>
        <v>0</v>
      </c>
      <c r="AM100" s="29">
        <f>AM96*AM64/1000</f>
        <v>0</v>
      </c>
      <c r="AN100" s="29">
        <f>AN96*AN64/1000</f>
        <v>0</v>
      </c>
      <c r="AO100" s="674">
        <f>AP100+AQ100</f>
        <v>0</v>
      </c>
      <c r="AP100" s="1111">
        <f>AP96*AP64/1000</f>
        <v>0</v>
      </c>
      <c r="AQ100" s="1111">
        <f>AQ96*AQ64/1000</f>
        <v>0</v>
      </c>
      <c r="AR100" s="674">
        <f>AS100+AT100</f>
        <v>0</v>
      </c>
      <c r="AS100" s="1111">
        <f>AS96*AS64/1000</f>
        <v>0</v>
      </c>
      <c r="AT100" s="1111">
        <f>AT96*AT64/1000</f>
        <v>0</v>
      </c>
      <c r="AU100" s="674">
        <f>AV100+AW100</f>
        <v>0</v>
      </c>
      <c r="AV100" s="29">
        <f>AV96*AV64/1000</f>
        <v>0</v>
      </c>
      <c r="AW100" s="29">
        <f>AW96*AW64/1000</f>
        <v>0</v>
      </c>
      <c r="AX100" s="674">
        <f>AY100+AZ100</f>
        <v>0</v>
      </c>
      <c r="AY100" s="29">
        <f>AY96*AY64/1000</f>
        <v>0</v>
      </c>
      <c r="AZ100" s="29">
        <f>AZ96*AZ64/1000</f>
        <v>0</v>
      </c>
      <c r="BA100" s="674">
        <f>BB100+BC100</f>
        <v>0</v>
      </c>
      <c r="BB100" s="29">
        <f>BB96*BB64/1000</f>
        <v>0</v>
      </c>
      <c r="BC100" s="29">
        <f>BC96*BC64/1000</f>
        <v>0</v>
      </c>
      <c r="BD100" s="674">
        <f>BE100+BF100</f>
        <v>0</v>
      </c>
      <c r="BE100" s="29">
        <f>BE96*BE64/1000</f>
        <v>0</v>
      </c>
      <c r="BF100" s="29">
        <f>BF96*BF64/1000</f>
        <v>0</v>
      </c>
      <c r="BG100" s="674">
        <f>BH100+BI100</f>
        <v>0</v>
      </c>
      <c r="BH100" s="29">
        <f>BH96*BH64/1000</f>
        <v>0</v>
      </c>
      <c r="BI100" s="29">
        <f>BI96*BI64/1000</f>
        <v>0</v>
      </c>
      <c r="BJ100" s="674">
        <f>BK100+BL100</f>
        <v>0</v>
      </c>
      <c r="BK100" s="29">
        <f>BK96*BK64/1000</f>
        <v>0</v>
      </c>
      <c r="BL100" s="29">
        <f>BL96*BL64/1000</f>
        <v>0</v>
      </c>
      <c r="BM100" s="674">
        <f>BN100+BO100</f>
        <v>0</v>
      </c>
      <c r="BN100" s="29">
        <f>BN96*BN64/1000</f>
        <v>0</v>
      </c>
      <c r="BO100" s="29">
        <f>BO96*BO64/1000</f>
        <v>0</v>
      </c>
      <c r="BP100" s="674">
        <f>BQ100+BR100</f>
        <v>0</v>
      </c>
      <c r="BQ100" s="762">
        <f>BQ96*BQ64/1000</f>
        <v>0</v>
      </c>
      <c r="BR100" s="762">
        <f>BR96*BR64/1000</f>
        <v>0</v>
      </c>
      <c r="BS100" s="674">
        <f>BT100+BU100</f>
        <v>0</v>
      </c>
      <c r="BT100" s="1111">
        <f>BT96*BT64/1000</f>
        <v>0</v>
      </c>
      <c r="BU100" s="1111">
        <f>BU96*BU64/1000</f>
        <v>0</v>
      </c>
      <c r="BV100" s="674">
        <f>BW100+BX100</f>
        <v>0</v>
      </c>
      <c r="BW100" s="1111">
        <f>BW96*BW64/1000</f>
        <v>0</v>
      </c>
      <c r="BX100" s="1111">
        <f>BX96*BX64/1000</f>
        <v>0</v>
      </c>
      <c r="BY100" s="674">
        <f>BZ100+CA100</f>
        <v>0</v>
      </c>
      <c r="BZ100" s="29">
        <f>BZ96*BZ64/1000</f>
        <v>0</v>
      </c>
      <c r="CA100" s="29">
        <f>CA96*CA64/1000</f>
        <v>0</v>
      </c>
      <c r="CB100" s="674">
        <f>CC100+CD100</f>
        <v>0</v>
      </c>
      <c r="CC100" s="29">
        <f>CC96*CC64/1000</f>
        <v>0</v>
      </c>
      <c r="CD100" s="29">
        <f>CD96*CD64/1000</f>
        <v>0</v>
      </c>
      <c r="CE100" s="674">
        <f>CF100+CG100</f>
        <v>0</v>
      </c>
      <c r="CF100" s="29">
        <f>CF96*CF64/1000</f>
        <v>0</v>
      </c>
      <c r="CG100" s="29">
        <f>CG96*CG64/1000</f>
        <v>0</v>
      </c>
      <c r="CH100" s="674">
        <f>CI100+CJ100</f>
        <v>0</v>
      </c>
      <c r="CI100" s="29">
        <f>CI96*CI64/1000</f>
        <v>0</v>
      </c>
      <c r="CJ100" s="29">
        <f>CJ96*CJ64/1000</f>
        <v>0</v>
      </c>
      <c r="CK100" s="674">
        <f>CL100+CM100</f>
        <v>0</v>
      </c>
      <c r="CL100" s="29">
        <f>CL96*CL64/1000</f>
        <v>0</v>
      </c>
      <c r="CM100" s="29">
        <f>CM96*CM64/1000</f>
        <v>0</v>
      </c>
      <c r="CN100" s="674">
        <f>CO100+CP100</f>
        <v>0</v>
      </c>
      <c r="CO100" s="29">
        <f>CO96*CO64/1000</f>
        <v>0</v>
      </c>
      <c r="CP100" s="29">
        <f>CP96*CP64/1000</f>
        <v>0</v>
      </c>
      <c r="CQ100" s="674">
        <f>CR100+CS100</f>
        <v>0</v>
      </c>
      <c r="CR100" s="29">
        <f>CR96*CR64/1000</f>
        <v>0</v>
      </c>
      <c r="CS100" s="29">
        <f>CS96*CS64/1000</f>
        <v>0</v>
      </c>
      <c r="CT100" s="22"/>
      <c r="CW100" s="902" t="s">
        <v>681</v>
      </c>
      <c r="CX100" s="907" t="s">
        <v>630</v>
      </c>
      <c r="CY100" s="911">
        <f>AE100</f>
        <v>0</v>
      </c>
      <c r="CZ100" s="911">
        <f>AF100</f>
        <v>0</v>
      </c>
    </row>
    <row r="101" spans="5:104" ht="15" hidden="1" customHeight="1">
      <c r="E101" s="623">
        <v>0</v>
      </c>
      <c r="F101" s="714">
        <f t="shared" ca="1" si="46"/>
        <v>0</v>
      </c>
      <c r="S101" s="98" t="b">
        <f t="shared" ca="1" si="47"/>
        <v>0</v>
      </c>
      <c r="U101" s="645" t="b">
        <f t="shared" ca="1" si="45"/>
        <v>0</v>
      </c>
      <c r="X101" s="756" t="str">
        <f>"{                  
         funcDyn: 'msg1',
         blok: 'blok_2',
         wsCross: 'Топливо 4.4',
         linkFormula: 'AE-AE#AF-AF',
         levelDyn: "&amp;Y28&amp;"
}"</f>
        <v>{                  
         funcDyn: 'msg1',
         blok: 'blok_2',
         wsCross: 'Топливо 4.4',
         linkFormula: 'AE-AE#AF-AF',
         levelDyn: 0
}</v>
      </c>
      <c r="Y101" s="1382"/>
      <c r="Z101" s="1382"/>
      <c r="AB101" s="1440"/>
      <c r="AD101" s="759"/>
      <c r="AE101" s="758" t="s">
        <v>172</v>
      </c>
      <c r="AF101" s="685"/>
      <c r="AG101" s="111"/>
      <c r="AH101" s="673"/>
      <c r="AI101" s="675"/>
      <c r="AJ101" s="675"/>
      <c r="AK101" s="675"/>
      <c r="AL101" s="675"/>
      <c r="AM101" s="675"/>
      <c r="AN101" s="675"/>
      <c r="AO101" s="675"/>
      <c r="AP101" s="675"/>
      <c r="AQ101" s="675"/>
      <c r="AR101" s="675"/>
      <c r="AS101" s="675"/>
      <c r="AT101" s="675"/>
      <c r="AU101" s="675"/>
      <c r="AV101" s="675"/>
      <c r="AW101" s="675"/>
      <c r="AX101" s="675"/>
      <c r="AY101" s="675"/>
      <c r="AZ101" s="675"/>
      <c r="BA101" s="675"/>
      <c r="BB101" s="675"/>
      <c r="BC101" s="675"/>
      <c r="BD101" s="675"/>
      <c r="BE101" s="675"/>
      <c r="BF101" s="675"/>
      <c r="BG101" s="675"/>
      <c r="BH101" s="675"/>
      <c r="BI101" s="675"/>
      <c r="BJ101" s="675"/>
      <c r="BK101" s="675"/>
      <c r="BL101" s="675"/>
      <c r="BM101" s="675"/>
      <c r="BN101" s="675"/>
      <c r="BO101" s="675"/>
      <c r="BP101" s="675"/>
      <c r="BQ101" s="675"/>
      <c r="BR101" s="675"/>
      <c r="BS101" s="675"/>
      <c r="BT101" s="675"/>
      <c r="BU101" s="675"/>
      <c r="BV101" s="675"/>
      <c r="BW101" s="675"/>
      <c r="BX101" s="675"/>
      <c r="BY101" s="675"/>
      <c r="BZ101" s="675"/>
      <c r="CA101" s="675"/>
      <c r="CB101" s="675"/>
      <c r="CC101" s="675"/>
      <c r="CD101" s="675"/>
      <c r="CE101" s="675"/>
      <c r="CF101" s="675"/>
      <c r="CG101" s="675"/>
      <c r="CH101" s="675"/>
      <c r="CI101" s="675"/>
      <c r="CJ101" s="675"/>
      <c r="CK101" s="675"/>
      <c r="CL101" s="675"/>
      <c r="CM101" s="675"/>
      <c r="CN101" s="675"/>
      <c r="CO101" s="675"/>
      <c r="CP101" s="675"/>
      <c r="CQ101" s="675"/>
      <c r="CR101" s="675"/>
      <c r="CS101" s="675"/>
      <c r="CT101" s="33"/>
      <c r="CW101" s="902" t="str">
        <f>IF(AND(ISNUMBER(VALUE(TRIM(SUBSTITUTE(AD101,".","")))),TRIM(SUBSTITUTE(AD101,".",""))&lt;&gt;""),"P"&amp;SUBSTITUTE(AD101,".",""),"")</f>
        <v/>
      </c>
    </row>
    <row r="102" spans="5:104" ht="29.25" hidden="1" customHeight="1">
      <c r="E102" s="623">
        <v>30</v>
      </c>
      <c r="F102" s="714">
        <f t="shared" ca="1" si="46"/>
        <v>0</v>
      </c>
      <c r="R102" s="714" t="s">
        <v>569</v>
      </c>
      <c r="S102" s="98" t="b">
        <f t="shared" ca="1" si="47"/>
        <v>0</v>
      </c>
      <c r="U102" s="645" t="b">
        <f t="shared" ca="1" si="45"/>
        <v>0</v>
      </c>
      <c r="Y102" s="1382"/>
      <c r="Z102" s="1382"/>
      <c r="AB102" s="1440"/>
      <c r="AD102" s="111" t="s">
        <v>683</v>
      </c>
      <c r="AE102" s="1447" t="s">
        <v>684</v>
      </c>
      <c r="AF102" s="1448"/>
      <c r="AG102" s="111" t="s">
        <v>648</v>
      </c>
      <c r="AH102" s="672">
        <f t="shared" ref="AH102:BM102" si="50">SUM(AH103:AH104)</f>
        <v>0</v>
      </c>
      <c r="AI102" s="672">
        <f t="shared" si="50"/>
        <v>0</v>
      </c>
      <c r="AJ102" s="672">
        <f t="shared" si="50"/>
        <v>0</v>
      </c>
      <c r="AK102" s="672">
        <f t="shared" si="50"/>
        <v>0</v>
      </c>
      <c r="AL102" s="672">
        <f t="shared" si="50"/>
        <v>0</v>
      </c>
      <c r="AM102" s="672">
        <f t="shared" si="50"/>
        <v>0</v>
      </c>
      <c r="AN102" s="672">
        <f t="shared" si="50"/>
        <v>0</v>
      </c>
      <c r="AO102" s="672">
        <f t="shared" si="50"/>
        <v>0</v>
      </c>
      <c r="AP102" s="672">
        <f t="shared" si="50"/>
        <v>0</v>
      </c>
      <c r="AQ102" s="672">
        <f t="shared" si="50"/>
        <v>0</v>
      </c>
      <c r="AR102" s="672">
        <f t="shared" si="50"/>
        <v>0</v>
      </c>
      <c r="AS102" s="672">
        <f t="shared" si="50"/>
        <v>0</v>
      </c>
      <c r="AT102" s="672">
        <f t="shared" si="50"/>
        <v>0</v>
      </c>
      <c r="AU102" s="672">
        <f t="shared" si="50"/>
        <v>0</v>
      </c>
      <c r="AV102" s="672">
        <f t="shared" si="50"/>
        <v>0</v>
      </c>
      <c r="AW102" s="672">
        <f t="shared" si="50"/>
        <v>0</v>
      </c>
      <c r="AX102" s="672">
        <f t="shared" si="50"/>
        <v>0</v>
      </c>
      <c r="AY102" s="672">
        <f t="shared" si="50"/>
        <v>0</v>
      </c>
      <c r="AZ102" s="672">
        <f t="shared" si="50"/>
        <v>0</v>
      </c>
      <c r="BA102" s="672">
        <f t="shared" si="50"/>
        <v>0</v>
      </c>
      <c r="BB102" s="672">
        <f t="shared" si="50"/>
        <v>0</v>
      </c>
      <c r="BC102" s="672">
        <f t="shared" si="50"/>
        <v>0</v>
      </c>
      <c r="BD102" s="672">
        <f t="shared" si="50"/>
        <v>0</v>
      </c>
      <c r="BE102" s="672">
        <f t="shared" si="50"/>
        <v>0</v>
      </c>
      <c r="BF102" s="672">
        <f t="shared" si="50"/>
        <v>0</v>
      </c>
      <c r="BG102" s="672">
        <f t="shared" si="50"/>
        <v>0</v>
      </c>
      <c r="BH102" s="672">
        <f t="shared" si="50"/>
        <v>0</v>
      </c>
      <c r="BI102" s="672">
        <f t="shared" si="50"/>
        <v>0</v>
      </c>
      <c r="BJ102" s="672">
        <f t="shared" si="50"/>
        <v>0</v>
      </c>
      <c r="BK102" s="672">
        <f t="shared" si="50"/>
        <v>0</v>
      </c>
      <c r="BL102" s="672">
        <f t="shared" si="50"/>
        <v>0</v>
      </c>
      <c r="BM102" s="672">
        <f t="shared" si="50"/>
        <v>0</v>
      </c>
      <c r="BN102" s="672">
        <f t="shared" ref="BN102:CS102" si="51">SUM(BN103:BN104)</f>
        <v>0</v>
      </c>
      <c r="BO102" s="672">
        <f t="shared" si="51"/>
        <v>0</v>
      </c>
      <c r="BP102" s="672">
        <f t="shared" si="51"/>
        <v>0</v>
      </c>
      <c r="BQ102" s="672">
        <f t="shared" si="51"/>
        <v>0</v>
      </c>
      <c r="BR102" s="672">
        <f t="shared" si="51"/>
        <v>0</v>
      </c>
      <c r="BS102" s="672">
        <f t="shared" si="51"/>
        <v>0</v>
      </c>
      <c r="BT102" s="672">
        <f t="shared" si="51"/>
        <v>0</v>
      </c>
      <c r="BU102" s="672">
        <f t="shared" si="51"/>
        <v>0</v>
      </c>
      <c r="BV102" s="672">
        <f t="shared" si="51"/>
        <v>0</v>
      </c>
      <c r="BW102" s="672">
        <f t="shared" si="51"/>
        <v>0</v>
      </c>
      <c r="BX102" s="672">
        <f t="shared" si="51"/>
        <v>0</v>
      </c>
      <c r="BY102" s="672">
        <f t="shared" si="51"/>
        <v>0</v>
      </c>
      <c r="BZ102" s="672">
        <f t="shared" si="51"/>
        <v>0</v>
      </c>
      <c r="CA102" s="672">
        <f t="shared" si="51"/>
        <v>0</v>
      </c>
      <c r="CB102" s="672">
        <f t="shared" si="51"/>
        <v>0</v>
      </c>
      <c r="CC102" s="672">
        <f t="shared" si="51"/>
        <v>0</v>
      </c>
      <c r="CD102" s="672">
        <f t="shared" si="51"/>
        <v>0</v>
      </c>
      <c r="CE102" s="672">
        <f t="shared" si="51"/>
        <v>0</v>
      </c>
      <c r="CF102" s="672">
        <f t="shared" si="51"/>
        <v>0</v>
      </c>
      <c r="CG102" s="672">
        <f t="shared" si="51"/>
        <v>0</v>
      </c>
      <c r="CH102" s="672">
        <f t="shared" si="51"/>
        <v>0</v>
      </c>
      <c r="CI102" s="672">
        <f t="shared" si="51"/>
        <v>0</v>
      </c>
      <c r="CJ102" s="672">
        <f t="shared" si="51"/>
        <v>0</v>
      </c>
      <c r="CK102" s="672">
        <f t="shared" si="51"/>
        <v>0</v>
      </c>
      <c r="CL102" s="672">
        <f t="shared" si="51"/>
        <v>0</v>
      </c>
      <c r="CM102" s="672">
        <f t="shared" si="51"/>
        <v>0</v>
      </c>
      <c r="CN102" s="672">
        <f t="shared" si="51"/>
        <v>0</v>
      </c>
      <c r="CO102" s="672">
        <f t="shared" si="51"/>
        <v>0</v>
      </c>
      <c r="CP102" s="672">
        <f t="shared" si="51"/>
        <v>0</v>
      </c>
      <c r="CQ102" s="672">
        <f t="shared" si="51"/>
        <v>0</v>
      </c>
      <c r="CR102" s="672">
        <f t="shared" si="51"/>
        <v>0</v>
      </c>
      <c r="CS102" s="672">
        <f t="shared" si="51"/>
        <v>0</v>
      </c>
      <c r="CT102" s="22"/>
      <c r="CW102" s="902" t="s">
        <v>685</v>
      </c>
    </row>
    <row r="103" spans="5:104" ht="16.7" hidden="1" customHeight="1">
      <c r="E103" s="623">
        <v>17.100000000000001</v>
      </c>
      <c r="F103" s="714">
        <f t="shared" ca="1" si="46"/>
        <v>0</v>
      </c>
      <c r="R103" s="714" t="s">
        <v>569</v>
      </c>
      <c r="S103" s="98" t="b">
        <f t="shared" ca="1" si="47"/>
        <v>0</v>
      </c>
      <c r="T103" s="98" t="b">
        <f>AD103&lt;&gt;"33.0"</f>
        <v>0</v>
      </c>
      <c r="U103" s="645" t="b">
        <f t="shared" ca="1" si="45"/>
        <v>0</v>
      </c>
      <c r="X103" s="98" t="s">
        <v>170</v>
      </c>
      <c r="Y103" s="1382"/>
      <c r="Z103" s="1382"/>
      <c r="AB103" s="1440"/>
      <c r="AD103" s="99" t="s">
        <v>686</v>
      </c>
      <c r="AE103" s="757"/>
      <c r="AF103" s="475"/>
      <c r="AG103" s="111" t="s">
        <v>648</v>
      </c>
      <c r="AH103" s="28">
        <f>AH$52*AH100</f>
        <v>0</v>
      </c>
      <c r="AI103" s="29">
        <f>AI$52*AI100</f>
        <v>0</v>
      </c>
      <c r="AJ103" s="29">
        <f>AJ$52*AJ100</f>
        <v>0</v>
      </c>
      <c r="AK103" s="29">
        <f>AK$52*AK100</f>
        <v>0</v>
      </c>
      <c r="AL103" s="674">
        <f>AM103+AN103</f>
        <v>0</v>
      </c>
      <c r="AM103" s="29">
        <f>AM$52*AM100</f>
        <v>0</v>
      </c>
      <c r="AN103" s="29">
        <f>AN$52*AN100</f>
        <v>0</v>
      </c>
      <c r="AO103" s="674">
        <f>AP103+AQ103</f>
        <v>0</v>
      </c>
      <c r="AP103" s="1111">
        <f>AP$52*AP100</f>
        <v>0</v>
      </c>
      <c r="AQ103" s="1111">
        <f>AQ$52*AQ100</f>
        <v>0</v>
      </c>
      <c r="AR103" s="674">
        <f>AS103+AT103</f>
        <v>0</v>
      </c>
      <c r="AS103" s="1111">
        <f>AS$52*AS100</f>
        <v>0</v>
      </c>
      <c r="AT103" s="1111">
        <f>AT$52*AT100</f>
        <v>0</v>
      </c>
      <c r="AU103" s="674">
        <f>AV103+AW103</f>
        <v>0</v>
      </c>
      <c r="AV103" s="29">
        <f>AV$52*AV100</f>
        <v>0</v>
      </c>
      <c r="AW103" s="29">
        <f>AW$52*AW100</f>
        <v>0</v>
      </c>
      <c r="AX103" s="674">
        <f>AY103+AZ103</f>
        <v>0</v>
      </c>
      <c r="AY103" s="29">
        <f>AY$52*AY100</f>
        <v>0</v>
      </c>
      <c r="AZ103" s="29">
        <f>AZ$52*AZ100</f>
        <v>0</v>
      </c>
      <c r="BA103" s="674">
        <f>BB103+BC103</f>
        <v>0</v>
      </c>
      <c r="BB103" s="29">
        <f>BB$52*BB100</f>
        <v>0</v>
      </c>
      <c r="BC103" s="29">
        <f>BC$52*BC100</f>
        <v>0</v>
      </c>
      <c r="BD103" s="674">
        <f>BE103+BF103</f>
        <v>0</v>
      </c>
      <c r="BE103" s="29">
        <f>BE$52*BE100</f>
        <v>0</v>
      </c>
      <c r="BF103" s="29">
        <f>BF$52*BF100</f>
        <v>0</v>
      </c>
      <c r="BG103" s="674">
        <f>BH103+BI103</f>
        <v>0</v>
      </c>
      <c r="BH103" s="29">
        <f>BH$52*BH100</f>
        <v>0</v>
      </c>
      <c r="BI103" s="29">
        <f>BI$52*BI100</f>
        <v>0</v>
      </c>
      <c r="BJ103" s="674">
        <f>BK103+BL103</f>
        <v>0</v>
      </c>
      <c r="BK103" s="29">
        <f>BK$52*BK100</f>
        <v>0</v>
      </c>
      <c r="BL103" s="29">
        <f>BL$52*BL100</f>
        <v>0</v>
      </c>
      <c r="BM103" s="674">
        <f>BN103+BO103</f>
        <v>0</v>
      </c>
      <c r="BN103" s="29">
        <f>BN$52*BN100</f>
        <v>0</v>
      </c>
      <c r="BO103" s="29">
        <f>BO$52*BO100</f>
        <v>0</v>
      </c>
      <c r="BP103" s="674">
        <f>BQ103+BR103</f>
        <v>0</v>
      </c>
      <c r="BQ103" s="762">
        <f>BQ$52*BQ100</f>
        <v>0</v>
      </c>
      <c r="BR103" s="762">
        <f>BR$52*BR100</f>
        <v>0</v>
      </c>
      <c r="BS103" s="674">
        <f>BT103+BU103</f>
        <v>0</v>
      </c>
      <c r="BT103" s="1111">
        <f>BT$52*BT100</f>
        <v>0</v>
      </c>
      <c r="BU103" s="1111">
        <f>BU$52*BU100</f>
        <v>0</v>
      </c>
      <c r="BV103" s="674">
        <f>BW103+BX103</f>
        <v>0</v>
      </c>
      <c r="BW103" s="1111">
        <f>BW$52*BW100</f>
        <v>0</v>
      </c>
      <c r="BX103" s="1111">
        <f>BX$52*BX100</f>
        <v>0</v>
      </c>
      <c r="BY103" s="674">
        <f>BZ103+CA103</f>
        <v>0</v>
      </c>
      <c r="BZ103" s="29">
        <f>BZ$52*BZ100</f>
        <v>0</v>
      </c>
      <c r="CA103" s="29">
        <f>CA$52*CA100</f>
        <v>0</v>
      </c>
      <c r="CB103" s="674">
        <f>CC103+CD103</f>
        <v>0</v>
      </c>
      <c r="CC103" s="29">
        <f>CC$52*CC100</f>
        <v>0</v>
      </c>
      <c r="CD103" s="29">
        <f>CD$52*CD100</f>
        <v>0</v>
      </c>
      <c r="CE103" s="674">
        <f>CF103+CG103</f>
        <v>0</v>
      </c>
      <c r="CF103" s="29">
        <f>CF$52*CF100</f>
        <v>0</v>
      </c>
      <c r="CG103" s="29">
        <f>CG$52*CG100</f>
        <v>0</v>
      </c>
      <c r="CH103" s="674">
        <f>CI103+CJ103</f>
        <v>0</v>
      </c>
      <c r="CI103" s="29">
        <f>CI$52*CI100</f>
        <v>0</v>
      </c>
      <c r="CJ103" s="29">
        <f>CJ$52*CJ100</f>
        <v>0</v>
      </c>
      <c r="CK103" s="674">
        <f>CL103+CM103</f>
        <v>0</v>
      </c>
      <c r="CL103" s="29">
        <f>CL$52*CL100</f>
        <v>0</v>
      </c>
      <c r="CM103" s="29">
        <f>CM$52*CM100</f>
        <v>0</v>
      </c>
      <c r="CN103" s="674">
        <f>CO103+CP103</f>
        <v>0</v>
      </c>
      <c r="CO103" s="29">
        <f>CO$52*CO100</f>
        <v>0</v>
      </c>
      <c r="CP103" s="29">
        <f>CP$52*CP100</f>
        <v>0</v>
      </c>
      <c r="CQ103" s="674">
        <f>CR103+CS103</f>
        <v>0</v>
      </c>
      <c r="CR103" s="29">
        <f>CR$52*CR100</f>
        <v>0</v>
      </c>
      <c r="CS103" s="29">
        <f>CS$52*CS100</f>
        <v>0</v>
      </c>
      <c r="CT103" s="22"/>
      <c r="CW103" s="902" t="s">
        <v>685</v>
      </c>
      <c r="CX103" s="907" t="s">
        <v>630</v>
      </c>
      <c r="CY103" s="911">
        <f>AE103</f>
        <v>0</v>
      </c>
      <c r="CZ103" s="911">
        <f>AF103</f>
        <v>0</v>
      </c>
    </row>
    <row r="104" spans="5:104" ht="15" hidden="1" customHeight="1">
      <c r="E104" s="623">
        <v>0</v>
      </c>
      <c r="F104" s="714">
        <f t="shared" ca="1" si="46"/>
        <v>0</v>
      </c>
      <c r="S104" s="98" t="b">
        <f t="shared" ca="1" si="47"/>
        <v>0</v>
      </c>
      <c r="U104" s="645" t="b">
        <f t="shared" ca="1" si="45"/>
        <v>0</v>
      </c>
      <c r="X104" s="756" t="str">
        <f>"{                  
         funcDyn: 'msg1',
         blok: 'blok_2',
         wsCross: 'Топливо 4.4',
         linkFormula: 'AE-AE#AF-AF',
         levelDyn: "&amp;Y28&amp;"
}"</f>
        <v>{                  
         funcDyn: 'msg1',
         blok: 'blok_2',
         wsCross: 'Топливо 4.4',
         linkFormula: 'AE-AE#AF-AF',
         levelDyn: 0
}</v>
      </c>
      <c r="Y104" s="1382"/>
      <c r="Z104" s="1382"/>
      <c r="AB104" s="1441"/>
      <c r="AD104" s="759"/>
      <c r="AE104" s="758" t="s">
        <v>172</v>
      </c>
      <c r="AF104" s="685"/>
      <c r="AG104" s="111"/>
      <c r="AH104" s="673"/>
      <c r="AI104" s="675"/>
      <c r="AJ104" s="675"/>
      <c r="AK104" s="675"/>
      <c r="AL104" s="675"/>
      <c r="AM104" s="675"/>
      <c r="AN104" s="675"/>
      <c r="AO104" s="675"/>
      <c r="AP104" s="675"/>
      <c r="AQ104" s="675"/>
      <c r="AR104" s="675"/>
      <c r="AS104" s="675"/>
      <c r="AT104" s="675"/>
      <c r="AU104" s="675"/>
      <c r="AV104" s="675"/>
      <c r="AW104" s="675"/>
      <c r="AX104" s="675"/>
      <c r="AY104" s="675"/>
      <c r="AZ104" s="675"/>
      <c r="BA104" s="675"/>
      <c r="BB104" s="675"/>
      <c r="BC104" s="675"/>
      <c r="BD104" s="675"/>
      <c r="BE104" s="675"/>
      <c r="BF104" s="675"/>
      <c r="BG104" s="675"/>
      <c r="BH104" s="675"/>
      <c r="BI104" s="675"/>
      <c r="BJ104" s="675"/>
      <c r="BK104" s="675"/>
      <c r="BL104" s="675"/>
      <c r="BM104" s="675"/>
      <c r="BN104" s="675"/>
      <c r="BO104" s="675"/>
      <c r="BP104" s="675"/>
      <c r="BQ104" s="675"/>
      <c r="BR104" s="675"/>
      <c r="BS104" s="675"/>
      <c r="BT104" s="675"/>
      <c r="BU104" s="675"/>
      <c r="BV104" s="675"/>
      <c r="BW104" s="675"/>
      <c r="BX104" s="675"/>
      <c r="BY104" s="675"/>
      <c r="BZ104" s="675"/>
      <c r="CA104" s="675"/>
      <c r="CB104" s="675"/>
      <c r="CC104" s="675"/>
      <c r="CD104" s="675"/>
      <c r="CE104" s="675"/>
      <c r="CF104" s="675"/>
      <c r="CG104" s="675"/>
      <c r="CH104" s="675"/>
      <c r="CI104" s="675"/>
      <c r="CJ104" s="675"/>
      <c r="CK104" s="675"/>
      <c r="CL104" s="675"/>
      <c r="CM104" s="675"/>
      <c r="CN104" s="675"/>
      <c r="CO104" s="675"/>
      <c r="CP104" s="675"/>
      <c r="CQ104" s="675"/>
      <c r="CR104" s="675"/>
      <c r="CS104" s="675"/>
      <c r="CT104" s="33"/>
      <c r="CW104" s="902" t="str">
        <f>IF(AND(ISNUMBER(VALUE(TRIM(SUBSTITUTE(AD104,".","")))),TRIM(SUBSTITUTE(AD104,".",""))&lt;&gt;""),"P"&amp;SUBSTITUTE(AD104,".",""),"")</f>
        <v/>
      </c>
    </row>
    <row r="105" spans="5:104" ht="16.7" hidden="1" customHeight="1">
      <c r="E105" s="623">
        <v>17.100000000000001</v>
      </c>
      <c r="F105" s="714">
        <f t="shared" ca="1" si="46"/>
        <v>0</v>
      </c>
      <c r="S105" s="98" t="b">
        <f t="shared" ca="1" si="47"/>
        <v>0</v>
      </c>
      <c r="U105" s="645" t="b">
        <f t="shared" ca="1" si="45"/>
        <v>0</v>
      </c>
      <c r="Y105" s="1382"/>
      <c r="Z105" s="1382"/>
      <c r="AB105" s="1430" t="s">
        <v>687</v>
      </c>
      <c r="AD105" s="111" t="s">
        <v>688</v>
      </c>
      <c r="AE105" s="1442" t="s">
        <v>689</v>
      </c>
      <c r="AF105" s="1413"/>
      <c r="AG105" s="477"/>
      <c r="AH105" s="673"/>
      <c r="AI105" s="675"/>
      <c r="AJ105" s="675"/>
      <c r="AK105" s="675"/>
      <c r="AL105" s="675"/>
      <c r="AM105" s="675"/>
      <c r="AN105" s="675"/>
      <c r="AO105" s="675"/>
      <c r="AP105" s="675"/>
      <c r="AQ105" s="675"/>
      <c r="AR105" s="675"/>
      <c r="AS105" s="675"/>
      <c r="AT105" s="675"/>
      <c r="AU105" s="675"/>
      <c r="AV105" s="675"/>
      <c r="AW105" s="675"/>
      <c r="AX105" s="675"/>
      <c r="AY105" s="675"/>
      <c r="AZ105" s="675"/>
      <c r="BA105" s="675"/>
      <c r="BB105" s="675"/>
      <c r="BC105" s="675"/>
      <c r="BD105" s="675"/>
      <c r="BE105" s="675"/>
      <c r="BF105" s="675"/>
      <c r="BG105" s="675"/>
      <c r="BH105" s="675"/>
      <c r="BI105" s="675"/>
      <c r="BJ105" s="675"/>
      <c r="BK105" s="675"/>
      <c r="BL105" s="675"/>
      <c r="BM105" s="675"/>
      <c r="BN105" s="675"/>
      <c r="BO105" s="675"/>
      <c r="BP105" s="675"/>
      <c r="BQ105" s="675"/>
      <c r="BR105" s="675"/>
      <c r="BS105" s="675"/>
      <c r="BT105" s="675"/>
      <c r="BU105" s="675"/>
      <c r="BV105" s="675"/>
      <c r="BW105" s="675"/>
      <c r="BX105" s="675"/>
      <c r="BY105" s="675"/>
      <c r="BZ105" s="675"/>
      <c r="CA105" s="675"/>
      <c r="CB105" s="675"/>
      <c r="CC105" s="675"/>
      <c r="CD105" s="675"/>
      <c r="CE105" s="675"/>
      <c r="CF105" s="675"/>
      <c r="CG105" s="675"/>
      <c r="CH105" s="675"/>
      <c r="CI105" s="675"/>
      <c r="CJ105" s="675"/>
      <c r="CK105" s="675"/>
      <c r="CL105" s="675"/>
      <c r="CM105" s="675"/>
      <c r="CN105" s="675"/>
      <c r="CO105" s="675"/>
      <c r="CP105" s="675"/>
      <c r="CQ105" s="675"/>
      <c r="CR105" s="675"/>
      <c r="CS105" s="675"/>
      <c r="CT105" s="22"/>
      <c r="CW105" s="902" t="s">
        <v>690</v>
      </c>
    </row>
    <row r="106" spans="5:104" ht="16.7" hidden="1" customHeight="1">
      <c r="E106" s="623">
        <v>17.100000000000001</v>
      </c>
      <c r="F106" s="714">
        <f t="shared" ca="1" si="46"/>
        <v>0</v>
      </c>
      <c r="S106" s="98" t="b">
        <f t="shared" ca="1" si="47"/>
        <v>0</v>
      </c>
      <c r="T106" s="98" t="b">
        <f>AD106&lt;&gt;"34.0"</f>
        <v>0</v>
      </c>
      <c r="U106" s="645" t="b">
        <f t="shared" ca="1" si="45"/>
        <v>0</v>
      </c>
      <c r="X106" s="98" t="s">
        <v>170</v>
      </c>
      <c r="Y106" s="1382"/>
      <c r="Z106" s="1382"/>
      <c r="AB106" s="1431"/>
      <c r="AD106" s="99" t="s">
        <v>691</v>
      </c>
      <c r="AE106" s="757"/>
      <c r="AF106" s="475"/>
      <c r="AG106" s="111" t="s">
        <v>388</v>
      </c>
      <c r="AH106" s="32"/>
      <c r="AI106" s="36"/>
      <c r="AJ106" s="36"/>
      <c r="AK106" s="36"/>
      <c r="AL106" s="675"/>
      <c r="AM106" s="36"/>
      <c r="AN106" s="36"/>
      <c r="AO106" s="675"/>
      <c r="AP106" s="1115"/>
      <c r="AQ106" s="1115"/>
      <c r="AR106" s="675"/>
      <c r="AS106" s="1115"/>
      <c r="AT106" s="1115"/>
      <c r="AU106" s="675"/>
      <c r="AV106" s="36"/>
      <c r="AW106" s="36"/>
      <c r="AX106" s="675"/>
      <c r="AY106" s="36"/>
      <c r="AZ106" s="36"/>
      <c r="BA106" s="675"/>
      <c r="BB106" s="36"/>
      <c r="BC106" s="36"/>
      <c r="BD106" s="675"/>
      <c r="BE106" s="36"/>
      <c r="BF106" s="36"/>
      <c r="BG106" s="675"/>
      <c r="BH106" s="36"/>
      <c r="BI106" s="36"/>
      <c r="BJ106" s="675"/>
      <c r="BK106" s="36"/>
      <c r="BL106" s="36"/>
      <c r="BM106" s="675"/>
      <c r="BN106" s="36"/>
      <c r="BO106" s="36"/>
      <c r="BP106" s="675"/>
      <c r="BQ106" s="765"/>
      <c r="BR106" s="765"/>
      <c r="BS106" s="675"/>
      <c r="BT106" s="1115"/>
      <c r="BU106" s="1115"/>
      <c r="BV106" s="675"/>
      <c r="BW106" s="1115"/>
      <c r="BX106" s="1115"/>
      <c r="BY106" s="675"/>
      <c r="BZ106" s="36"/>
      <c r="CA106" s="36"/>
      <c r="CB106" s="675"/>
      <c r="CC106" s="36"/>
      <c r="CD106" s="36"/>
      <c r="CE106" s="675"/>
      <c r="CF106" s="36"/>
      <c r="CG106" s="36"/>
      <c r="CH106" s="675"/>
      <c r="CI106" s="36"/>
      <c r="CJ106" s="36"/>
      <c r="CK106" s="675"/>
      <c r="CL106" s="36"/>
      <c r="CM106" s="36"/>
      <c r="CN106" s="675"/>
      <c r="CO106" s="36"/>
      <c r="CP106" s="36"/>
      <c r="CQ106" s="675"/>
      <c r="CR106" s="36"/>
      <c r="CS106" s="36"/>
      <c r="CT106" s="22"/>
      <c r="CW106" s="902" t="s">
        <v>690</v>
      </c>
      <c r="CX106" s="907" t="s">
        <v>630</v>
      </c>
      <c r="CY106" s="911">
        <f>AE106</f>
        <v>0</v>
      </c>
      <c r="CZ106" s="911">
        <f>AF106</f>
        <v>0</v>
      </c>
    </row>
    <row r="107" spans="5:104" ht="15" hidden="1" customHeight="1">
      <c r="E107" s="623">
        <v>0</v>
      </c>
      <c r="F107" s="714">
        <f t="shared" ca="1" si="46"/>
        <v>0</v>
      </c>
      <c r="S107" s="98" t="b">
        <f t="shared" ca="1" si="47"/>
        <v>0</v>
      </c>
      <c r="U107" s="645" t="b">
        <f t="shared" ca="1" si="45"/>
        <v>0</v>
      </c>
      <c r="X107" s="756" t="str">
        <f>"{                  
         funcDyn: 'msg1',
         blok: 'blok_2',
         wsCross: 'Топливо 4.4',
         linkFormula: 'AE-AE#AF-AF',
         levelDyn: "&amp;Y28&amp;"
}"</f>
        <v>{                  
         funcDyn: 'msg1',
         blok: 'blok_2',
         wsCross: 'Топливо 4.4',
         linkFormula: 'AE-AE#AF-AF',
         levelDyn: 0
}</v>
      </c>
      <c r="Y107" s="1382"/>
      <c r="Z107" s="1382"/>
      <c r="AB107" s="1431"/>
      <c r="AD107" s="759"/>
      <c r="AE107" s="758" t="s">
        <v>172</v>
      </c>
      <c r="AF107" s="685"/>
      <c r="AG107" s="111"/>
      <c r="AH107" s="686"/>
      <c r="AI107" s="37"/>
      <c r="AJ107" s="37"/>
      <c r="AK107" s="37"/>
      <c r="AL107" s="675"/>
      <c r="AM107" s="37"/>
      <c r="AN107" s="37"/>
      <c r="AO107" s="675"/>
      <c r="AP107" s="37"/>
      <c r="AQ107" s="37"/>
      <c r="AR107" s="675"/>
      <c r="AS107" s="37"/>
      <c r="AT107" s="37"/>
      <c r="AU107" s="675"/>
      <c r="AV107" s="37"/>
      <c r="AW107" s="37"/>
      <c r="AX107" s="675"/>
      <c r="AY107" s="37"/>
      <c r="AZ107" s="37"/>
      <c r="BA107" s="675"/>
      <c r="BB107" s="37"/>
      <c r="BC107" s="37"/>
      <c r="BD107" s="675"/>
      <c r="BE107" s="37"/>
      <c r="BF107" s="37"/>
      <c r="BG107" s="675"/>
      <c r="BH107" s="37"/>
      <c r="BI107" s="37"/>
      <c r="BJ107" s="675"/>
      <c r="BK107" s="37"/>
      <c r="BL107" s="37"/>
      <c r="BM107" s="675"/>
      <c r="BN107" s="37"/>
      <c r="BO107" s="37"/>
      <c r="BP107" s="675"/>
      <c r="BQ107" s="37"/>
      <c r="BR107" s="37"/>
      <c r="BS107" s="675"/>
      <c r="BT107" s="37"/>
      <c r="BU107" s="37"/>
      <c r="BV107" s="675"/>
      <c r="BW107" s="37"/>
      <c r="BX107" s="37"/>
      <c r="BY107" s="675"/>
      <c r="BZ107" s="37"/>
      <c r="CA107" s="37"/>
      <c r="CB107" s="675"/>
      <c r="CC107" s="37"/>
      <c r="CD107" s="37"/>
      <c r="CE107" s="675"/>
      <c r="CF107" s="37"/>
      <c r="CG107" s="37"/>
      <c r="CH107" s="675"/>
      <c r="CI107" s="37"/>
      <c r="CJ107" s="37"/>
      <c r="CK107" s="675"/>
      <c r="CL107" s="37"/>
      <c r="CM107" s="37"/>
      <c r="CN107" s="675"/>
      <c r="CO107" s="37"/>
      <c r="CP107" s="37"/>
      <c r="CQ107" s="675"/>
      <c r="CR107" s="37"/>
      <c r="CS107" s="37"/>
      <c r="CT107" s="33"/>
      <c r="CW107" s="902" t="str">
        <f>IF(AND(ISNUMBER(VALUE(TRIM(SUBSTITUTE(AD107,".","")))),TRIM(SUBSTITUTE(AD107,".",""))&lt;&gt;""),"P"&amp;SUBSTITUTE(AD107,".",""),"")</f>
        <v/>
      </c>
    </row>
    <row r="108" spans="5:104" ht="16.7" hidden="1" customHeight="1">
      <c r="E108" s="623">
        <v>17.100000000000001</v>
      </c>
      <c r="F108" s="714">
        <f t="shared" ca="1" si="46"/>
        <v>0</v>
      </c>
      <c r="S108" s="98" t="b">
        <f t="shared" ca="1" si="47"/>
        <v>0</v>
      </c>
      <c r="U108" s="645" t="b">
        <f t="shared" ca="1" si="45"/>
        <v>0</v>
      </c>
      <c r="Y108" s="1382"/>
      <c r="Z108" s="1382"/>
      <c r="AB108" s="1431"/>
      <c r="AD108" s="111" t="s">
        <v>692</v>
      </c>
      <c r="AE108" s="1442" t="s">
        <v>693</v>
      </c>
      <c r="AF108" s="1413"/>
      <c r="AG108" s="477"/>
      <c r="AH108" s="673"/>
      <c r="AI108" s="675"/>
      <c r="AJ108" s="675"/>
      <c r="AK108" s="675"/>
      <c r="AL108" s="675"/>
      <c r="AM108" s="675"/>
      <c r="AN108" s="675"/>
      <c r="AO108" s="675"/>
      <c r="AP108" s="675"/>
      <c r="AQ108" s="675"/>
      <c r="AR108" s="675"/>
      <c r="AS108" s="675"/>
      <c r="AT108" s="675"/>
      <c r="AU108" s="675"/>
      <c r="AV108" s="675"/>
      <c r="AW108" s="675"/>
      <c r="AX108" s="675"/>
      <c r="AY108" s="675"/>
      <c r="AZ108" s="675"/>
      <c r="BA108" s="675"/>
      <c r="BB108" s="675"/>
      <c r="BC108" s="675"/>
      <c r="BD108" s="675"/>
      <c r="BE108" s="675"/>
      <c r="BF108" s="675"/>
      <c r="BG108" s="675"/>
      <c r="BH108" s="675"/>
      <c r="BI108" s="675"/>
      <c r="BJ108" s="675"/>
      <c r="BK108" s="675"/>
      <c r="BL108" s="675"/>
      <c r="BM108" s="675"/>
      <c r="BN108" s="675"/>
      <c r="BO108" s="675"/>
      <c r="BP108" s="675"/>
      <c r="BQ108" s="675"/>
      <c r="BR108" s="675"/>
      <c r="BS108" s="675"/>
      <c r="BT108" s="675"/>
      <c r="BU108" s="675"/>
      <c r="BV108" s="675"/>
      <c r="BW108" s="675"/>
      <c r="BX108" s="675"/>
      <c r="BY108" s="675"/>
      <c r="BZ108" s="675"/>
      <c r="CA108" s="675"/>
      <c r="CB108" s="675"/>
      <c r="CC108" s="675"/>
      <c r="CD108" s="675"/>
      <c r="CE108" s="675"/>
      <c r="CF108" s="675"/>
      <c r="CG108" s="675"/>
      <c r="CH108" s="675"/>
      <c r="CI108" s="675"/>
      <c r="CJ108" s="675"/>
      <c r="CK108" s="675"/>
      <c r="CL108" s="675"/>
      <c r="CM108" s="675"/>
      <c r="CN108" s="675"/>
      <c r="CO108" s="675"/>
      <c r="CP108" s="675"/>
      <c r="CQ108" s="675"/>
      <c r="CR108" s="675"/>
      <c r="CS108" s="675"/>
      <c r="CT108" s="22"/>
      <c r="CW108" s="902" t="s">
        <v>694</v>
      </c>
    </row>
    <row r="109" spans="5:104" ht="16.7" hidden="1" customHeight="1">
      <c r="E109" s="623">
        <v>17.100000000000001</v>
      </c>
      <c r="F109" s="714">
        <f t="shared" ca="1" si="46"/>
        <v>0</v>
      </c>
      <c r="S109" s="98" t="b">
        <f t="shared" ca="1" si="47"/>
        <v>0</v>
      </c>
      <c r="T109" s="98" t="b">
        <f>AD109&lt;&gt;"35.0"</f>
        <v>0</v>
      </c>
      <c r="U109" s="645" t="b">
        <f t="shared" ca="1" si="45"/>
        <v>0</v>
      </c>
      <c r="X109" s="98" t="s">
        <v>170</v>
      </c>
      <c r="Y109" s="1382"/>
      <c r="Z109" s="1382"/>
      <c r="AB109" s="1431"/>
      <c r="AD109" s="99" t="s">
        <v>695</v>
      </c>
      <c r="AE109" s="757"/>
      <c r="AF109" s="475"/>
      <c r="AG109" s="835" t="str">
        <f>"руб./"&amp;IFERROR(INDEX(fuel_ed_izm_list,MATCH(AE109,fuel_list,0)),"")</f>
        <v>руб./</v>
      </c>
      <c r="AH109" s="28">
        <f>IFERROR(AH113/AH64,0)*1000</f>
        <v>0</v>
      </c>
      <c r="AI109" s="28">
        <f>IFERROR(AI113/AI64,0)*1000</f>
        <v>0</v>
      </c>
      <c r="AJ109" s="28">
        <f>IFERROR(AJ113/AJ64,0)*1000</f>
        <v>0</v>
      </c>
      <c r="AK109" s="28">
        <f>IFERROR(AK113/AK64,0)*1000</f>
        <v>0</v>
      </c>
      <c r="AL109" s="674">
        <f>IFERROR(AL113/AL64,0)*1000</f>
        <v>0</v>
      </c>
      <c r="AM109" s="29"/>
      <c r="AN109" s="29"/>
      <c r="AO109" s="674">
        <f>IFERROR(AO113/AO64,0)*1000</f>
        <v>0</v>
      </c>
      <c r="AP109" s="1111"/>
      <c r="AQ109" s="1111"/>
      <c r="AR109" s="674">
        <f>IFERROR(AR113/AR64,0)*1000</f>
        <v>0</v>
      </c>
      <c r="AS109" s="1111"/>
      <c r="AT109" s="1111"/>
      <c r="AU109" s="674">
        <f>IFERROR(AU113/AU64,0)*1000</f>
        <v>0</v>
      </c>
      <c r="AV109" s="29"/>
      <c r="AW109" s="29"/>
      <c r="AX109" s="674">
        <f>IFERROR(AX113/AX64,0)*1000</f>
        <v>0</v>
      </c>
      <c r="AY109" s="29"/>
      <c r="AZ109" s="29"/>
      <c r="BA109" s="674">
        <f>IFERROR(BA113/BA64,0)*1000</f>
        <v>0</v>
      </c>
      <c r="BB109" s="29"/>
      <c r="BC109" s="29"/>
      <c r="BD109" s="674">
        <f>IFERROR(BD113/BD64,0)*1000</f>
        <v>0</v>
      </c>
      <c r="BE109" s="29"/>
      <c r="BF109" s="29"/>
      <c r="BG109" s="674">
        <f>IFERROR(BG113/BG64,0)*1000</f>
        <v>0</v>
      </c>
      <c r="BH109" s="29"/>
      <c r="BI109" s="29"/>
      <c r="BJ109" s="674">
        <f>IFERROR(BJ113/BJ64,0)*1000</f>
        <v>0</v>
      </c>
      <c r="BK109" s="29"/>
      <c r="BL109" s="29"/>
      <c r="BM109" s="674">
        <f>IFERROR(BM113/BM64,0)*1000</f>
        <v>0</v>
      </c>
      <c r="BN109" s="29"/>
      <c r="BO109" s="29"/>
      <c r="BP109" s="674">
        <f>IFERROR(BP113/BP64,0)*1000</f>
        <v>0</v>
      </c>
      <c r="BQ109" s="762"/>
      <c r="BR109" s="762"/>
      <c r="BS109" s="674">
        <f>IFERROR(BS113/BS64,0)*1000</f>
        <v>0</v>
      </c>
      <c r="BT109" s="1111"/>
      <c r="BU109" s="1111"/>
      <c r="BV109" s="674">
        <f>IFERROR(BV113/BV64,0)*1000</f>
        <v>0</v>
      </c>
      <c r="BW109" s="1111"/>
      <c r="BX109" s="1111"/>
      <c r="BY109" s="674">
        <f>IFERROR(BY113/BY64,0)*1000</f>
        <v>0</v>
      </c>
      <c r="BZ109" s="29"/>
      <c r="CA109" s="29"/>
      <c r="CB109" s="674">
        <f>IFERROR(CB113/CB64,0)*1000</f>
        <v>0</v>
      </c>
      <c r="CC109" s="29"/>
      <c r="CD109" s="29"/>
      <c r="CE109" s="674">
        <f>IFERROR(CE113/CE64,0)*1000</f>
        <v>0</v>
      </c>
      <c r="CF109" s="29"/>
      <c r="CG109" s="29"/>
      <c r="CH109" s="674">
        <f>IFERROR(CH113/CH64,0)*1000</f>
        <v>0</v>
      </c>
      <c r="CI109" s="29"/>
      <c r="CJ109" s="29"/>
      <c r="CK109" s="674">
        <f>IFERROR(CK113/CK64,0)*1000</f>
        <v>0</v>
      </c>
      <c r="CL109" s="29"/>
      <c r="CM109" s="29"/>
      <c r="CN109" s="674">
        <f>IFERROR(CN113/CN64,0)*1000</f>
        <v>0</v>
      </c>
      <c r="CO109" s="29"/>
      <c r="CP109" s="29"/>
      <c r="CQ109" s="674">
        <f>IFERROR(CQ113/CQ64,0)*1000</f>
        <v>0</v>
      </c>
      <c r="CR109" s="29"/>
      <c r="CS109" s="29"/>
      <c r="CT109" s="22"/>
      <c r="CW109" s="902" t="s">
        <v>694</v>
      </c>
      <c r="CX109" s="907" t="s">
        <v>630</v>
      </c>
      <c r="CY109" s="911">
        <f>AE109</f>
        <v>0</v>
      </c>
      <c r="CZ109" s="911">
        <f>AF109</f>
        <v>0</v>
      </c>
    </row>
    <row r="110" spans="5:104" ht="15" hidden="1" customHeight="1">
      <c r="E110" s="623">
        <v>0</v>
      </c>
      <c r="F110" s="714">
        <f t="shared" ca="1" si="46"/>
        <v>0</v>
      </c>
      <c r="S110" s="98" t="b">
        <f t="shared" ca="1" si="47"/>
        <v>0</v>
      </c>
      <c r="U110" s="645" t="b">
        <f t="shared" ca="1" si="45"/>
        <v>0</v>
      </c>
      <c r="X110" s="756" t="str">
        <f>"{                  
         funcDyn: 'msg1',
         blok: 'blok_2',
         wsCross: 'Топливо 4.4',
         linkFormula: 'AE-AE#AF-AF',
         levelDyn: "&amp;Y28&amp;"
}"</f>
        <v>{                  
         funcDyn: 'msg1',
         blok: 'blok_2',
         wsCross: 'Топливо 4.4',
         linkFormula: 'AE-AE#AF-AF',
         levelDyn: 0
}</v>
      </c>
      <c r="Y110" s="1382"/>
      <c r="Z110" s="1382"/>
      <c r="AB110" s="1431"/>
      <c r="AD110" s="759"/>
      <c r="AE110" s="758" t="s">
        <v>172</v>
      </c>
      <c r="AF110" s="685"/>
      <c r="AG110" s="111"/>
      <c r="AH110" s="673"/>
      <c r="AI110" s="675"/>
      <c r="AJ110" s="675"/>
      <c r="AK110" s="675"/>
      <c r="AL110" s="675"/>
      <c r="AM110" s="675"/>
      <c r="AN110" s="675"/>
      <c r="AO110" s="675"/>
      <c r="AP110" s="675"/>
      <c r="AQ110" s="675"/>
      <c r="AR110" s="675"/>
      <c r="AS110" s="675"/>
      <c r="AT110" s="675"/>
      <c r="AU110" s="675"/>
      <c r="AV110" s="675"/>
      <c r="AW110" s="675"/>
      <c r="AX110" s="675"/>
      <c r="AY110" s="675"/>
      <c r="AZ110" s="675"/>
      <c r="BA110" s="675"/>
      <c r="BB110" s="675"/>
      <c r="BC110" s="675"/>
      <c r="BD110" s="675"/>
      <c r="BE110" s="675"/>
      <c r="BF110" s="675"/>
      <c r="BG110" s="675"/>
      <c r="BH110" s="675"/>
      <c r="BI110" s="675"/>
      <c r="BJ110" s="675"/>
      <c r="BK110" s="675"/>
      <c r="BL110" s="675"/>
      <c r="BM110" s="675"/>
      <c r="BN110" s="675"/>
      <c r="BO110" s="675"/>
      <c r="BP110" s="675"/>
      <c r="BQ110" s="675"/>
      <c r="BR110" s="675"/>
      <c r="BS110" s="675"/>
      <c r="BT110" s="675"/>
      <c r="BU110" s="675"/>
      <c r="BV110" s="675"/>
      <c r="BW110" s="675"/>
      <c r="BX110" s="675"/>
      <c r="BY110" s="675"/>
      <c r="BZ110" s="675"/>
      <c r="CA110" s="675"/>
      <c r="CB110" s="675"/>
      <c r="CC110" s="675"/>
      <c r="CD110" s="675"/>
      <c r="CE110" s="675"/>
      <c r="CF110" s="675"/>
      <c r="CG110" s="675"/>
      <c r="CH110" s="675"/>
      <c r="CI110" s="675"/>
      <c r="CJ110" s="675"/>
      <c r="CK110" s="675"/>
      <c r="CL110" s="675"/>
      <c r="CM110" s="675"/>
      <c r="CN110" s="675"/>
      <c r="CO110" s="675"/>
      <c r="CP110" s="675"/>
      <c r="CQ110" s="675"/>
      <c r="CR110" s="675"/>
      <c r="CS110" s="675"/>
      <c r="CT110" s="33"/>
      <c r="CW110" s="902" t="str">
        <f>IF(AND(ISNUMBER(VALUE(TRIM(SUBSTITUTE(AD110,".","")))),TRIM(SUBSTITUTE(AD110,".",""))&lt;&gt;""),"P"&amp;SUBSTITUTE(AD110,".",""),"")</f>
        <v/>
      </c>
    </row>
    <row r="111" spans="5:104" ht="16.7" hidden="1" customHeight="1">
      <c r="E111" s="623">
        <v>17.100000000000001</v>
      </c>
      <c r="F111" s="714">
        <f t="shared" ca="1" si="46"/>
        <v>0</v>
      </c>
      <c r="S111" s="98" t="b">
        <f t="shared" ca="1" si="47"/>
        <v>0</v>
      </c>
      <c r="U111" s="645" t="b">
        <f t="shared" ca="1" si="45"/>
        <v>0</v>
      </c>
      <c r="Y111" s="1382"/>
      <c r="Z111" s="1382"/>
      <c r="AB111" s="1431"/>
      <c r="AD111" s="111" t="s">
        <v>696</v>
      </c>
      <c r="AE111" s="1442" t="s">
        <v>697</v>
      </c>
      <c r="AF111" s="1413"/>
      <c r="AG111" s="111" t="s">
        <v>648</v>
      </c>
      <c r="AH111" s="672">
        <f t="shared" ref="AH111:BM111" si="52">SUM(AH113:AH114)</f>
        <v>0</v>
      </c>
      <c r="AI111" s="672">
        <f t="shared" si="52"/>
        <v>0</v>
      </c>
      <c r="AJ111" s="672">
        <f t="shared" si="52"/>
        <v>0</v>
      </c>
      <c r="AK111" s="672">
        <f t="shared" si="52"/>
        <v>0</v>
      </c>
      <c r="AL111" s="672">
        <f t="shared" si="52"/>
        <v>0</v>
      </c>
      <c r="AM111" s="672">
        <f t="shared" si="52"/>
        <v>0</v>
      </c>
      <c r="AN111" s="672">
        <f t="shared" si="52"/>
        <v>0</v>
      </c>
      <c r="AO111" s="672">
        <f t="shared" si="52"/>
        <v>0</v>
      </c>
      <c r="AP111" s="672">
        <f t="shared" si="52"/>
        <v>0</v>
      </c>
      <c r="AQ111" s="672">
        <f t="shared" si="52"/>
        <v>0</v>
      </c>
      <c r="AR111" s="672">
        <f t="shared" si="52"/>
        <v>0</v>
      </c>
      <c r="AS111" s="672">
        <f t="shared" si="52"/>
        <v>0</v>
      </c>
      <c r="AT111" s="672">
        <f t="shared" si="52"/>
        <v>0</v>
      </c>
      <c r="AU111" s="672">
        <f t="shared" si="52"/>
        <v>0</v>
      </c>
      <c r="AV111" s="672">
        <f t="shared" si="52"/>
        <v>0</v>
      </c>
      <c r="AW111" s="672">
        <f t="shared" si="52"/>
        <v>0</v>
      </c>
      <c r="AX111" s="672">
        <f t="shared" si="52"/>
        <v>0</v>
      </c>
      <c r="AY111" s="672">
        <f t="shared" si="52"/>
        <v>0</v>
      </c>
      <c r="AZ111" s="672">
        <f t="shared" si="52"/>
        <v>0</v>
      </c>
      <c r="BA111" s="672">
        <f t="shared" si="52"/>
        <v>0</v>
      </c>
      <c r="BB111" s="672">
        <f t="shared" si="52"/>
        <v>0</v>
      </c>
      <c r="BC111" s="672">
        <f t="shared" si="52"/>
        <v>0</v>
      </c>
      <c r="BD111" s="672">
        <f t="shared" si="52"/>
        <v>0</v>
      </c>
      <c r="BE111" s="672">
        <f t="shared" si="52"/>
        <v>0</v>
      </c>
      <c r="BF111" s="672">
        <f t="shared" si="52"/>
        <v>0</v>
      </c>
      <c r="BG111" s="672">
        <f t="shared" si="52"/>
        <v>0</v>
      </c>
      <c r="BH111" s="672">
        <f t="shared" si="52"/>
        <v>0</v>
      </c>
      <c r="BI111" s="672">
        <f t="shared" si="52"/>
        <v>0</v>
      </c>
      <c r="BJ111" s="672">
        <f t="shared" si="52"/>
        <v>0</v>
      </c>
      <c r="BK111" s="672">
        <f t="shared" si="52"/>
        <v>0</v>
      </c>
      <c r="BL111" s="672">
        <f t="shared" si="52"/>
        <v>0</v>
      </c>
      <c r="BM111" s="672">
        <f t="shared" si="52"/>
        <v>0</v>
      </c>
      <c r="BN111" s="672">
        <f t="shared" ref="BN111:CS111" si="53">SUM(BN113:BN114)</f>
        <v>0</v>
      </c>
      <c r="BO111" s="672">
        <f t="shared" si="53"/>
        <v>0</v>
      </c>
      <c r="BP111" s="672">
        <f t="shared" si="53"/>
        <v>0</v>
      </c>
      <c r="BQ111" s="672">
        <f t="shared" si="53"/>
        <v>0</v>
      </c>
      <c r="BR111" s="672">
        <f t="shared" si="53"/>
        <v>0</v>
      </c>
      <c r="BS111" s="672">
        <f t="shared" si="53"/>
        <v>0</v>
      </c>
      <c r="BT111" s="672">
        <f t="shared" si="53"/>
        <v>0</v>
      </c>
      <c r="BU111" s="672">
        <f t="shared" si="53"/>
        <v>0</v>
      </c>
      <c r="BV111" s="672">
        <f t="shared" si="53"/>
        <v>0</v>
      </c>
      <c r="BW111" s="672">
        <f t="shared" si="53"/>
        <v>0</v>
      </c>
      <c r="BX111" s="672">
        <f t="shared" si="53"/>
        <v>0</v>
      </c>
      <c r="BY111" s="672">
        <f t="shared" si="53"/>
        <v>0</v>
      </c>
      <c r="BZ111" s="672">
        <f t="shared" si="53"/>
        <v>0</v>
      </c>
      <c r="CA111" s="672">
        <f t="shared" si="53"/>
        <v>0</v>
      </c>
      <c r="CB111" s="672">
        <f t="shared" si="53"/>
        <v>0</v>
      </c>
      <c r="CC111" s="672">
        <f t="shared" si="53"/>
        <v>0</v>
      </c>
      <c r="CD111" s="672">
        <f t="shared" si="53"/>
        <v>0</v>
      </c>
      <c r="CE111" s="672">
        <f t="shared" si="53"/>
        <v>0</v>
      </c>
      <c r="CF111" s="672">
        <f t="shared" si="53"/>
        <v>0</v>
      </c>
      <c r="CG111" s="672">
        <f t="shared" si="53"/>
        <v>0</v>
      </c>
      <c r="CH111" s="672">
        <f t="shared" si="53"/>
        <v>0</v>
      </c>
      <c r="CI111" s="672">
        <f t="shared" si="53"/>
        <v>0</v>
      </c>
      <c r="CJ111" s="672">
        <f t="shared" si="53"/>
        <v>0</v>
      </c>
      <c r="CK111" s="672">
        <f t="shared" si="53"/>
        <v>0</v>
      </c>
      <c r="CL111" s="672">
        <f t="shared" si="53"/>
        <v>0</v>
      </c>
      <c r="CM111" s="672">
        <f t="shared" si="53"/>
        <v>0</v>
      </c>
      <c r="CN111" s="672">
        <f t="shared" si="53"/>
        <v>0</v>
      </c>
      <c r="CO111" s="672">
        <f t="shared" si="53"/>
        <v>0</v>
      </c>
      <c r="CP111" s="672">
        <f t="shared" si="53"/>
        <v>0</v>
      </c>
      <c r="CQ111" s="672">
        <f t="shared" si="53"/>
        <v>0</v>
      </c>
      <c r="CR111" s="672">
        <f t="shared" si="53"/>
        <v>0</v>
      </c>
      <c r="CS111" s="672">
        <f t="shared" si="53"/>
        <v>0</v>
      </c>
      <c r="CT111" s="22"/>
      <c r="CW111" s="902" t="s">
        <v>698</v>
      </c>
    </row>
    <row r="112" spans="5:104" ht="16.7" hidden="1" customHeight="1">
      <c r="E112" s="623">
        <v>17.100000000000001</v>
      </c>
      <c r="F112" s="714">
        <f t="shared" ca="1" si="46"/>
        <v>0</v>
      </c>
      <c r="R112" s="714" t="s">
        <v>569</v>
      </c>
      <c r="S112" s="98" t="b">
        <f t="shared" ca="1" si="47"/>
        <v>0</v>
      </c>
      <c r="T112" s="714" t="b">
        <v>0</v>
      </c>
      <c r="U112" s="645" t="b">
        <f t="shared" ca="1" si="45"/>
        <v>0</v>
      </c>
      <c r="Y112" s="1382"/>
      <c r="Z112" s="1382"/>
      <c r="AB112" s="1431"/>
      <c r="AD112" s="99" t="str">
        <f>AD111&amp;".0"</f>
        <v>36.0</v>
      </c>
      <c r="AE112" s="1445" t="s">
        <v>580</v>
      </c>
      <c r="AF112" s="1446"/>
      <c r="AG112" s="111" t="s">
        <v>648</v>
      </c>
      <c r="AH112" s="28">
        <f>AH$52*AH111</f>
        <v>0</v>
      </c>
      <c r="AI112" s="29">
        <f>AI$52*AI111</f>
        <v>0</v>
      </c>
      <c r="AJ112" s="29">
        <f>AJ$52*AJ111</f>
        <v>0</v>
      </c>
      <c r="AK112" s="29">
        <f>AK$52*AK111</f>
        <v>0</v>
      </c>
      <c r="AL112" s="674">
        <f>AM112+AN112</f>
        <v>0</v>
      </c>
      <c r="AM112" s="29">
        <f>AM$52*AM111</f>
        <v>0</v>
      </c>
      <c r="AN112" s="29">
        <f>AN$52*AN111</f>
        <v>0</v>
      </c>
      <c r="AO112" s="674">
        <f>AP112+AQ112</f>
        <v>0</v>
      </c>
      <c r="AP112" s="1111">
        <f>AP$52*AP111</f>
        <v>0</v>
      </c>
      <c r="AQ112" s="1111">
        <f>AQ$52*AQ111</f>
        <v>0</v>
      </c>
      <c r="AR112" s="674">
        <f>AS112+AT112</f>
        <v>0</v>
      </c>
      <c r="AS112" s="1111">
        <f>AS$52*AS111</f>
        <v>0</v>
      </c>
      <c r="AT112" s="1111">
        <f>AT$52*AT111</f>
        <v>0</v>
      </c>
      <c r="AU112" s="674">
        <f>AV112+AW112</f>
        <v>0</v>
      </c>
      <c r="AV112" s="29">
        <f>AV$52*AV111</f>
        <v>0</v>
      </c>
      <c r="AW112" s="29">
        <f>AW$52*AW111</f>
        <v>0</v>
      </c>
      <c r="AX112" s="674">
        <f>AY112+AZ112</f>
        <v>0</v>
      </c>
      <c r="AY112" s="29">
        <f>AY$52*AY111</f>
        <v>0</v>
      </c>
      <c r="AZ112" s="29">
        <f>AZ$52*AZ111</f>
        <v>0</v>
      </c>
      <c r="BA112" s="674">
        <f>BB112+BC112</f>
        <v>0</v>
      </c>
      <c r="BB112" s="29">
        <f>BB$52*BB111</f>
        <v>0</v>
      </c>
      <c r="BC112" s="29">
        <f>BC$52*BC111</f>
        <v>0</v>
      </c>
      <c r="BD112" s="674">
        <f>BE112+BF112</f>
        <v>0</v>
      </c>
      <c r="BE112" s="29">
        <f>BE$52*BE111</f>
        <v>0</v>
      </c>
      <c r="BF112" s="29">
        <f>BF$52*BF111</f>
        <v>0</v>
      </c>
      <c r="BG112" s="674">
        <f>BH112+BI112</f>
        <v>0</v>
      </c>
      <c r="BH112" s="29">
        <f>BH$52*BH111</f>
        <v>0</v>
      </c>
      <c r="BI112" s="29">
        <f>BI$52*BI111</f>
        <v>0</v>
      </c>
      <c r="BJ112" s="674">
        <f>BK112+BL112</f>
        <v>0</v>
      </c>
      <c r="BK112" s="29">
        <f>BK$52*BK111</f>
        <v>0</v>
      </c>
      <c r="BL112" s="29">
        <f>BL$52*BL111</f>
        <v>0</v>
      </c>
      <c r="BM112" s="674">
        <f>BN112+BO112</f>
        <v>0</v>
      </c>
      <c r="BN112" s="29">
        <f>BN$52*BN111</f>
        <v>0</v>
      </c>
      <c r="BO112" s="29">
        <f>BO$52*BO111</f>
        <v>0</v>
      </c>
      <c r="BP112" s="674">
        <f>BQ112+BR112</f>
        <v>0</v>
      </c>
      <c r="BQ112" s="762">
        <f>BQ$52*BQ111</f>
        <v>0</v>
      </c>
      <c r="BR112" s="762">
        <f>BR$52*BR111</f>
        <v>0</v>
      </c>
      <c r="BS112" s="674">
        <f>BT112+BU112</f>
        <v>0</v>
      </c>
      <c r="BT112" s="1111">
        <f>BT$52*BT111</f>
        <v>0</v>
      </c>
      <c r="BU112" s="1111">
        <f>BU$52*BU111</f>
        <v>0</v>
      </c>
      <c r="BV112" s="674">
        <f>BW112+BX112</f>
        <v>0</v>
      </c>
      <c r="BW112" s="1111">
        <f>BW$52*BW111</f>
        <v>0</v>
      </c>
      <c r="BX112" s="1111">
        <f>BX$52*BX111</f>
        <v>0</v>
      </c>
      <c r="BY112" s="674">
        <f>BZ112+CA112</f>
        <v>0</v>
      </c>
      <c r="BZ112" s="29">
        <f>BZ$52*BZ111</f>
        <v>0</v>
      </c>
      <c r="CA112" s="29">
        <f>CA$52*CA111</f>
        <v>0</v>
      </c>
      <c r="CB112" s="674">
        <f>CC112+CD112</f>
        <v>0</v>
      </c>
      <c r="CC112" s="29">
        <f>CC$52*CC111</f>
        <v>0</v>
      </c>
      <c r="CD112" s="29">
        <f>CD$52*CD111</f>
        <v>0</v>
      </c>
      <c r="CE112" s="674">
        <f>CF112+CG112</f>
        <v>0</v>
      </c>
      <c r="CF112" s="29">
        <f>CF$52*CF111</f>
        <v>0</v>
      </c>
      <c r="CG112" s="29">
        <f>CG$52*CG111</f>
        <v>0</v>
      </c>
      <c r="CH112" s="674">
        <f>CI112+CJ112</f>
        <v>0</v>
      </c>
      <c r="CI112" s="29">
        <f>CI$52*CI111</f>
        <v>0</v>
      </c>
      <c r="CJ112" s="29">
        <f>CJ$52*CJ111</f>
        <v>0</v>
      </c>
      <c r="CK112" s="674">
        <f>CL112+CM112</f>
        <v>0</v>
      </c>
      <c r="CL112" s="29">
        <f>CL$52*CL111</f>
        <v>0</v>
      </c>
      <c r="CM112" s="29">
        <f>CM$52*CM111</f>
        <v>0</v>
      </c>
      <c r="CN112" s="674">
        <f>CO112+CP112</f>
        <v>0</v>
      </c>
      <c r="CO112" s="29">
        <f>CO$52*CO111</f>
        <v>0</v>
      </c>
      <c r="CP112" s="29">
        <f>CP$52*CP111</f>
        <v>0</v>
      </c>
      <c r="CQ112" s="674">
        <f>CR112+CS112</f>
        <v>0</v>
      </c>
      <c r="CR112" s="29">
        <f>CR$52*CR111</f>
        <v>0</v>
      </c>
      <c r="CS112" s="29">
        <f>CS$52*CS111</f>
        <v>0</v>
      </c>
      <c r="CT112" s="22"/>
      <c r="CW112" s="902" t="s">
        <v>699</v>
      </c>
    </row>
    <row r="113" spans="5:104" ht="16.7" hidden="1" customHeight="1">
      <c r="E113" s="623">
        <v>17.100000000000001</v>
      </c>
      <c r="F113" s="714">
        <f t="shared" ca="1" si="46"/>
        <v>0</v>
      </c>
      <c r="S113" s="98" t="b">
        <f t="shared" ca="1" si="47"/>
        <v>0</v>
      </c>
      <c r="T113" s="98" t="b">
        <f>AD113&lt;&gt;"36.0"</f>
        <v>0</v>
      </c>
      <c r="U113" s="645" t="b">
        <f t="shared" ca="1" si="45"/>
        <v>0</v>
      </c>
      <c r="X113" s="98" t="s">
        <v>170</v>
      </c>
      <c r="Y113" s="1382"/>
      <c r="Z113" s="1382"/>
      <c r="AB113" s="1431"/>
      <c r="AD113" s="99" t="s">
        <v>700</v>
      </c>
      <c r="AE113" s="757"/>
      <c r="AF113" s="475"/>
      <c r="AG113" s="111" t="s">
        <v>648</v>
      </c>
      <c r="AH113" s="28"/>
      <c r="AI113" s="29"/>
      <c r="AJ113" s="29"/>
      <c r="AK113" s="29"/>
      <c r="AL113" s="674">
        <f>AM113+AN113</f>
        <v>0</v>
      </c>
      <c r="AM113" s="29">
        <f>AM109*AM64/1000</f>
        <v>0</v>
      </c>
      <c r="AN113" s="29">
        <f>AN109*AN64/1000</f>
        <v>0</v>
      </c>
      <c r="AO113" s="674">
        <f>AP113+AQ113</f>
        <v>0</v>
      </c>
      <c r="AP113" s="1111">
        <f>AP109*AP64/1000</f>
        <v>0</v>
      </c>
      <c r="AQ113" s="1111">
        <f>AQ109*AQ64/1000</f>
        <v>0</v>
      </c>
      <c r="AR113" s="674">
        <f>AS113+AT113</f>
        <v>0</v>
      </c>
      <c r="AS113" s="1111">
        <f>AS109*AS64/1000</f>
        <v>0</v>
      </c>
      <c r="AT113" s="1111">
        <f>AT109*AT64/1000</f>
        <v>0</v>
      </c>
      <c r="AU113" s="674">
        <f>AV113+AW113</f>
        <v>0</v>
      </c>
      <c r="AV113" s="29">
        <f>AV109*AV64/1000</f>
        <v>0</v>
      </c>
      <c r="AW113" s="29">
        <f>AW109*AW64/1000</f>
        <v>0</v>
      </c>
      <c r="AX113" s="674">
        <f>AY113+AZ113</f>
        <v>0</v>
      </c>
      <c r="AY113" s="29">
        <f>AY109*AY64/1000</f>
        <v>0</v>
      </c>
      <c r="AZ113" s="29">
        <f>AZ109*AZ64/1000</f>
        <v>0</v>
      </c>
      <c r="BA113" s="674">
        <f>BB113+BC113</f>
        <v>0</v>
      </c>
      <c r="BB113" s="29">
        <f>BB109*BB64/1000</f>
        <v>0</v>
      </c>
      <c r="BC113" s="29">
        <f>BC109*BC64/1000</f>
        <v>0</v>
      </c>
      <c r="BD113" s="674">
        <f>BE113+BF113</f>
        <v>0</v>
      </c>
      <c r="BE113" s="29">
        <f>BE109*BE64/1000</f>
        <v>0</v>
      </c>
      <c r="BF113" s="29">
        <f>BF109*BF64/1000</f>
        <v>0</v>
      </c>
      <c r="BG113" s="674">
        <f>BH113+BI113</f>
        <v>0</v>
      </c>
      <c r="BH113" s="29">
        <f>BH109*BH64/1000</f>
        <v>0</v>
      </c>
      <c r="BI113" s="29">
        <f>BI109*BI64/1000</f>
        <v>0</v>
      </c>
      <c r="BJ113" s="674">
        <f>BK113+BL113</f>
        <v>0</v>
      </c>
      <c r="BK113" s="29">
        <f>BK109*BK64/1000</f>
        <v>0</v>
      </c>
      <c r="BL113" s="29">
        <f>BL109*BL64/1000</f>
        <v>0</v>
      </c>
      <c r="BM113" s="674">
        <f>BN113+BO113</f>
        <v>0</v>
      </c>
      <c r="BN113" s="29">
        <f>BN109*BN64/1000</f>
        <v>0</v>
      </c>
      <c r="BO113" s="29">
        <f>BO109*BO64/1000</f>
        <v>0</v>
      </c>
      <c r="BP113" s="674">
        <f>BQ113+BR113</f>
        <v>0</v>
      </c>
      <c r="BQ113" s="762">
        <f>BQ109*BQ64/1000</f>
        <v>0</v>
      </c>
      <c r="BR113" s="762">
        <f>BR109*BR64/1000</f>
        <v>0</v>
      </c>
      <c r="BS113" s="674">
        <f>BT113+BU113</f>
        <v>0</v>
      </c>
      <c r="BT113" s="1111">
        <f>BT109*BT64/1000</f>
        <v>0</v>
      </c>
      <c r="BU113" s="1111">
        <f>BU109*BU64/1000</f>
        <v>0</v>
      </c>
      <c r="BV113" s="674">
        <f>BW113+BX113</f>
        <v>0</v>
      </c>
      <c r="BW113" s="1111">
        <f>BW109*BW64/1000</f>
        <v>0</v>
      </c>
      <c r="BX113" s="1111">
        <f>BX109*BX64/1000</f>
        <v>0</v>
      </c>
      <c r="BY113" s="674">
        <f>BZ113+CA113</f>
        <v>0</v>
      </c>
      <c r="BZ113" s="29">
        <f>BZ109*BZ64/1000</f>
        <v>0</v>
      </c>
      <c r="CA113" s="29">
        <f>CA109*CA64/1000</f>
        <v>0</v>
      </c>
      <c r="CB113" s="674">
        <f>CC113+CD113</f>
        <v>0</v>
      </c>
      <c r="CC113" s="29">
        <f>CC109*CC64/1000</f>
        <v>0</v>
      </c>
      <c r="CD113" s="29">
        <f>CD109*CD64/1000</f>
        <v>0</v>
      </c>
      <c r="CE113" s="674">
        <f>CF113+CG113</f>
        <v>0</v>
      </c>
      <c r="CF113" s="29">
        <f>CF109*CF64/1000</f>
        <v>0</v>
      </c>
      <c r="CG113" s="29">
        <f>CG109*CG64/1000</f>
        <v>0</v>
      </c>
      <c r="CH113" s="674">
        <f>CI113+CJ113</f>
        <v>0</v>
      </c>
      <c r="CI113" s="29">
        <f>CI109*CI64/1000</f>
        <v>0</v>
      </c>
      <c r="CJ113" s="29">
        <f>CJ109*CJ64/1000</f>
        <v>0</v>
      </c>
      <c r="CK113" s="674">
        <f>CL113+CM113</f>
        <v>0</v>
      </c>
      <c r="CL113" s="29">
        <f>CL109*CL64/1000</f>
        <v>0</v>
      </c>
      <c r="CM113" s="29">
        <f>CM109*CM64/1000</f>
        <v>0</v>
      </c>
      <c r="CN113" s="674">
        <f>CO113+CP113</f>
        <v>0</v>
      </c>
      <c r="CO113" s="29">
        <f>CO109*CO64/1000</f>
        <v>0</v>
      </c>
      <c r="CP113" s="29">
        <f>CP109*CP64/1000</f>
        <v>0</v>
      </c>
      <c r="CQ113" s="674">
        <f>CR113+CS113</f>
        <v>0</v>
      </c>
      <c r="CR113" s="29">
        <f>CR109*CR64/1000</f>
        <v>0</v>
      </c>
      <c r="CS113" s="29">
        <f>CS109*CS64/1000</f>
        <v>0</v>
      </c>
      <c r="CT113" s="22"/>
      <c r="CW113" s="902" t="s">
        <v>699</v>
      </c>
      <c r="CX113" s="907" t="s">
        <v>630</v>
      </c>
      <c r="CY113" s="911">
        <f>AE113</f>
        <v>0</v>
      </c>
      <c r="CZ113" s="911">
        <f>AF113</f>
        <v>0</v>
      </c>
    </row>
    <row r="114" spans="5:104" ht="15" hidden="1" customHeight="1">
      <c r="E114" s="623">
        <v>0</v>
      </c>
      <c r="F114" s="714">
        <f t="shared" ca="1" si="46"/>
        <v>0</v>
      </c>
      <c r="S114" s="98" t="b">
        <f t="shared" ca="1" si="47"/>
        <v>0</v>
      </c>
      <c r="U114" s="645" t="b">
        <f t="shared" ca="1" si="45"/>
        <v>0</v>
      </c>
      <c r="X114" s="756" t="str">
        <f>"{                  
         funcDyn: 'msg1',
         blok: 'blok_2',
         wsCross: 'Топливо 4.4',
         linkFormula: 'AE-AE#AF-AF',
         levelDyn: "&amp;Y28&amp;"
}"</f>
        <v>{                  
         funcDyn: 'msg1',
         blok: 'blok_2',
         wsCross: 'Топливо 4.4',
         linkFormula: 'AE-AE#AF-AF',
         levelDyn: 0
}</v>
      </c>
      <c r="Y114" s="1382"/>
      <c r="Z114" s="1382"/>
      <c r="AB114" s="1431"/>
      <c r="AD114" s="759"/>
      <c r="AE114" s="758" t="s">
        <v>172</v>
      </c>
      <c r="AF114" s="685"/>
      <c r="AG114" s="111"/>
      <c r="AH114" s="673"/>
      <c r="AI114" s="675"/>
      <c r="AJ114" s="675"/>
      <c r="AK114" s="675"/>
      <c r="AL114" s="675"/>
      <c r="AM114" s="675"/>
      <c r="AN114" s="675"/>
      <c r="AO114" s="675"/>
      <c r="AP114" s="675"/>
      <c r="AQ114" s="675"/>
      <c r="AR114" s="675"/>
      <c r="AS114" s="675"/>
      <c r="AT114" s="675"/>
      <c r="AU114" s="675"/>
      <c r="AV114" s="675"/>
      <c r="AW114" s="675"/>
      <c r="AX114" s="675"/>
      <c r="AY114" s="675"/>
      <c r="AZ114" s="675"/>
      <c r="BA114" s="675"/>
      <c r="BB114" s="675"/>
      <c r="BC114" s="675"/>
      <c r="BD114" s="675"/>
      <c r="BE114" s="675"/>
      <c r="BF114" s="675"/>
      <c r="BG114" s="675"/>
      <c r="BH114" s="675"/>
      <c r="BI114" s="675"/>
      <c r="BJ114" s="675"/>
      <c r="BK114" s="675"/>
      <c r="BL114" s="675"/>
      <c r="BM114" s="675"/>
      <c r="BN114" s="675"/>
      <c r="BO114" s="675"/>
      <c r="BP114" s="675"/>
      <c r="BQ114" s="675"/>
      <c r="BR114" s="675"/>
      <c r="BS114" s="675"/>
      <c r="BT114" s="675"/>
      <c r="BU114" s="675"/>
      <c r="BV114" s="675"/>
      <c r="BW114" s="675"/>
      <c r="BX114" s="675"/>
      <c r="BY114" s="675"/>
      <c r="BZ114" s="675"/>
      <c r="CA114" s="675"/>
      <c r="CB114" s="675"/>
      <c r="CC114" s="675"/>
      <c r="CD114" s="675"/>
      <c r="CE114" s="675"/>
      <c r="CF114" s="675"/>
      <c r="CG114" s="675"/>
      <c r="CH114" s="675"/>
      <c r="CI114" s="675"/>
      <c r="CJ114" s="675"/>
      <c r="CK114" s="675"/>
      <c r="CL114" s="675"/>
      <c r="CM114" s="675"/>
      <c r="CN114" s="675"/>
      <c r="CO114" s="675"/>
      <c r="CP114" s="675"/>
      <c r="CQ114" s="675"/>
      <c r="CR114" s="675"/>
      <c r="CS114" s="675"/>
      <c r="CT114" s="33"/>
      <c r="CW114" s="902" t="str">
        <f>IF(AND(ISNUMBER(VALUE(TRIM(SUBSTITUTE(AD114,".","")))),TRIM(SUBSTITUTE(AD114,".",""))&lt;&gt;""),"P"&amp;SUBSTITUTE(AD114,".",""),"")</f>
        <v/>
      </c>
    </row>
    <row r="115" spans="5:104" ht="29.25" hidden="1" customHeight="1">
      <c r="E115" s="623">
        <v>30</v>
      </c>
      <c r="F115" s="714">
        <f t="shared" ca="1" si="46"/>
        <v>0</v>
      </c>
      <c r="R115" s="714" t="s">
        <v>569</v>
      </c>
      <c r="S115" s="98" t="b">
        <f t="shared" ca="1" si="47"/>
        <v>0</v>
      </c>
      <c r="U115" s="645" t="b">
        <f t="shared" ca="1" si="45"/>
        <v>0</v>
      </c>
      <c r="Y115" s="1382"/>
      <c r="Z115" s="1382"/>
      <c r="AB115" s="1431"/>
      <c r="AD115" s="111" t="s">
        <v>701</v>
      </c>
      <c r="AE115" s="1447" t="s">
        <v>702</v>
      </c>
      <c r="AF115" s="1448"/>
      <c r="AG115" s="111" t="s">
        <v>648</v>
      </c>
      <c r="AH115" s="672">
        <f t="shared" ref="AH115:BM115" si="54">SUM(AH116:AH117)</f>
        <v>0</v>
      </c>
      <c r="AI115" s="672">
        <f t="shared" si="54"/>
        <v>0</v>
      </c>
      <c r="AJ115" s="672">
        <f t="shared" si="54"/>
        <v>0</v>
      </c>
      <c r="AK115" s="672">
        <f t="shared" si="54"/>
        <v>0</v>
      </c>
      <c r="AL115" s="672">
        <f t="shared" si="54"/>
        <v>0</v>
      </c>
      <c r="AM115" s="672">
        <f t="shared" si="54"/>
        <v>0</v>
      </c>
      <c r="AN115" s="672">
        <f t="shared" si="54"/>
        <v>0</v>
      </c>
      <c r="AO115" s="672">
        <f t="shared" si="54"/>
        <v>0</v>
      </c>
      <c r="AP115" s="672">
        <f t="shared" si="54"/>
        <v>0</v>
      </c>
      <c r="AQ115" s="672">
        <f t="shared" si="54"/>
        <v>0</v>
      </c>
      <c r="AR115" s="672">
        <f t="shared" si="54"/>
        <v>0</v>
      </c>
      <c r="AS115" s="672">
        <f t="shared" si="54"/>
        <v>0</v>
      </c>
      <c r="AT115" s="672">
        <f t="shared" si="54"/>
        <v>0</v>
      </c>
      <c r="AU115" s="672">
        <f t="shared" si="54"/>
        <v>0</v>
      </c>
      <c r="AV115" s="672">
        <f t="shared" si="54"/>
        <v>0</v>
      </c>
      <c r="AW115" s="672">
        <f t="shared" si="54"/>
        <v>0</v>
      </c>
      <c r="AX115" s="672">
        <f t="shared" si="54"/>
        <v>0</v>
      </c>
      <c r="AY115" s="672">
        <f t="shared" si="54"/>
        <v>0</v>
      </c>
      <c r="AZ115" s="672">
        <f t="shared" si="54"/>
        <v>0</v>
      </c>
      <c r="BA115" s="672">
        <f t="shared" si="54"/>
        <v>0</v>
      </c>
      <c r="BB115" s="672">
        <f t="shared" si="54"/>
        <v>0</v>
      </c>
      <c r="BC115" s="672">
        <f t="shared" si="54"/>
        <v>0</v>
      </c>
      <c r="BD115" s="672">
        <f t="shared" si="54"/>
        <v>0</v>
      </c>
      <c r="BE115" s="672">
        <f t="shared" si="54"/>
        <v>0</v>
      </c>
      <c r="BF115" s="672">
        <f t="shared" si="54"/>
        <v>0</v>
      </c>
      <c r="BG115" s="672">
        <f t="shared" si="54"/>
        <v>0</v>
      </c>
      <c r="BH115" s="672">
        <f t="shared" si="54"/>
        <v>0</v>
      </c>
      <c r="BI115" s="672">
        <f t="shared" si="54"/>
        <v>0</v>
      </c>
      <c r="BJ115" s="672">
        <f t="shared" si="54"/>
        <v>0</v>
      </c>
      <c r="BK115" s="672">
        <f t="shared" si="54"/>
        <v>0</v>
      </c>
      <c r="BL115" s="672">
        <f t="shared" si="54"/>
        <v>0</v>
      </c>
      <c r="BM115" s="672">
        <f t="shared" si="54"/>
        <v>0</v>
      </c>
      <c r="BN115" s="672">
        <f t="shared" ref="BN115:CS115" si="55">SUM(BN116:BN117)</f>
        <v>0</v>
      </c>
      <c r="BO115" s="672">
        <f t="shared" si="55"/>
        <v>0</v>
      </c>
      <c r="BP115" s="672">
        <f t="shared" si="55"/>
        <v>0</v>
      </c>
      <c r="BQ115" s="672">
        <f t="shared" si="55"/>
        <v>0</v>
      </c>
      <c r="BR115" s="672">
        <f t="shared" si="55"/>
        <v>0</v>
      </c>
      <c r="BS115" s="672">
        <f t="shared" si="55"/>
        <v>0</v>
      </c>
      <c r="BT115" s="672">
        <f t="shared" si="55"/>
        <v>0</v>
      </c>
      <c r="BU115" s="672">
        <f t="shared" si="55"/>
        <v>0</v>
      </c>
      <c r="BV115" s="672">
        <f t="shared" si="55"/>
        <v>0</v>
      </c>
      <c r="BW115" s="672">
        <f t="shared" si="55"/>
        <v>0</v>
      </c>
      <c r="BX115" s="672">
        <f t="shared" si="55"/>
        <v>0</v>
      </c>
      <c r="BY115" s="672">
        <f t="shared" si="55"/>
        <v>0</v>
      </c>
      <c r="BZ115" s="672">
        <f t="shared" si="55"/>
        <v>0</v>
      </c>
      <c r="CA115" s="672">
        <f t="shared" si="55"/>
        <v>0</v>
      </c>
      <c r="CB115" s="672">
        <f t="shared" si="55"/>
        <v>0</v>
      </c>
      <c r="CC115" s="672">
        <f t="shared" si="55"/>
        <v>0</v>
      </c>
      <c r="CD115" s="672">
        <f t="shared" si="55"/>
        <v>0</v>
      </c>
      <c r="CE115" s="672">
        <f t="shared" si="55"/>
        <v>0</v>
      </c>
      <c r="CF115" s="672">
        <f t="shared" si="55"/>
        <v>0</v>
      </c>
      <c r="CG115" s="672">
        <f t="shared" si="55"/>
        <v>0</v>
      </c>
      <c r="CH115" s="672">
        <f t="shared" si="55"/>
        <v>0</v>
      </c>
      <c r="CI115" s="672">
        <f t="shared" si="55"/>
        <v>0</v>
      </c>
      <c r="CJ115" s="672">
        <f t="shared" si="55"/>
        <v>0</v>
      </c>
      <c r="CK115" s="672">
        <f t="shared" si="55"/>
        <v>0</v>
      </c>
      <c r="CL115" s="672">
        <f t="shared" si="55"/>
        <v>0</v>
      </c>
      <c r="CM115" s="672">
        <f t="shared" si="55"/>
        <v>0</v>
      </c>
      <c r="CN115" s="672">
        <f t="shared" si="55"/>
        <v>0</v>
      </c>
      <c r="CO115" s="672">
        <f t="shared" si="55"/>
        <v>0</v>
      </c>
      <c r="CP115" s="672">
        <f t="shared" si="55"/>
        <v>0</v>
      </c>
      <c r="CQ115" s="672">
        <f t="shared" si="55"/>
        <v>0</v>
      </c>
      <c r="CR115" s="672">
        <f t="shared" si="55"/>
        <v>0</v>
      </c>
      <c r="CS115" s="672">
        <f t="shared" si="55"/>
        <v>0</v>
      </c>
      <c r="CT115" s="22"/>
      <c r="CW115" s="902" t="s">
        <v>703</v>
      </c>
    </row>
    <row r="116" spans="5:104" ht="16.7" hidden="1" customHeight="1">
      <c r="E116" s="623">
        <v>17.100000000000001</v>
      </c>
      <c r="F116" s="714">
        <f t="shared" ca="1" si="46"/>
        <v>0</v>
      </c>
      <c r="R116" s="714" t="s">
        <v>569</v>
      </c>
      <c r="S116" s="98" t="b">
        <f t="shared" ca="1" si="47"/>
        <v>0</v>
      </c>
      <c r="T116" s="98" t="b">
        <f>AD116&lt;&gt;"37.0"</f>
        <v>0</v>
      </c>
      <c r="U116" s="645" t="b">
        <f t="shared" ca="1" si="45"/>
        <v>0</v>
      </c>
      <c r="X116" s="98" t="s">
        <v>170</v>
      </c>
      <c r="Y116" s="1382"/>
      <c r="Z116" s="1382"/>
      <c r="AB116" s="1431"/>
      <c r="AD116" s="99" t="s">
        <v>704</v>
      </c>
      <c r="AE116" s="757"/>
      <c r="AF116" s="475"/>
      <c r="AG116" s="111" t="s">
        <v>648</v>
      </c>
      <c r="AH116" s="28">
        <f>AH$52*AH113</f>
        <v>0</v>
      </c>
      <c r="AI116" s="29">
        <f>AI$52*AI113</f>
        <v>0</v>
      </c>
      <c r="AJ116" s="29">
        <f>AJ$52*AJ113</f>
        <v>0</v>
      </c>
      <c r="AK116" s="29">
        <f>AK$52*AK113</f>
        <v>0</v>
      </c>
      <c r="AL116" s="674">
        <f>AM116+AN116</f>
        <v>0</v>
      </c>
      <c r="AM116" s="29">
        <f>AM$52*AM113</f>
        <v>0</v>
      </c>
      <c r="AN116" s="29">
        <f>AN$52*AN113</f>
        <v>0</v>
      </c>
      <c r="AO116" s="674">
        <f>AP116+AQ116</f>
        <v>0</v>
      </c>
      <c r="AP116" s="1111">
        <f>AP$52*AP113</f>
        <v>0</v>
      </c>
      <c r="AQ116" s="1111">
        <f>AQ$52*AQ113</f>
        <v>0</v>
      </c>
      <c r="AR116" s="674">
        <f>AS116+AT116</f>
        <v>0</v>
      </c>
      <c r="AS116" s="1111">
        <f>AS$52*AS113</f>
        <v>0</v>
      </c>
      <c r="AT116" s="1111">
        <f>AT$52*AT113</f>
        <v>0</v>
      </c>
      <c r="AU116" s="674">
        <f>AV116+AW116</f>
        <v>0</v>
      </c>
      <c r="AV116" s="29">
        <f>AV$52*AV113</f>
        <v>0</v>
      </c>
      <c r="AW116" s="29">
        <f>AW$52*AW113</f>
        <v>0</v>
      </c>
      <c r="AX116" s="674">
        <f>AY116+AZ116</f>
        <v>0</v>
      </c>
      <c r="AY116" s="29">
        <f>AY$52*AY113</f>
        <v>0</v>
      </c>
      <c r="AZ116" s="29">
        <f>AZ$52*AZ113</f>
        <v>0</v>
      </c>
      <c r="BA116" s="674">
        <f>BB116+BC116</f>
        <v>0</v>
      </c>
      <c r="BB116" s="29">
        <f>BB$52*BB113</f>
        <v>0</v>
      </c>
      <c r="BC116" s="29">
        <f>BC$52*BC113</f>
        <v>0</v>
      </c>
      <c r="BD116" s="674">
        <f>BE116+BF116</f>
        <v>0</v>
      </c>
      <c r="BE116" s="29">
        <f>BE$52*BE113</f>
        <v>0</v>
      </c>
      <c r="BF116" s="29">
        <f>BF$52*BF113</f>
        <v>0</v>
      </c>
      <c r="BG116" s="674">
        <f>BH116+BI116</f>
        <v>0</v>
      </c>
      <c r="BH116" s="29">
        <f>BH$52*BH113</f>
        <v>0</v>
      </c>
      <c r="BI116" s="29">
        <f>BI$52*BI113</f>
        <v>0</v>
      </c>
      <c r="BJ116" s="674">
        <f>BK116+BL116</f>
        <v>0</v>
      </c>
      <c r="BK116" s="29">
        <f>BK$52*BK113</f>
        <v>0</v>
      </c>
      <c r="BL116" s="29">
        <f>BL$52*BL113</f>
        <v>0</v>
      </c>
      <c r="BM116" s="674">
        <f>BN116+BO116</f>
        <v>0</v>
      </c>
      <c r="BN116" s="29">
        <f>BN$52*BN113</f>
        <v>0</v>
      </c>
      <c r="BO116" s="29">
        <f>BO$52*BO113</f>
        <v>0</v>
      </c>
      <c r="BP116" s="674">
        <f>BQ116+BR116</f>
        <v>0</v>
      </c>
      <c r="BQ116" s="762">
        <f>BQ$52*BQ113</f>
        <v>0</v>
      </c>
      <c r="BR116" s="762">
        <f>BR$52*BR113</f>
        <v>0</v>
      </c>
      <c r="BS116" s="674">
        <f>BT116+BU116</f>
        <v>0</v>
      </c>
      <c r="BT116" s="1111">
        <f>BT$52*BT113</f>
        <v>0</v>
      </c>
      <c r="BU116" s="1111">
        <f>BU$52*BU113</f>
        <v>0</v>
      </c>
      <c r="BV116" s="674">
        <f>BW116+BX116</f>
        <v>0</v>
      </c>
      <c r="BW116" s="1111">
        <f>BW$52*BW113</f>
        <v>0</v>
      </c>
      <c r="BX116" s="1111">
        <f>BX$52*BX113</f>
        <v>0</v>
      </c>
      <c r="BY116" s="674">
        <f>BZ116+CA116</f>
        <v>0</v>
      </c>
      <c r="BZ116" s="29">
        <f>BZ$52*BZ113</f>
        <v>0</v>
      </c>
      <c r="CA116" s="29">
        <f>CA$52*CA113</f>
        <v>0</v>
      </c>
      <c r="CB116" s="674">
        <f>CC116+CD116</f>
        <v>0</v>
      </c>
      <c r="CC116" s="29">
        <f>CC$52*CC113</f>
        <v>0</v>
      </c>
      <c r="CD116" s="29">
        <f>CD$52*CD113</f>
        <v>0</v>
      </c>
      <c r="CE116" s="674">
        <f>CF116+CG116</f>
        <v>0</v>
      </c>
      <c r="CF116" s="29">
        <f>CF$52*CF113</f>
        <v>0</v>
      </c>
      <c r="CG116" s="29">
        <f>CG$52*CG113</f>
        <v>0</v>
      </c>
      <c r="CH116" s="674">
        <f>CI116+CJ116</f>
        <v>0</v>
      </c>
      <c r="CI116" s="29">
        <f>CI$52*CI113</f>
        <v>0</v>
      </c>
      <c r="CJ116" s="29">
        <f>CJ$52*CJ113</f>
        <v>0</v>
      </c>
      <c r="CK116" s="674">
        <f>CL116+CM116</f>
        <v>0</v>
      </c>
      <c r="CL116" s="29">
        <f>CL$52*CL113</f>
        <v>0</v>
      </c>
      <c r="CM116" s="29">
        <f>CM$52*CM113</f>
        <v>0</v>
      </c>
      <c r="CN116" s="674">
        <f>CO116+CP116</f>
        <v>0</v>
      </c>
      <c r="CO116" s="29">
        <f>CO$52*CO113</f>
        <v>0</v>
      </c>
      <c r="CP116" s="29">
        <f>CP$52*CP113</f>
        <v>0</v>
      </c>
      <c r="CQ116" s="674">
        <f>CR116+CS116</f>
        <v>0</v>
      </c>
      <c r="CR116" s="29">
        <f>CR$52*CR113</f>
        <v>0</v>
      </c>
      <c r="CS116" s="29">
        <f>CS$52*CS113</f>
        <v>0</v>
      </c>
      <c r="CT116" s="22"/>
      <c r="CW116" s="902" t="s">
        <v>703</v>
      </c>
      <c r="CX116" s="907" t="s">
        <v>630</v>
      </c>
      <c r="CY116" s="911">
        <f>AE116</f>
        <v>0</v>
      </c>
      <c r="CZ116" s="911">
        <f>AF116</f>
        <v>0</v>
      </c>
    </row>
    <row r="117" spans="5:104" ht="15" hidden="1" customHeight="1">
      <c r="E117" s="623">
        <v>0</v>
      </c>
      <c r="F117" s="714">
        <f t="shared" ca="1" si="46"/>
        <v>0</v>
      </c>
      <c r="S117" s="98" t="b">
        <f t="shared" ca="1" si="47"/>
        <v>0</v>
      </c>
      <c r="U117" s="645" t="b">
        <f t="shared" ca="1" si="45"/>
        <v>0</v>
      </c>
      <c r="X117" s="756" t="str">
        <f>"{                  
         funcDyn: 'msg1',
         blok: 'blok_2',
         wsCross: 'Топливо 4.4',
         linkFormula: 'AE-AE#AF-AF',
         levelDyn: "&amp;Y28&amp;"
}"</f>
        <v>{                  
         funcDyn: 'msg1',
         blok: 'blok_2',
         wsCross: 'Топливо 4.4',
         linkFormula: 'AE-AE#AF-AF',
         levelDyn: 0
}</v>
      </c>
      <c r="Y117" s="1382"/>
      <c r="Z117" s="1382"/>
      <c r="AB117" s="1432"/>
      <c r="AD117" s="759"/>
      <c r="AE117" s="758" t="s">
        <v>172</v>
      </c>
      <c r="AF117" s="685"/>
      <c r="AG117" s="111"/>
      <c r="AH117" s="673"/>
      <c r="AI117" s="675"/>
      <c r="AJ117" s="675"/>
      <c r="AK117" s="675"/>
      <c r="AL117" s="675"/>
      <c r="AM117" s="675"/>
      <c r="AN117" s="675"/>
      <c r="AO117" s="675"/>
      <c r="AP117" s="675"/>
      <c r="AQ117" s="675"/>
      <c r="AR117" s="675"/>
      <c r="AS117" s="675"/>
      <c r="AT117" s="675"/>
      <c r="AU117" s="675"/>
      <c r="AV117" s="675"/>
      <c r="AW117" s="675"/>
      <c r="AX117" s="675"/>
      <c r="AY117" s="675"/>
      <c r="AZ117" s="675"/>
      <c r="BA117" s="675"/>
      <c r="BB117" s="675"/>
      <c r="BC117" s="675"/>
      <c r="BD117" s="675"/>
      <c r="BE117" s="675"/>
      <c r="BF117" s="675"/>
      <c r="BG117" s="675"/>
      <c r="BH117" s="675"/>
      <c r="BI117" s="675"/>
      <c r="BJ117" s="675"/>
      <c r="BK117" s="675"/>
      <c r="BL117" s="675"/>
      <c r="BM117" s="675"/>
      <c r="BN117" s="675"/>
      <c r="BO117" s="675"/>
      <c r="BP117" s="675"/>
      <c r="BQ117" s="675"/>
      <c r="BR117" s="675"/>
      <c r="BS117" s="675"/>
      <c r="BT117" s="675"/>
      <c r="BU117" s="675"/>
      <c r="BV117" s="675"/>
      <c r="BW117" s="675"/>
      <c r="BX117" s="675"/>
      <c r="BY117" s="675"/>
      <c r="BZ117" s="675"/>
      <c r="CA117" s="675"/>
      <c r="CB117" s="675"/>
      <c r="CC117" s="675"/>
      <c r="CD117" s="675"/>
      <c r="CE117" s="675"/>
      <c r="CF117" s="675"/>
      <c r="CG117" s="675"/>
      <c r="CH117" s="675"/>
      <c r="CI117" s="675"/>
      <c r="CJ117" s="675"/>
      <c r="CK117" s="675"/>
      <c r="CL117" s="675"/>
      <c r="CM117" s="675"/>
      <c r="CN117" s="675"/>
      <c r="CO117" s="675"/>
      <c r="CP117" s="675"/>
      <c r="CQ117" s="675"/>
      <c r="CR117" s="675"/>
      <c r="CS117" s="675"/>
      <c r="CT117" s="33"/>
      <c r="CW117" s="902" t="str">
        <f>IF(AND(ISNUMBER(VALUE(TRIM(SUBSTITUTE(AD117,".","")))),TRIM(SUBSTITUTE(AD117,".",""))&lt;&gt;""),"P"&amp;SUBSTITUTE(AD117,".",""),"")</f>
        <v/>
      </c>
    </row>
    <row r="118" spans="5:104" ht="16.7" hidden="1" customHeight="1">
      <c r="E118" s="623">
        <v>17.100000000000001</v>
      </c>
      <c r="F118" s="714">
        <f t="shared" ca="1" si="46"/>
        <v>0</v>
      </c>
      <c r="S118" s="98" t="b">
        <f t="shared" ca="1" si="47"/>
        <v>0</v>
      </c>
      <c r="U118" s="645" t="b">
        <f t="shared" ca="1" si="45"/>
        <v>0</v>
      </c>
      <c r="Y118" s="1382"/>
      <c r="Z118" s="1382"/>
      <c r="AB118" s="1430" t="s">
        <v>705</v>
      </c>
      <c r="AD118" s="111" t="s">
        <v>706</v>
      </c>
      <c r="AE118" s="1442" t="s">
        <v>707</v>
      </c>
      <c r="AF118" s="1413"/>
      <c r="AG118" s="111" t="s">
        <v>648</v>
      </c>
      <c r="AH118" s="672">
        <f t="shared" ref="AH118:BM118" si="56">SUM(AH120:AH121)</f>
        <v>0</v>
      </c>
      <c r="AI118" s="672">
        <f t="shared" si="56"/>
        <v>0</v>
      </c>
      <c r="AJ118" s="672">
        <f t="shared" si="56"/>
        <v>0</v>
      </c>
      <c r="AK118" s="672">
        <f t="shared" si="56"/>
        <v>0</v>
      </c>
      <c r="AL118" s="672">
        <f t="shared" si="56"/>
        <v>0</v>
      </c>
      <c r="AM118" s="672">
        <f t="shared" si="56"/>
        <v>0</v>
      </c>
      <c r="AN118" s="672">
        <f t="shared" si="56"/>
        <v>0</v>
      </c>
      <c r="AO118" s="672">
        <f t="shared" si="56"/>
        <v>0</v>
      </c>
      <c r="AP118" s="672">
        <f t="shared" si="56"/>
        <v>0</v>
      </c>
      <c r="AQ118" s="672">
        <f t="shared" si="56"/>
        <v>0</v>
      </c>
      <c r="AR118" s="672">
        <f t="shared" si="56"/>
        <v>0</v>
      </c>
      <c r="AS118" s="672">
        <f t="shared" si="56"/>
        <v>0</v>
      </c>
      <c r="AT118" s="672">
        <f t="shared" si="56"/>
        <v>0</v>
      </c>
      <c r="AU118" s="672">
        <f t="shared" si="56"/>
        <v>0</v>
      </c>
      <c r="AV118" s="672">
        <f t="shared" si="56"/>
        <v>0</v>
      </c>
      <c r="AW118" s="672">
        <f t="shared" si="56"/>
        <v>0</v>
      </c>
      <c r="AX118" s="672">
        <f t="shared" si="56"/>
        <v>0</v>
      </c>
      <c r="AY118" s="672">
        <f t="shared" si="56"/>
        <v>0</v>
      </c>
      <c r="AZ118" s="672">
        <f t="shared" si="56"/>
        <v>0</v>
      </c>
      <c r="BA118" s="672">
        <f t="shared" si="56"/>
        <v>0</v>
      </c>
      <c r="BB118" s="672">
        <f t="shared" si="56"/>
        <v>0</v>
      </c>
      <c r="BC118" s="672">
        <f t="shared" si="56"/>
        <v>0</v>
      </c>
      <c r="BD118" s="672">
        <f t="shared" si="56"/>
        <v>0</v>
      </c>
      <c r="BE118" s="672">
        <f t="shared" si="56"/>
        <v>0</v>
      </c>
      <c r="BF118" s="672">
        <f t="shared" si="56"/>
        <v>0</v>
      </c>
      <c r="BG118" s="672">
        <f t="shared" si="56"/>
        <v>0</v>
      </c>
      <c r="BH118" s="672">
        <f t="shared" si="56"/>
        <v>0</v>
      </c>
      <c r="BI118" s="672">
        <f t="shared" si="56"/>
        <v>0</v>
      </c>
      <c r="BJ118" s="672">
        <f t="shared" si="56"/>
        <v>0</v>
      </c>
      <c r="BK118" s="672">
        <f t="shared" si="56"/>
        <v>0</v>
      </c>
      <c r="BL118" s="672">
        <f t="shared" si="56"/>
        <v>0</v>
      </c>
      <c r="BM118" s="672">
        <f t="shared" si="56"/>
        <v>0</v>
      </c>
      <c r="BN118" s="672">
        <f t="shared" ref="BN118:CS118" si="57">SUM(BN120:BN121)</f>
        <v>0</v>
      </c>
      <c r="BO118" s="672">
        <f t="shared" si="57"/>
        <v>0</v>
      </c>
      <c r="BP118" s="672">
        <f t="shared" si="57"/>
        <v>0</v>
      </c>
      <c r="BQ118" s="672">
        <f t="shared" si="57"/>
        <v>0</v>
      </c>
      <c r="BR118" s="672">
        <f t="shared" si="57"/>
        <v>0</v>
      </c>
      <c r="BS118" s="672">
        <f t="shared" si="57"/>
        <v>0</v>
      </c>
      <c r="BT118" s="672">
        <f t="shared" si="57"/>
        <v>0</v>
      </c>
      <c r="BU118" s="672">
        <f t="shared" si="57"/>
        <v>0</v>
      </c>
      <c r="BV118" s="672">
        <f t="shared" si="57"/>
        <v>0</v>
      </c>
      <c r="BW118" s="672">
        <f t="shared" si="57"/>
        <v>0</v>
      </c>
      <c r="BX118" s="672">
        <f t="shared" si="57"/>
        <v>0</v>
      </c>
      <c r="BY118" s="672">
        <f t="shared" si="57"/>
        <v>0</v>
      </c>
      <c r="BZ118" s="672">
        <f t="shared" si="57"/>
        <v>0</v>
      </c>
      <c r="CA118" s="672">
        <f t="shared" si="57"/>
        <v>0</v>
      </c>
      <c r="CB118" s="672">
        <f t="shared" si="57"/>
        <v>0</v>
      </c>
      <c r="CC118" s="672">
        <f t="shared" si="57"/>
        <v>0</v>
      </c>
      <c r="CD118" s="672">
        <f t="shared" si="57"/>
        <v>0</v>
      </c>
      <c r="CE118" s="672">
        <f t="shared" si="57"/>
        <v>0</v>
      </c>
      <c r="CF118" s="672">
        <f t="shared" si="57"/>
        <v>0</v>
      </c>
      <c r="CG118" s="672">
        <f t="shared" si="57"/>
        <v>0</v>
      </c>
      <c r="CH118" s="672">
        <f t="shared" si="57"/>
        <v>0</v>
      </c>
      <c r="CI118" s="672">
        <f t="shared" si="57"/>
        <v>0</v>
      </c>
      <c r="CJ118" s="672">
        <f t="shared" si="57"/>
        <v>0</v>
      </c>
      <c r="CK118" s="672">
        <f t="shared" si="57"/>
        <v>0</v>
      </c>
      <c r="CL118" s="672">
        <f t="shared" si="57"/>
        <v>0</v>
      </c>
      <c r="CM118" s="672">
        <f t="shared" si="57"/>
        <v>0</v>
      </c>
      <c r="CN118" s="672">
        <f t="shared" si="57"/>
        <v>0</v>
      </c>
      <c r="CO118" s="672">
        <f t="shared" si="57"/>
        <v>0</v>
      </c>
      <c r="CP118" s="672">
        <f t="shared" si="57"/>
        <v>0</v>
      </c>
      <c r="CQ118" s="672">
        <f t="shared" si="57"/>
        <v>0</v>
      </c>
      <c r="CR118" s="672">
        <f t="shared" si="57"/>
        <v>0</v>
      </c>
      <c r="CS118" s="672">
        <f t="shared" si="57"/>
        <v>0</v>
      </c>
      <c r="CT118" s="22"/>
      <c r="CW118" s="902" t="s">
        <v>708</v>
      </c>
    </row>
    <row r="119" spans="5:104" ht="16.7" hidden="1" customHeight="1">
      <c r="E119" s="623">
        <v>17.100000000000001</v>
      </c>
      <c r="F119" s="714">
        <f t="shared" ca="1" si="46"/>
        <v>0</v>
      </c>
      <c r="R119" s="714" t="s">
        <v>569</v>
      </c>
      <c r="S119" s="98" t="b">
        <f t="shared" ca="1" si="47"/>
        <v>0</v>
      </c>
      <c r="T119" s="714" t="b">
        <v>0</v>
      </c>
      <c r="U119" s="645" t="b">
        <f t="shared" ca="1" si="45"/>
        <v>0</v>
      </c>
      <c r="Y119" s="1382"/>
      <c r="Z119" s="1382"/>
      <c r="AB119" s="1431"/>
      <c r="AD119" s="99" t="str">
        <f>AD118&amp;".0"</f>
        <v>38.0</v>
      </c>
      <c r="AE119" s="1445" t="s">
        <v>580</v>
      </c>
      <c r="AF119" s="1446"/>
      <c r="AG119" s="111" t="s">
        <v>648</v>
      </c>
      <c r="AH119" s="28">
        <f>AH$52*AH118</f>
        <v>0</v>
      </c>
      <c r="AI119" s="29">
        <f>AI$52*AI118</f>
        <v>0</v>
      </c>
      <c r="AJ119" s="29">
        <f>AJ$52*AJ118</f>
        <v>0</v>
      </c>
      <c r="AK119" s="29">
        <f>AK$52*AK118</f>
        <v>0</v>
      </c>
      <c r="AL119" s="674">
        <f>AM119+AN119</f>
        <v>0</v>
      </c>
      <c r="AM119" s="29">
        <f>AM$52*AM118</f>
        <v>0</v>
      </c>
      <c r="AN119" s="29">
        <f>AN$52*AN118</f>
        <v>0</v>
      </c>
      <c r="AO119" s="674">
        <f>AP119+AQ119</f>
        <v>0</v>
      </c>
      <c r="AP119" s="1111">
        <f>AP$52*AP118</f>
        <v>0</v>
      </c>
      <c r="AQ119" s="1111">
        <f>AQ$52*AQ118</f>
        <v>0</v>
      </c>
      <c r="AR119" s="674">
        <f>AS119+AT119</f>
        <v>0</v>
      </c>
      <c r="AS119" s="1111">
        <f>AS$52*AS118</f>
        <v>0</v>
      </c>
      <c r="AT119" s="1111">
        <f>AT$52*AT118</f>
        <v>0</v>
      </c>
      <c r="AU119" s="674">
        <f>AV119+AW119</f>
        <v>0</v>
      </c>
      <c r="AV119" s="29">
        <f>AV$52*AV118</f>
        <v>0</v>
      </c>
      <c r="AW119" s="29">
        <f>AW$52*AW118</f>
        <v>0</v>
      </c>
      <c r="AX119" s="674">
        <f>AY119+AZ119</f>
        <v>0</v>
      </c>
      <c r="AY119" s="29">
        <f>AY$52*AY118</f>
        <v>0</v>
      </c>
      <c r="AZ119" s="29">
        <f>AZ$52*AZ118</f>
        <v>0</v>
      </c>
      <c r="BA119" s="674">
        <f>BB119+BC119</f>
        <v>0</v>
      </c>
      <c r="BB119" s="29">
        <f>BB$52*BB118</f>
        <v>0</v>
      </c>
      <c r="BC119" s="29">
        <f>BC$52*BC118</f>
        <v>0</v>
      </c>
      <c r="BD119" s="674">
        <f>BE119+BF119</f>
        <v>0</v>
      </c>
      <c r="BE119" s="29">
        <f>BE$52*BE118</f>
        <v>0</v>
      </c>
      <c r="BF119" s="29">
        <f>BF$52*BF118</f>
        <v>0</v>
      </c>
      <c r="BG119" s="674">
        <f>BH119+BI119</f>
        <v>0</v>
      </c>
      <c r="BH119" s="29">
        <f>BH$52*BH118</f>
        <v>0</v>
      </c>
      <c r="BI119" s="29">
        <f>BI$52*BI118</f>
        <v>0</v>
      </c>
      <c r="BJ119" s="674">
        <f>BK119+BL119</f>
        <v>0</v>
      </c>
      <c r="BK119" s="29">
        <f>BK$52*BK118</f>
        <v>0</v>
      </c>
      <c r="BL119" s="29">
        <f>BL$52*BL118</f>
        <v>0</v>
      </c>
      <c r="BM119" s="674">
        <f>BN119+BO119</f>
        <v>0</v>
      </c>
      <c r="BN119" s="29">
        <f>BN$52*BN118</f>
        <v>0</v>
      </c>
      <c r="BO119" s="29">
        <f>BO$52*BO118</f>
        <v>0</v>
      </c>
      <c r="BP119" s="674">
        <f>BQ119+BR119</f>
        <v>0</v>
      </c>
      <c r="BQ119" s="762">
        <f>BQ$52*BQ118</f>
        <v>0</v>
      </c>
      <c r="BR119" s="762">
        <f>BR$52*BR118</f>
        <v>0</v>
      </c>
      <c r="BS119" s="674">
        <f>BT119+BU119</f>
        <v>0</v>
      </c>
      <c r="BT119" s="1111">
        <f>BT$52*BT118</f>
        <v>0</v>
      </c>
      <c r="BU119" s="1111">
        <f>BU$52*BU118</f>
        <v>0</v>
      </c>
      <c r="BV119" s="674">
        <f>BW119+BX119</f>
        <v>0</v>
      </c>
      <c r="BW119" s="1111">
        <f>BW$52*BW118</f>
        <v>0</v>
      </c>
      <c r="BX119" s="1111">
        <f>BX$52*BX118</f>
        <v>0</v>
      </c>
      <c r="BY119" s="674">
        <f>BZ119+CA119</f>
        <v>0</v>
      </c>
      <c r="BZ119" s="29">
        <f>BZ$52*BZ118</f>
        <v>0</v>
      </c>
      <c r="CA119" s="29">
        <f>CA$52*CA118</f>
        <v>0</v>
      </c>
      <c r="CB119" s="674">
        <f>CC119+CD119</f>
        <v>0</v>
      </c>
      <c r="CC119" s="29">
        <f>CC$52*CC118</f>
        <v>0</v>
      </c>
      <c r="CD119" s="29">
        <f>CD$52*CD118</f>
        <v>0</v>
      </c>
      <c r="CE119" s="674">
        <f>CF119+CG119</f>
        <v>0</v>
      </c>
      <c r="CF119" s="29">
        <f>CF$52*CF118</f>
        <v>0</v>
      </c>
      <c r="CG119" s="29">
        <f>CG$52*CG118</f>
        <v>0</v>
      </c>
      <c r="CH119" s="674">
        <f>CI119+CJ119</f>
        <v>0</v>
      </c>
      <c r="CI119" s="29">
        <f>CI$52*CI118</f>
        <v>0</v>
      </c>
      <c r="CJ119" s="29">
        <f>CJ$52*CJ118</f>
        <v>0</v>
      </c>
      <c r="CK119" s="674">
        <f>CL119+CM119</f>
        <v>0</v>
      </c>
      <c r="CL119" s="29">
        <f>CL$52*CL118</f>
        <v>0</v>
      </c>
      <c r="CM119" s="29">
        <f>CM$52*CM118</f>
        <v>0</v>
      </c>
      <c r="CN119" s="674">
        <f>CO119+CP119</f>
        <v>0</v>
      </c>
      <c r="CO119" s="29">
        <f>CO$52*CO118</f>
        <v>0</v>
      </c>
      <c r="CP119" s="29">
        <f>CP$52*CP118</f>
        <v>0</v>
      </c>
      <c r="CQ119" s="674">
        <f>CR119+CS119</f>
        <v>0</v>
      </c>
      <c r="CR119" s="29">
        <f>CR$52*CR118</f>
        <v>0</v>
      </c>
      <c r="CS119" s="29">
        <f>CS$52*CS118</f>
        <v>0</v>
      </c>
      <c r="CT119" s="22"/>
      <c r="CW119" s="902" t="s">
        <v>709</v>
      </c>
    </row>
    <row r="120" spans="5:104" ht="16.7" hidden="1" customHeight="1">
      <c r="E120" s="623">
        <v>17.100000000000001</v>
      </c>
      <c r="F120" s="714">
        <f t="shared" ca="1" si="46"/>
        <v>0</v>
      </c>
      <c r="S120" s="98" t="b">
        <f t="shared" ca="1" si="47"/>
        <v>0</v>
      </c>
      <c r="T120" s="98" t="b">
        <f>AD120&lt;&gt;"38.0"</f>
        <v>0</v>
      </c>
      <c r="U120" s="645" t="b">
        <f t="shared" ca="1" si="45"/>
        <v>0</v>
      </c>
      <c r="X120" s="98" t="s">
        <v>170</v>
      </c>
      <c r="Y120" s="1382"/>
      <c r="Z120" s="1382"/>
      <c r="AB120" s="1431"/>
      <c r="AD120" s="99" t="s">
        <v>710</v>
      </c>
      <c r="AE120" s="757"/>
      <c r="AF120" s="475"/>
      <c r="AG120" s="111" t="s">
        <v>648</v>
      </c>
      <c r="AH120" s="28"/>
      <c r="AI120" s="29"/>
      <c r="AJ120" s="29"/>
      <c r="AK120" s="29"/>
      <c r="AL120" s="674">
        <f>AM120+AN120</f>
        <v>0</v>
      </c>
      <c r="AM120" s="29"/>
      <c r="AN120" s="29"/>
      <c r="AO120" s="674">
        <f>AP120+AQ120</f>
        <v>0</v>
      </c>
      <c r="AP120" s="1111"/>
      <c r="AQ120" s="1111"/>
      <c r="AR120" s="674">
        <f>AS120+AT120</f>
        <v>0</v>
      </c>
      <c r="AS120" s="1111"/>
      <c r="AT120" s="1111"/>
      <c r="AU120" s="674">
        <f>AV120+AW120</f>
        <v>0</v>
      </c>
      <c r="AV120" s="29"/>
      <c r="AW120" s="29"/>
      <c r="AX120" s="674">
        <f>AY120+AZ120</f>
        <v>0</v>
      </c>
      <c r="AY120" s="29"/>
      <c r="AZ120" s="29"/>
      <c r="BA120" s="674">
        <f>BB120+BC120</f>
        <v>0</v>
      </c>
      <c r="BB120" s="29"/>
      <c r="BC120" s="29"/>
      <c r="BD120" s="674">
        <f>BE120+BF120</f>
        <v>0</v>
      </c>
      <c r="BE120" s="29"/>
      <c r="BF120" s="29"/>
      <c r="BG120" s="674">
        <f>BH120+BI120</f>
        <v>0</v>
      </c>
      <c r="BH120" s="29"/>
      <c r="BI120" s="29"/>
      <c r="BJ120" s="674">
        <f>BK120+BL120</f>
        <v>0</v>
      </c>
      <c r="BK120" s="29"/>
      <c r="BL120" s="29"/>
      <c r="BM120" s="674">
        <f>BN120+BO120</f>
        <v>0</v>
      </c>
      <c r="BN120" s="29"/>
      <c r="BO120" s="29"/>
      <c r="BP120" s="674">
        <f>BQ120+BR120</f>
        <v>0</v>
      </c>
      <c r="BQ120" s="762"/>
      <c r="BR120" s="762"/>
      <c r="BS120" s="674">
        <f>BT120+BU120</f>
        <v>0</v>
      </c>
      <c r="BT120" s="1111"/>
      <c r="BU120" s="1111"/>
      <c r="BV120" s="674">
        <f>BW120+BX120</f>
        <v>0</v>
      </c>
      <c r="BW120" s="1111"/>
      <c r="BX120" s="1111"/>
      <c r="BY120" s="674">
        <f>BZ120+CA120</f>
        <v>0</v>
      </c>
      <c r="BZ120" s="29"/>
      <c r="CA120" s="29"/>
      <c r="CB120" s="674">
        <f>CC120+CD120</f>
        <v>0</v>
      </c>
      <c r="CC120" s="29"/>
      <c r="CD120" s="29"/>
      <c r="CE120" s="674">
        <f>CF120+CG120</f>
        <v>0</v>
      </c>
      <c r="CF120" s="29"/>
      <c r="CG120" s="29"/>
      <c r="CH120" s="674">
        <f>CI120+CJ120</f>
        <v>0</v>
      </c>
      <c r="CI120" s="29"/>
      <c r="CJ120" s="29"/>
      <c r="CK120" s="674">
        <f>CL120+CM120</f>
        <v>0</v>
      </c>
      <c r="CL120" s="29"/>
      <c r="CM120" s="29"/>
      <c r="CN120" s="674">
        <f>CO120+CP120</f>
        <v>0</v>
      </c>
      <c r="CO120" s="29"/>
      <c r="CP120" s="29"/>
      <c r="CQ120" s="674">
        <f>CR120+CS120</f>
        <v>0</v>
      </c>
      <c r="CR120" s="29"/>
      <c r="CS120" s="29"/>
      <c r="CT120" s="22"/>
      <c r="CW120" s="902" t="s">
        <v>709</v>
      </c>
      <c r="CX120" s="907" t="s">
        <v>630</v>
      </c>
      <c r="CY120" s="911">
        <f>AE120</f>
        <v>0</v>
      </c>
      <c r="CZ120" s="911">
        <f>AF120</f>
        <v>0</v>
      </c>
    </row>
    <row r="121" spans="5:104" ht="15" hidden="1" customHeight="1">
      <c r="E121" s="623">
        <v>0</v>
      </c>
      <c r="F121" s="714">
        <f t="shared" ca="1" si="46"/>
        <v>0</v>
      </c>
      <c r="S121" s="98" t="b">
        <f t="shared" ca="1" si="47"/>
        <v>0</v>
      </c>
      <c r="U121" s="645" t="b">
        <f t="shared" ca="1" si="45"/>
        <v>0</v>
      </c>
      <c r="X121" s="756" t="str">
        <f>"{                  
         funcDyn: 'msg1',
         blok: 'blok_2',
         wsCross: 'Топливо 4.4',
         linkFormula: 'AE-AE#AF-AF',
         levelDyn: "&amp;Y28&amp;"
}"</f>
        <v>{                  
         funcDyn: 'msg1',
         blok: 'blok_2',
         wsCross: 'Топливо 4.4',
         linkFormula: 'AE-AE#AF-AF',
         levelDyn: 0
}</v>
      </c>
      <c r="Y121" s="1382"/>
      <c r="Z121" s="1382"/>
      <c r="AB121" s="1431"/>
      <c r="AD121" s="759"/>
      <c r="AE121" s="758" t="s">
        <v>172</v>
      </c>
      <c r="AF121" s="685"/>
      <c r="AG121" s="111"/>
      <c r="AH121" s="673"/>
      <c r="AI121" s="675"/>
      <c r="AJ121" s="675"/>
      <c r="AK121" s="675"/>
      <c r="AL121" s="675"/>
      <c r="AM121" s="675"/>
      <c r="AN121" s="675"/>
      <c r="AO121" s="675"/>
      <c r="AP121" s="675"/>
      <c r="AQ121" s="675"/>
      <c r="AR121" s="675"/>
      <c r="AS121" s="675"/>
      <c r="AT121" s="675"/>
      <c r="AU121" s="675"/>
      <c r="AV121" s="675"/>
      <c r="AW121" s="675"/>
      <c r="AX121" s="675"/>
      <c r="AY121" s="675"/>
      <c r="AZ121" s="675"/>
      <c r="BA121" s="675"/>
      <c r="BB121" s="675"/>
      <c r="BC121" s="675"/>
      <c r="BD121" s="675"/>
      <c r="BE121" s="675"/>
      <c r="BF121" s="675"/>
      <c r="BG121" s="675"/>
      <c r="BH121" s="675"/>
      <c r="BI121" s="675"/>
      <c r="BJ121" s="675"/>
      <c r="BK121" s="675"/>
      <c r="BL121" s="675"/>
      <c r="BM121" s="675"/>
      <c r="BN121" s="675"/>
      <c r="BO121" s="675"/>
      <c r="BP121" s="675"/>
      <c r="BQ121" s="675"/>
      <c r="BR121" s="675"/>
      <c r="BS121" s="675"/>
      <c r="BT121" s="675"/>
      <c r="BU121" s="675"/>
      <c r="BV121" s="675"/>
      <c r="BW121" s="675"/>
      <c r="BX121" s="675"/>
      <c r="BY121" s="675"/>
      <c r="BZ121" s="675"/>
      <c r="CA121" s="675"/>
      <c r="CB121" s="675"/>
      <c r="CC121" s="675"/>
      <c r="CD121" s="675"/>
      <c r="CE121" s="675"/>
      <c r="CF121" s="675"/>
      <c r="CG121" s="675"/>
      <c r="CH121" s="675"/>
      <c r="CI121" s="675"/>
      <c r="CJ121" s="675"/>
      <c r="CK121" s="675"/>
      <c r="CL121" s="675"/>
      <c r="CM121" s="675"/>
      <c r="CN121" s="675"/>
      <c r="CO121" s="675"/>
      <c r="CP121" s="675"/>
      <c r="CQ121" s="675"/>
      <c r="CR121" s="675"/>
      <c r="CS121" s="675"/>
      <c r="CT121" s="33"/>
      <c r="CW121" s="902" t="str">
        <f>IF(AND(ISNUMBER(VALUE(TRIM(SUBSTITUTE(AD121,".","")))),TRIM(SUBSTITUTE(AD121,".",""))&lt;&gt;""),"P"&amp;SUBSTITUTE(AD121,".",""),"")</f>
        <v/>
      </c>
    </row>
    <row r="122" spans="5:104" ht="29.25" hidden="1" customHeight="1">
      <c r="E122" s="623">
        <v>30</v>
      </c>
      <c r="F122" s="714">
        <f t="shared" ca="1" si="46"/>
        <v>0</v>
      </c>
      <c r="R122" s="714" t="s">
        <v>569</v>
      </c>
      <c r="S122" s="98" t="b">
        <f t="shared" ca="1" si="47"/>
        <v>0</v>
      </c>
      <c r="U122" s="645" t="b">
        <f t="shared" ca="1" si="45"/>
        <v>0</v>
      </c>
      <c r="Y122" s="1382"/>
      <c r="Z122" s="1382"/>
      <c r="AB122" s="1431"/>
      <c r="AD122" s="111" t="s">
        <v>711</v>
      </c>
      <c r="AE122" s="1447" t="s">
        <v>712</v>
      </c>
      <c r="AF122" s="1448"/>
      <c r="AG122" s="111" t="s">
        <v>648</v>
      </c>
      <c r="AH122" s="672">
        <f t="shared" ref="AH122:BM122" si="58">SUM(AH123:AH124)</f>
        <v>0</v>
      </c>
      <c r="AI122" s="672">
        <f t="shared" si="58"/>
        <v>0</v>
      </c>
      <c r="AJ122" s="672">
        <f t="shared" si="58"/>
        <v>0</v>
      </c>
      <c r="AK122" s="672">
        <f t="shared" si="58"/>
        <v>0</v>
      </c>
      <c r="AL122" s="672">
        <f t="shared" si="58"/>
        <v>0</v>
      </c>
      <c r="AM122" s="672">
        <f t="shared" si="58"/>
        <v>0</v>
      </c>
      <c r="AN122" s="672">
        <f t="shared" si="58"/>
        <v>0</v>
      </c>
      <c r="AO122" s="672">
        <f t="shared" si="58"/>
        <v>0</v>
      </c>
      <c r="AP122" s="672">
        <f t="shared" si="58"/>
        <v>0</v>
      </c>
      <c r="AQ122" s="672">
        <f t="shared" si="58"/>
        <v>0</v>
      </c>
      <c r="AR122" s="672">
        <f t="shared" si="58"/>
        <v>0</v>
      </c>
      <c r="AS122" s="672">
        <f t="shared" si="58"/>
        <v>0</v>
      </c>
      <c r="AT122" s="672">
        <f t="shared" si="58"/>
        <v>0</v>
      </c>
      <c r="AU122" s="672">
        <f t="shared" si="58"/>
        <v>0</v>
      </c>
      <c r="AV122" s="672">
        <f t="shared" si="58"/>
        <v>0</v>
      </c>
      <c r="AW122" s="672">
        <f t="shared" si="58"/>
        <v>0</v>
      </c>
      <c r="AX122" s="672">
        <f t="shared" si="58"/>
        <v>0</v>
      </c>
      <c r="AY122" s="672">
        <f t="shared" si="58"/>
        <v>0</v>
      </c>
      <c r="AZ122" s="672">
        <f t="shared" si="58"/>
        <v>0</v>
      </c>
      <c r="BA122" s="672">
        <f t="shared" si="58"/>
        <v>0</v>
      </c>
      <c r="BB122" s="672">
        <f t="shared" si="58"/>
        <v>0</v>
      </c>
      <c r="BC122" s="672">
        <f t="shared" si="58"/>
        <v>0</v>
      </c>
      <c r="BD122" s="672">
        <f t="shared" si="58"/>
        <v>0</v>
      </c>
      <c r="BE122" s="672">
        <f t="shared" si="58"/>
        <v>0</v>
      </c>
      <c r="BF122" s="672">
        <f t="shared" si="58"/>
        <v>0</v>
      </c>
      <c r="BG122" s="672">
        <f t="shared" si="58"/>
        <v>0</v>
      </c>
      <c r="BH122" s="672">
        <f t="shared" si="58"/>
        <v>0</v>
      </c>
      <c r="BI122" s="672">
        <f t="shared" si="58"/>
        <v>0</v>
      </c>
      <c r="BJ122" s="672">
        <f t="shared" si="58"/>
        <v>0</v>
      </c>
      <c r="BK122" s="672">
        <f t="shared" si="58"/>
        <v>0</v>
      </c>
      <c r="BL122" s="672">
        <f t="shared" si="58"/>
        <v>0</v>
      </c>
      <c r="BM122" s="672">
        <f t="shared" si="58"/>
        <v>0</v>
      </c>
      <c r="BN122" s="672">
        <f t="shared" ref="BN122:CS122" si="59">SUM(BN123:BN124)</f>
        <v>0</v>
      </c>
      <c r="BO122" s="672">
        <f t="shared" si="59"/>
        <v>0</v>
      </c>
      <c r="BP122" s="672">
        <f t="shared" si="59"/>
        <v>0</v>
      </c>
      <c r="BQ122" s="672">
        <f t="shared" si="59"/>
        <v>0</v>
      </c>
      <c r="BR122" s="672">
        <f t="shared" si="59"/>
        <v>0</v>
      </c>
      <c r="BS122" s="672">
        <f t="shared" si="59"/>
        <v>0</v>
      </c>
      <c r="BT122" s="672">
        <f t="shared" si="59"/>
        <v>0</v>
      </c>
      <c r="BU122" s="672">
        <f t="shared" si="59"/>
        <v>0</v>
      </c>
      <c r="BV122" s="672">
        <f t="shared" si="59"/>
        <v>0</v>
      </c>
      <c r="BW122" s="672">
        <f t="shared" si="59"/>
        <v>0</v>
      </c>
      <c r="BX122" s="672">
        <f t="shared" si="59"/>
        <v>0</v>
      </c>
      <c r="BY122" s="672">
        <f t="shared" si="59"/>
        <v>0</v>
      </c>
      <c r="BZ122" s="672">
        <f t="shared" si="59"/>
        <v>0</v>
      </c>
      <c r="CA122" s="672">
        <f t="shared" si="59"/>
        <v>0</v>
      </c>
      <c r="CB122" s="672">
        <f t="shared" si="59"/>
        <v>0</v>
      </c>
      <c r="CC122" s="672">
        <f t="shared" si="59"/>
        <v>0</v>
      </c>
      <c r="CD122" s="672">
        <f t="shared" si="59"/>
        <v>0</v>
      </c>
      <c r="CE122" s="672">
        <f t="shared" si="59"/>
        <v>0</v>
      </c>
      <c r="CF122" s="672">
        <f t="shared" si="59"/>
        <v>0</v>
      </c>
      <c r="CG122" s="672">
        <f t="shared" si="59"/>
        <v>0</v>
      </c>
      <c r="CH122" s="672">
        <f t="shared" si="59"/>
        <v>0</v>
      </c>
      <c r="CI122" s="672">
        <f t="shared" si="59"/>
        <v>0</v>
      </c>
      <c r="CJ122" s="672">
        <f t="shared" si="59"/>
        <v>0</v>
      </c>
      <c r="CK122" s="672">
        <f t="shared" si="59"/>
        <v>0</v>
      </c>
      <c r="CL122" s="672">
        <f t="shared" si="59"/>
        <v>0</v>
      </c>
      <c r="CM122" s="672">
        <f t="shared" si="59"/>
        <v>0</v>
      </c>
      <c r="CN122" s="672">
        <f t="shared" si="59"/>
        <v>0</v>
      </c>
      <c r="CO122" s="672">
        <f t="shared" si="59"/>
        <v>0</v>
      </c>
      <c r="CP122" s="672">
        <f t="shared" si="59"/>
        <v>0</v>
      </c>
      <c r="CQ122" s="672">
        <f t="shared" si="59"/>
        <v>0</v>
      </c>
      <c r="CR122" s="672">
        <f t="shared" si="59"/>
        <v>0</v>
      </c>
      <c r="CS122" s="672">
        <f t="shared" si="59"/>
        <v>0</v>
      </c>
      <c r="CT122" s="22"/>
      <c r="CW122" s="902" t="s">
        <v>713</v>
      </c>
    </row>
    <row r="123" spans="5:104" ht="16.7" hidden="1" customHeight="1">
      <c r="E123" s="623">
        <v>17.100000000000001</v>
      </c>
      <c r="F123" s="714">
        <f t="shared" ca="1" si="46"/>
        <v>0</v>
      </c>
      <c r="R123" s="714" t="s">
        <v>569</v>
      </c>
      <c r="S123" s="98" t="b">
        <f t="shared" ca="1" si="47"/>
        <v>0</v>
      </c>
      <c r="T123" s="98" t="b">
        <f>AD123&lt;&gt;"39.0"</f>
        <v>0</v>
      </c>
      <c r="U123" s="645" t="b">
        <f t="shared" ca="1" si="45"/>
        <v>0</v>
      </c>
      <c r="X123" s="98" t="s">
        <v>170</v>
      </c>
      <c r="Y123" s="1382"/>
      <c r="Z123" s="1382"/>
      <c r="AB123" s="1431"/>
      <c r="AD123" s="99" t="s">
        <v>714</v>
      </c>
      <c r="AE123" s="757"/>
      <c r="AF123" s="475"/>
      <c r="AG123" s="111" t="s">
        <v>648</v>
      </c>
      <c r="AH123" s="28">
        <f>AH$52*AH120</f>
        <v>0</v>
      </c>
      <c r="AI123" s="29">
        <f>AI$52*AI120</f>
        <v>0</v>
      </c>
      <c r="AJ123" s="29">
        <f>AJ$52*AJ120</f>
        <v>0</v>
      </c>
      <c r="AK123" s="29">
        <f>AK$52*AK120</f>
        <v>0</v>
      </c>
      <c r="AL123" s="674">
        <f>AM123+AN123</f>
        <v>0</v>
      </c>
      <c r="AM123" s="29">
        <f>AM$52*AM120</f>
        <v>0</v>
      </c>
      <c r="AN123" s="29">
        <f>AN$52*AN120</f>
        <v>0</v>
      </c>
      <c r="AO123" s="674">
        <f>AP123+AQ123</f>
        <v>0</v>
      </c>
      <c r="AP123" s="1111">
        <f>AP$52*AP120</f>
        <v>0</v>
      </c>
      <c r="AQ123" s="1111">
        <f>AQ$52*AQ120</f>
        <v>0</v>
      </c>
      <c r="AR123" s="674">
        <f>AS123+AT123</f>
        <v>0</v>
      </c>
      <c r="AS123" s="1111">
        <f>AS$52*AS120</f>
        <v>0</v>
      </c>
      <c r="AT123" s="1111">
        <f>AT$52*AT120</f>
        <v>0</v>
      </c>
      <c r="AU123" s="674">
        <f>AV123+AW123</f>
        <v>0</v>
      </c>
      <c r="AV123" s="29">
        <f>AV$52*AV120</f>
        <v>0</v>
      </c>
      <c r="AW123" s="29">
        <f>AW$52*AW120</f>
        <v>0</v>
      </c>
      <c r="AX123" s="674">
        <f>AY123+AZ123</f>
        <v>0</v>
      </c>
      <c r="AY123" s="29">
        <f>AY$52*AY120</f>
        <v>0</v>
      </c>
      <c r="AZ123" s="29">
        <f>AZ$52*AZ120</f>
        <v>0</v>
      </c>
      <c r="BA123" s="674">
        <f>BB123+BC123</f>
        <v>0</v>
      </c>
      <c r="BB123" s="29">
        <f>BB$52*BB120</f>
        <v>0</v>
      </c>
      <c r="BC123" s="29">
        <f>BC$52*BC120</f>
        <v>0</v>
      </c>
      <c r="BD123" s="674">
        <f>BE123+BF123</f>
        <v>0</v>
      </c>
      <c r="BE123" s="29">
        <f>BE$52*BE120</f>
        <v>0</v>
      </c>
      <c r="BF123" s="29">
        <f>BF$52*BF120</f>
        <v>0</v>
      </c>
      <c r="BG123" s="674">
        <f>BH123+BI123</f>
        <v>0</v>
      </c>
      <c r="BH123" s="29">
        <f>BH$52*BH120</f>
        <v>0</v>
      </c>
      <c r="BI123" s="29">
        <f>BI$52*BI120</f>
        <v>0</v>
      </c>
      <c r="BJ123" s="674">
        <f>BK123+BL123</f>
        <v>0</v>
      </c>
      <c r="BK123" s="29">
        <f>BK$52*BK120</f>
        <v>0</v>
      </c>
      <c r="BL123" s="29">
        <f>BL$52*BL120</f>
        <v>0</v>
      </c>
      <c r="BM123" s="674">
        <f>BN123+BO123</f>
        <v>0</v>
      </c>
      <c r="BN123" s="29">
        <f>BN$52*BN120</f>
        <v>0</v>
      </c>
      <c r="BO123" s="29">
        <f>BO$52*BO120</f>
        <v>0</v>
      </c>
      <c r="BP123" s="674">
        <f>BQ123+BR123</f>
        <v>0</v>
      </c>
      <c r="BQ123" s="762">
        <f>BQ$52*BQ120</f>
        <v>0</v>
      </c>
      <c r="BR123" s="762">
        <f>BR$52*BR120</f>
        <v>0</v>
      </c>
      <c r="BS123" s="674">
        <f>BT123+BU123</f>
        <v>0</v>
      </c>
      <c r="BT123" s="1111">
        <f>BT$52*BT120</f>
        <v>0</v>
      </c>
      <c r="BU123" s="1111">
        <f>BU$52*BU120</f>
        <v>0</v>
      </c>
      <c r="BV123" s="674">
        <f>BW123+BX123</f>
        <v>0</v>
      </c>
      <c r="BW123" s="1111">
        <f>BW$52*BW120</f>
        <v>0</v>
      </c>
      <c r="BX123" s="1111">
        <f>BX$52*BX120</f>
        <v>0</v>
      </c>
      <c r="BY123" s="674">
        <f>BZ123+CA123</f>
        <v>0</v>
      </c>
      <c r="BZ123" s="29">
        <f>BZ$52*BZ120</f>
        <v>0</v>
      </c>
      <c r="CA123" s="29">
        <f>CA$52*CA120</f>
        <v>0</v>
      </c>
      <c r="CB123" s="674">
        <f>CC123+CD123</f>
        <v>0</v>
      </c>
      <c r="CC123" s="29">
        <f>CC$52*CC120</f>
        <v>0</v>
      </c>
      <c r="CD123" s="29">
        <f>CD$52*CD120</f>
        <v>0</v>
      </c>
      <c r="CE123" s="674">
        <f>CF123+CG123</f>
        <v>0</v>
      </c>
      <c r="CF123" s="29">
        <f>CF$52*CF120</f>
        <v>0</v>
      </c>
      <c r="CG123" s="29">
        <f>CG$52*CG120</f>
        <v>0</v>
      </c>
      <c r="CH123" s="674">
        <f>CI123+CJ123</f>
        <v>0</v>
      </c>
      <c r="CI123" s="29">
        <f>CI$52*CI120</f>
        <v>0</v>
      </c>
      <c r="CJ123" s="29">
        <f>CJ$52*CJ120</f>
        <v>0</v>
      </c>
      <c r="CK123" s="674">
        <f>CL123+CM123</f>
        <v>0</v>
      </c>
      <c r="CL123" s="29">
        <f>CL$52*CL120</f>
        <v>0</v>
      </c>
      <c r="CM123" s="29">
        <f>CM$52*CM120</f>
        <v>0</v>
      </c>
      <c r="CN123" s="674">
        <f>CO123+CP123</f>
        <v>0</v>
      </c>
      <c r="CO123" s="29">
        <f>CO$52*CO120</f>
        <v>0</v>
      </c>
      <c r="CP123" s="29">
        <f>CP$52*CP120</f>
        <v>0</v>
      </c>
      <c r="CQ123" s="674">
        <f>CR123+CS123</f>
        <v>0</v>
      </c>
      <c r="CR123" s="29">
        <f>CR$52*CR120</f>
        <v>0</v>
      </c>
      <c r="CS123" s="29">
        <f>CS$52*CS120</f>
        <v>0</v>
      </c>
      <c r="CT123" s="22"/>
      <c r="CW123" s="902" t="s">
        <v>713</v>
      </c>
      <c r="CX123" s="907" t="s">
        <v>630</v>
      </c>
      <c r="CY123" s="911">
        <f>AE123</f>
        <v>0</v>
      </c>
      <c r="CZ123" s="911">
        <f>AF123</f>
        <v>0</v>
      </c>
    </row>
    <row r="124" spans="5:104" ht="15" hidden="1" customHeight="1">
      <c r="E124" s="623">
        <v>0</v>
      </c>
      <c r="F124" s="714">
        <f t="shared" ca="1" si="46"/>
        <v>0</v>
      </c>
      <c r="S124" s="98" t="b">
        <f t="shared" ca="1" si="47"/>
        <v>0</v>
      </c>
      <c r="U124" s="645" t="b">
        <f t="shared" ca="1" si="45"/>
        <v>0</v>
      </c>
      <c r="X124" s="756" t="str">
        <f>"{                  
         funcDyn: 'msg1',
         blok: 'blok_2',
         wsCross: 'Топливо 4.4',
         linkFormula: 'AE-AE#AF-AF',
         levelDyn: "&amp;Y28&amp;"
}"</f>
        <v>{                  
         funcDyn: 'msg1',
         blok: 'blok_2',
         wsCross: 'Топливо 4.4',
         linkFormula: 'AE-AE#AF-AF',
         levelDyn: 0
}</v>
      </c>
      <c r="Y124" s="1382"/>
      <c r="Z124" s="1382"/>
      <c r="AB124" s="1432"/>
      <c r="AD124" s="759"/>
      <c r="AE124" s="758" t="s">
        <v>172</v>
      </c>
      <c r="AF124" s="685"/>
      <c r="AG124" s="111"/>
      <c r="AH124" s="673"/>
      <c r="AI124" s="675"/>
      <c r="AJ124" s="675"/>
      <c r="AK124" s="675"/>
      <c r="AL124" s="675"/>
      <c r="AM124" s="675"/>
      <c r="AN124" s="675"/>
      <c r="AO124" s="675"/>
      <c r="AP124" s="675"/>
      <c r="AQ124" s="675"/>
      <c r="AR124" s="675"/>
      <c r="AS124" s="675"/>
      <c r="AT124" s="675"/>
      <c r="AU124" s="675"/>
      <c r="AV124" s="675"/>
      <c r="AW124" s="675"/>
      <c r="AX124" s="675"/>
      <c r="AY124" s="675"/>
      <c r="AZ124" s="675"/>
      <c r="BA124" s="675"/>
      <c r="BB124" s="675"/>
      <c r="BC124" s="675"/>
      <c r="BD124" s="675"/>
      <c r="BE124" s="675"/>
      <c r="BF124" s="675"/>
      <c r="BG124" s="675"/>
      <c r="BH124" s="675"/>
      <c r="BI124" s="675"/>
      <c r="BJ124" s="675"/>
      <c r="BK124" s="675"/>
      <c r="BL124" s="675"/>
      <c r="BM124" s="675"/>
      <c r="BN124" s="675"/>
      <c r="BO124" s="675"/>
      <c r="BP124" s="675"/>
      <c r="BQ124" s="675"/>
      <c r="BR124" s="675"/>
      <c r="BS124" s="675"/>
      <c r="BT124" s="675"/>
      <c r="BU124" s="675"/>
      <c r="BV124" s="675"/>
      <c r="BW124" s="675"/>
      <c r="BX124" s="675"/>
      <c r="BY124" s="675"/>
      <c r="BZ124" s="675"/>
      <c r="CA124" s="675"/>
      <c r="CB124" s="675"/>
      <c r="CC124" s="675"/>
      <c r="CD124" s="675"/>
      <c r="CE124" s="675"/>
      <c r="CF124" s="675"/>
      <c r="CG124" s="675"/>
      <c r="CH124" s="675"/>
      <c r="CI124" s="675"/>
      <c r="CJ124" s="675"/>
      <c r="CK124" s="675"/>
      <c r="CL124" s="675"/>
      <c r="CM124" s="675"/>
      <c r="CN124" s="675"/>
      <c r="CO124" s="675"/>
      <c r="CP124" s="675"/>
      <c r="CQ124" s="675"/>
      <c r="CR124" s="675"/>
      <c r="CS124" s="675"/>
      <c r="CT124" s="33"/>
      <c r="CW124" s="902" t="str">
        <f>IF(AND(ISNUMBER(VALUE(TRIM(SUBSTITUTE(AD124,".","")))),TRIM(SUBSTITUTE(AD124,".",""))&lt;&gt;""),"P"&amp;SUBSTITUTE(AD124,".",""),"")</f>
        <v/>
      </c>
    </row>
    <row r="125" spans="5:104" ht="16.7" hidden="1" customHeight="1">
      <c r="E125" s="623">
        <v>17.100000000000001</v>
      </c>
      <c r="F125" s="714">
        <f t="shared" ref="F125:F156" ca="1" si="60">OFFSET(G125,-1,-1)</f>
        <v>0</v>
      </c>
      <c r="S125" s="98" t="b">
        <f t="shared" ref="S125:S156" ca="1" si="61">OFFSET(T125,-1,-1)</f>
        <v>0</v>
      </c>
      <c r="U125" s="645" t="b">
        <f t="shared" ca="1" si="45"/>
        <v>0</v>
      </c>
      <c r="Y125" s="1382"/>
      <c r="Z125" s="1382"/>
      <c r="AB125" s="1472" t="s">
        <v>715</v>
      </c>
      <c r="AD125" s="111" t="s">
        <v>716</v>
      </c>
      <c r="AE125" s="1447" t="s">
        <v>717</v>
      </c>
      <c r="AF125" s="1448"/>
      <c r="AG125" s="111" t="s">
        <v>648</v>
      </c>
      <c r="AH125" s="672">
        <f t="shared" ref="AH125:BM125" si="62">SUM(AH129:AH130)</f>
        <v>0</v>
      </c>
      <c r="AI125" s="672">
        <f t="shared" si="62"/>
        <v>0</v>
      </c>
      <c r="AJ125" s="672">
        <f t="shared" si="62"/>
        <v>0</v>
      </c>
      <c r="AK125" s="672">
        <f t="shared" si="62"/>
        <v>0</v>
      </c>
      <c r="AL125" s="672">
        <f t="shared" si="62"/>
        <v>0</v>
      </c>
      <c r="AM125" s="672">
        <f t="shared" si="62"/>
        <v>0</v>
      </c>
      <c r="AN125" s="672">
        <f t="shared" si="62"/>
        <v>0</v>
      </c>
      <c r="AO125" s="672">
        <f t="shared" si="62"/>
        <v>0</v>
      </c>
      <c r="AP125" s="672">
        <f t="shared" si="62"/>
        <v>0</v>
      </c>
      <c r="AQ125" s="672">
        <f t="shared" si="62"/>
        <v>0</v>
      </c>
      <c r="AR125" s="672">
        <f t="shared" si="62"/>
        <v>0</v>
      </c>
      <c r="AS125" s="672">
        <f t="shared" si="62"/>
        <v>0</v>
      </c>
      <c r="AT125" s="672">
        <f t="shared" si="62"/>
        <v>0</v>
      </c>
      <c r="AU125" s="672">
        <f t="shared" si="62"/>
        <v>0</v>
      </c>
      <c r="AV125" s="672">
        <f t="shared" si="62"/>
        <v>0</v>
      </c>
      <c r="AW125" s="672">
        <f t="shared" si="62"/>
        <v>0</v>
      </c>
      <c r="AX125" s="672">
        <f t="shared" si="62"/>
        <v>0</v>
      </c>
      <c r="AY125" s="672">
        <f t="shared" si="62"/>
        <v>0</v>
      </c>
      <c r="AZ125" s="672">
        <f t="shared" si="62"/>
        <v>0</v>
      </c>
      <c r="BA125" s="672">
        <f t="shared" si="62"/>
        <v>0</v>
      </c>
      <c r="BB125" s="672">
        <f t="shared" si="62"/>
        <v>0</v>
      </c>
      <c r="BC125" s="672">
        <f t="shared" si="62"/>
        <v>0</v>
      </c>
      <c r="BD125" s="672">
        <f t="shared" si="62"/>
        <v>0</v>
      </c>
      <c r="BE125" s="672">
        <f t="shared" si="62"/>
        <v>0</v>
      </c>
      <c r="BF125" s="672">
        <f t="shared" si="62"/>
        <v>0</v>
      </c>
      <c r="BG125" s="672">
        <f t="shared" si="62"/>
        <v>0</v>
      </c>
      <c r="BH125" s="672">
        <f t="shared" si="62"/>
        <v>0</v>
      </c>
      <c r="BI125" s="672">
        <f t="shared" si="62"/>
        <v>0</v>
      </c>
      <c r="BJ125" s="672">
        <f t="shared" si="62"/>
        <v>0</v>
      </c>
      <c r="BK125" s="672">
        <f t="shared" si="62"/>
        <v>0</v>
      </c>
      <c r="BL125" s="672">
        <f t="shared" si="62"/>
        <v>0</v>
      </c>
      <c r="BM125" s="672">
        <f t="shared" si="62"/>
        <v>0</v>
      </c>
      <c r="BN125" s="672">
        <f t="shared" ref="BN125:CS125" si="63">SUM(BN129:BN130)</f>
        <v>0</v>
      </c>
      <c r="BO125" s="672">
        <f t="shared" si="63"/>
        <v>0</v>
      </c>
      <c r="BP125" s="672">
        <f t="shared" si="63"/>
        <v>0</v>
      </c>
      <c r="BQ125" s="672">
        <f t="shared" si="63"/>
        <v>0</v>
      </c>
      <c r="BR125" s="672">
        <f t="shared" si="63"/>
        <v>0</v>
      </c>
      <c r="BS125" s="672">
        <f t="shared" si="63"/>
        <v>0</v>
      </c>
      <c r="BT125" s="672">
        <f t="shared" si="63"/>
        <v>0</v>
      </c>
      <c r="BU125" s="672">
        <f t="shared" si="63"/>
        <v>0</v>
      </c>
      <c r="BV125" s="672">
        <f t="shared" si="63"/>
        <v>0</v>
      </c>
      <c r="BW125" s="672">
        <f t="shared" si="63"/>
        <v>0</v>
      </c>
      <c r="BX125" s="672">
        <f t="shared" si="63"/>
        <v>0</v>
      </c>
      <c r="BY125" s="672">
        <f t="shared" si="63"/>
        <v>0</v>
      </c>
      <c r="BZ125" s="672">
        <f t="shared" si="63"/>
        <v>0</v>
      </c>
      <c r="CA125" s="672">
        <f t="shared" si="63"/>
        <v>0</v>
      </c>
      <c r="CB125" s="672">
        <f t="shared" si="63"/>
        <v>0</v>
      </c>
      <c r="CC125" s="672">
        <f t="shared" si="63"/>
        <v>0</v>
      </c>
      <c r="CD125" s="672">
        <f t="shared" si="63"/>
        <v>0</v>
      </c>
      <c r="CE125" s="672">
        <f t="shared" si="63"/>
        <v>0</v>
      </c>
      <c r="CF125" s="672">
        <f t="shared" si="63"/>
        <v>0</v>
      </c>
      <c r="CG125" s="672">
        <f t="shared" si="63"/>
        <v>0</v>
      </c>
      <c r="CH125" s="672">
        <f t="shared" si="63"/>
        <v>0</v>
      </c>
      <c r="CI125" s="672">
        <f t="shared" si="63"/>
        <v>0</v>
      </c>
      <c r="CJ125" s="672">
        <f t="shared" si="63"/>
        <v>0</v>
      </c>
      <c r="CK125" s="672">
        <f t="shared" si="63"/>
        <v>0</v>
      </c>
      <c r="CL125" s="672">
        <f t="shared" si="63"/>
        <v>0</v>
      </c>
      <c r="CM125" s="672">
        <f t="shared" si="63"/>
        <v>0</v>
      </c>
      <c r="CN125" s="672">
        <f t="shared" si="63"/>
        <v>0</v>
      </c>
      <c r="CO125" s="672">
        <f t="shared" si="63"/>
        <v>0</v>
      </c>
      <c r="CP125" s="672">
        <f t="shared" si="63"/>
        <v>0</v>
      </c>
      <c r="CQ125" s="672">
        <f t="shared" si="63"/>
        <v>0</v>
      </c>
      <c r="CR125" s="672">
        <f t="shared" si="63"/>
        <v>0</v>
      </c>
      <c r="CS125" s="672">
        <f t="shared" si="63"/>
        <v>0</v>
      </c>
      <c r="CT125" s="22"/>
      <c r="CW125" s="902" t="s">
        <v>718</v>
      </c>
    </row>
    <row r="126" spans="5:104" ht="16.7" hidden="1" customHeight="1">
      <c r="E126" s="623">
        <v>17.100000000000001</v>
      </c>
      <c r="F126" s="714">
        <f t="shared" ca="1" si="60"/>
        <v>0</v>
      </c>
      <c r="G126" s="566" t="str">
        <f>IF(J28="вода+пар","топливо","")</f>
        <v/>
      </c>
      <c r="R126" s="714" t="s">
        <v>569</v>
      </c>
      <c r="S126" s="98" t="b">
        <f t="shared" ca="1" si="61"/>
        <v>0</v>
      </c>
      <c r="U126" s="645" t="b">
        <f t="shared" ca="1" si="45"/>
        <v>0</v>
      </c>
      <c r="Y126" s="1382"/>
      <c r="Z126" s="1382"/>
      <c r="AB126" s="1473"/>
      <c r="AD126" s="99" t="str">
        <f>AD125&amp;".0"</f>
        <v>40.0</v>
      </c>
      <c r="AE126" s="1449" t="s">
        <v>580</v>
      </c>
      <c r="AF126" s="1450"/>
      <c r="AG126" s="111" t="s">
        <v>648</v>
      </c>
      <c r="AH126" s="28">
        <f>AH$52*AH125</f>
        <v>0</v>
      </c>
      <c r="AI126" s="29">
        <f>AI$52*AI125</f>
        <v>0</v>
      </c>
      <c r="AJ126" s="29">
        <f>AJ$52*AJ125</f>
        <v>0</v>
      </c>
      <c r="AK126" s="29">
        <f>AK$52*AK125</f>
        <v>0</v>
      </c>
      <c r="AL126" s="674">
        <f>AM126+AN126</f>
        <v>0</v>
      </c>
      <c r="AM126" s="29">
        <f>AM$52*AM125</f>
        <v>0</v>
      </c>
      <c r="AN126" s="29">
        <f>AN$52*AN125</f>
        <v>0</v>
      </c>
      <c r="AO126" s="674">
        <f>AP126+AQ126</f>
        <v>0</v>
      </c>
      <c r="AP126" s="1111">
        <f>AP$52*AP125</f>
        <v>0</v>
      </c>
      <c r="AQ126" s="1111">
        <f>AQ$52*AQ125</f>
        <v>0</v>
      </c>
      <c r="AR126" s="674">
        <f>AS126+AT126</f>
        <v>0</v>
      </c>
      <c r="AS126" s="1111">
        <f>AS$52*AS125</f>
        <v>0</v>
      </c>
      <c r="AT126" s="1111">
        <f>AT$52*AT125</f>
        <v>0</v>
      </c>
      <c r="AU126" s="674">
        <f>AV126+AW126</f>
        <v>0</v>
      </c>
      <c r="AV126" s="29">
        <f>AV$52*AV125</f>
        <v>0</v>
      </c>
      <c r="AW126" s="29">
        <f>AW$52*AW125</f>
        <v>0</v>
      </c>
      <c r="AX126" s="674">
        <f>AY126+AZ126</f>
        <v>0</v>
      </c>
      <c r="AY126" s="29">
        <f>AY$52*AY125</f>
        <v>0</v>
      </c>
      <c r="AZ126" s="29">
        <f>AZ$52*AZ125</f>
        <v>0</v>
      </c>
      <c r="BA126" s="674">
        <f>BB126+BC126</f>
        <v>0</v>
      </c>
      <c r="BB126" s="29">
        <f>BB$52*BB125</f>
        <v>0</v>
      </c>
      <c r="BC126" s="29">
        <f>BC$52*BC125</f>
        <v>0</v>
      </c>
      <c r="BD126" s="674">
        <f>BE126+BF126</f>
        <v>0</v>
      </c>
      <c r="BE126" s="29">
        <f>BE$52*BE125</f>
        <v>0</v>
      </c>
      <c r="BF126" s="29">
        <f>BF$52*BF125</f>
        <v>0</v>
      </c>
      <c r="BG126" s="674">
        <f>BH126+BI126</f>
        <v>0</v>
      </c>
      <c r="BH126" s="29">
        <f>BH$52*BH125</f>
        <v>0</v>
      </c>
      <c r="BI126" s="29">
        <f>BI$52*BI125</f>
        <v>0</v>
      </c>
      <c r="BJ126" s="674">
        <f>BK126+BL126</f>
        <v>0</v>
      </c>
      <c r="BK126" s="29">
        <f>BK$52*BK125</f>
        <v>0</v>
      </c>
      <c r="BL126" s="29">
        <f>BL$52*BL125</f>
        <v>0</v>
      </c>
      <c r="BM126" s="674">
        <f>BN126+BO126</f>
        <v>0</v>
      </c>
      <c r="BN126" s="29">
        <f>BN$52*BN125</f>
        <v>0</v>
      </c>
      <c r="BO126" s="29">
        <f>BO$52*BO125</f>
        <v>0</v>
      </c>
      <c r="BP126" s="674">
        <f>BQ126+BR126</f>
        <v>0</v>
      </c>
      <c r="BQ126" s="762">
        <f>BQ$52*BQ125</f>
        <v>0</v>
      </c>
      <c r="BR126" s="762">
        <f>BR$52*BR125</f>
        <v>0</v>
      </c>
      <c r="BS126" s="674">
        <f>BT126+BU126</f>
        <v>0</v>
      </c>
      <c r="BT126" s="1111">
        <f>BT$52*BT125</f>
        <v>0</v>
      </c>
      <c r="BU126" s="1111">
        <f>BU$52*BU125</f>
        <v>0</v>
      </c>
      <c r="BV126" s="674">
        <f>BW126+BX126</f>
        <v>0</v>
      </c>
      <c r="BW126" s="1111">
        <f>BW$52*BW125</f>
        <v>0</v>
      </c>
      <c r="BX126" s="1111">
        <f>BX$52*BX125</f>
        <v>0</v>
      </c>
      <c r="BY126" s="674">
        <f>BZ126+CA126</f>
        <v>0</v>
      </c>
      <c r="BZ126" s="29">
        <f>BZ$52*BZ125</f>
        <v>0</v>
      </c>
      <c r="CA126" s="29">
        <f>CA$52*CA125</f>
        <v>0</v>
      </c>
      <c r="CB126" s="674">
        <f>CC126+CD126</f>
        <v>0</v>
      </c>
      <c r="CC126" s="29">
        <f>CC$52*CC125</f>
        <v>0</v>
      </c>
      <c r="CD126" s="29">
        <f>CD$52*CD125</f>
        <v>0</v>
      </c>
      <c r="CE126" s="674">
        <f>CF126+CG126</f>
        <v>0</v>
      </c>
      <c r="CF126" s="29">
        <f>CF$52*CF125</f>
        <v>0</v>
      </c>
      <c r="CG126" s="29">
        <f>CG$52*CG125</f>
        <v>0</v>
      </c>
      <c r="CH126" s="674">
        <f>CI126+CJ126</f>
        <v>0</v>
      </c>
      <c r="CI126" s="29">
        <f>CI$52*CI125</f>
        <v>0</v>
      </c>
      <c r="CJ126" s="29">
        <f>CJ$52*CJ125</f>
        <v>0</v>
      </c>
      <c r="CK126" s="674">
        <f>CL126+CM126</f>
        <v>0</v>
      </c>
      <c r="CL126" s="29">
        <f>CL$52*CL125</f>
        <v>0</v>
      </c>
      <c r="CM126" s="29">
        <f>CM$52*CM125</f>
        <v>0</v>
      </c>
      <c r="CN126" s="674">
        <f>CO126+CP126</f>
        <v>0</v>
      </c>
      <c r="CO126" s="29">
        <f>CO$52*CO125</f>
        <v>0</v>
      </c>
      <c r="CP126" s="29">
        <f>CP$52*CP125</f>
        <v>0</v>
      </c>
      <c r="CQ126" s="674">
        <f>CR126+CS126</f>
        <v>0</v>
      </c>
      <c r="CR126" s="29">
        <f>CR$52*CR125</f>
        <v>0</v>
      </c>
      <c r="CS126" s="29">
        <f>CS$52*CS125</f>
        <v>0</v>
      </c>
      <c r="CT126" s="22"/>
      <c r="CW126" s="902" t="s">
        <v>719</v>
      </c>
    </row>
    <row r="127" spans="5:104" ht="16.7" hidden="1" customHeight="1">
      <c r="E127" s="623">
        <v>17.100000000000001</v>
      </c>
      <c r="F127" s="714">
        <f t="shared" ca="1" si="60"/>
        <v>0</v>
      </c>
      <c r="G127" s="566" t="str">
        <f>IF(J28="вода","топливо","")</f>
        <v/>
      </c>
      <c r="S127" s="98" t="b">
        <f t="shared" ca="1" si="61"/>
        <v>0</v>
      </c>
      <c r="U127" s="645" t="b">
        <f t="shared" ca="1" si="45"/>
        <v>0</v>
      </c>
      <c r="Y127" s="1382"/>
      <c r="Z127" s="1382"/>
      <c r="AB127" s="1473"/>
      <c r="AD127" s="760" t="s">
        <v>720</v>
      </c>
      <c r="AE127" s="1451" t="s">
        <v>493</v>
      </c>
      <c r="AF127" s="1452"/>
      <c r="AG127" s="250" t="s">
        <v>648</v>
      </c>
      <c r="AH127" s="676">
        <f t="shared" ref="AH127:BM127" si="64">AH126-AH128</f>
        <v>0</v>
      </c>
      <c r="AI127" s="676">
        <f t="shared" si="64"/>
        <v>0</v>
      </c>
      <c r="AJ127" s="676">
        <f t="shared" si="64"/>
        <v>0</v>
      </c>
      <c r="AK127" s="676">
        <f t="shared" si="64"/>
        <v>0</v>
      </c>
      <c r="AL127" s="676">
        <f t="shared" si="64"/>
        <v>0</v>
      </c>
      <c r="AM127" s="676">
        <f t="shared" si="64"/>
        <v>0</v>
      </c>
      <c r="AN127" s="676">
        <f t="shared" si="64"/>
        <v>0</v>
      </c>
      <c r="AO127" s="676">
        <f t="shared" si="64"/>
        <v>0</v>
      </c>
      <c r="AP127" s="676">
        <f t="shared" si="64"/>
        <v>0</v>
      </c>
      <c r="AQ127" s="676">
        <f t="shared" si="64"/>
        <v>0</v>
      </c>
      <c r="AR127" s="676">
        <f t="shared" si="64"/>
        <v>0</v>
      </c>
      <c r="AS127" s="676">
        <f t="shared" si="64"/>
        <v>0</v>
      </c>
      <c r="AT127" s="676">
        <f t="shared" si="64"/>
        <v>0</v>
      </c>
      <c r="AU127" s="676">
        <f t="shared" si="64"/>
        <v>0</v>
      </c>
      <c r="AV127" s="676">
        <f t="shared" si="64"/>
        <v>0</v>
      </c>
      <c r="AW127" s="676">
        <f t="shared" si="64"/>
        <v>0</v>
      </c>
      <c r="AX127" s="676">
        <f t="shared" si="64"/>
        <v>0</v>
      </c>
      <c r="AY127" s="676">
        <f t="shared" si="64"/>
        <v>0</v>
      </c>
      <c r="AZ127" s="676">
        <f t="shared" si="64"/>
        <v>0</v>
      </c>
      <c r="BA127" s="676">
        <f t="shared" si="64"/>
        <v>0</v>
      </c>
      <c r="BB127" s="676">
        <f t="shared" si="64"/>
        <v>0</v>
      </c>
      <c r="BC127" s="676">
        <f t="shared" si="64"/>
        <v>0</v>
      </c>
      <c r="BD127" s="676">
        <f t="shared" si="64"/>
        <v>0</v>
      </c>
      <c r="BE127" s="676">
        <f t="shared" si="64"/>
        <v>0</v>
      </c>
      <c r="BF127" s="676">
        <f t="shared" si="64"/>
        <v>0</v>
      </c>
      <c r="BG127" s="676">
        <f t="shared" si="64"/>
        <v>0</v>
      </c>
      <c r="BH127" s="676">
        <f t="shared" si="64"/>
        <v>0</v>
      </c>
      <c r="BI127" s="676">
        <f t="shared" si="64"/>
        <v>0</v>
      </c>
      <c r="BJ127" s="676">
        <f t="shared" si="64"/>
        <v>0</v>
      </c>
      <c r="BK127" s="676">
        <f t="shared" si="64"/>
        <v>0</v>
      </c>
      <c r="BL127" s="676">
        <f t="shared" si="64"/>
        <v>0</v>
      </c>
      <c r="BM127" s="676">
        <f t="shared" si="64"/>
        <v>0</v>
      </c>
      <c r="BN127" s="676">
        <f t="shared" ref="BN127:CS127" si="65">BN126-BN128</f>
        <v>0</v>
      </c>
      <c r="BO127" s="676">
        <f t="shared" si="65"/>
        <v>0</v>
      </c>
      <c r="BP127" s="676">
        <f t="shared" si="65"/>
        <v>0</v>
      </c>
      <c r="BQ127" s="676">
        <f t="shared" si="65"/>
        <v>0</v>
      </c>
      <c r="BR127" s="676">
        <f t="shared" si="65"/>
        <v>0</v>
      </c>
      <c r="BS127" s="676">
        <f t="shared" si="65"/>
        <v>0</v>
      </c>
      <c r="BT127" s="676">
        <f t="shared" si="65"/>
        <v>0</v>
      </c>
      <c r="BU127" s="676">
        <f t="shared" si="65"/>
        <v>0</v>
      </c>
      <c r="BV127" s="676">
        <f t="shared" si="65"/>
        <v>0</v>
      </c>
      <c r="BW127" s="676">
        <f t="shared" si="65"/>
        <v>0</v>
      </c>
      <c r="BX127" s="676">
        <f t="shared" si="65"/>
        <v>0</v>
      </c>
      <c r="BY127" s="676">
        <f t="shared" si="65"/>
        <v>0</v>
      </c>
      <c r="BZ127" s="676">
        <f t="shared" si="65"/>
        <v>0</v>
      </c>
      <c r="CA127" s="676">
        <f t="shared" si="65"/>
        <v>0</v>
      </c>
      <c r="CB127" s="676">
        <f t="shared" si="65"/>
        <v>0</v>
      </c>
      <c r="CC127" s="676">
        <f t="shared" si="65"/>
        <v>0</v>
      </c>
      <c r="CD127" s="676">
        <f t="shared" si="65"/>
        <v>0</v>
      </c>
      <c r="CE127" s="676">
        <f t="shared" si="65"/>
        <v>0</v>
      </c>
      <c r="CF127" s="676">
        <f t="shared" si="65"/>
        <v>0</v>
      </c>
      <c r="CG127" s="676">
        <f t="shared" si="65"/>
        <v>0</v>
      </c>
      <c r="CH127" s="676">
        <f t="shared" si="65"/>
        <v>0</v>
      </c>
      <c r="CI127" s="676">
        <f t="shared" si="65"/>
        <v>0</v>
      </c>
      <c r="CJ127" s="676">
        <f t="shared" si="65"/>
        <v>0</v>
      </c>
      <c r="CK127" s="676">
        <f t="shared" si="65"/>
        <v>0</v>
      </c>
      <c r="CL127" s="676">
        <f t="shared" si="65"/>
        <v>0</v>
      </c>
      <c r="CM127" s="676">
        <f t="shared" si="65"/>
        <v>0</v>
      </c>
      <c r="CN127" s="676">
        <f t="shared" si="65"/>
        <v>0</v>
      </c>
      <c r="CO127" s="676">
        <f t="shared" si="65"/>
        <v>0</v>
      </c>
      <c r="CP127" s="676">
        <f t="shared" si="65"/>
        <v>0</v>
      </c>
      <c r="CQ127" s="676">
        <f t="shared" si="65"/>
        <v>0</v>
      </c>
      <c r="CR127" s="676">
        <f t="shared" si="65"/>
        <v>0</v>
      </c>
      <c r="CS127" s="676">
        <f t="shared" si="65"/>
        <v>0</v>
      </c>
      <c r="CT127" s="22"/>
      <c r="CW127" s="902" t="s">
        <v>721</v>
      </c>
    </row>
    <row r="128" spans="5:104" ht="16.7" hidden="1" customHeight="1">
      <c r="E128" s="623">
        <v>17.100000000000001</v>
      </c>
      <c r="F128" s="714">
        <f t="shared" ca="1" si="60"/>
        <v>0</v>
      </c>
      <c r="G128" s="566" t="str">
        <f>IF(J28="пар","топливо","")</f>
        <v/>
      </c>
      <c r="S128" s="98" t="b">
        <f t="shared" ca="1" si="61"/>
        <v>0</v>
      </c>
      <c r="U128" s="645" t="b">
        <f t="shared" ca="1" si="45"/>
        <v>0</v>
      </c>
      <c r="Y128" s="1382"/>
      <c r="Z128" s="1382"/>
      <c r="AB128" s="1473"/>
      <c r="AD128" s="760" t="s">
        <v>722</v>
      </c>
      <c r="AE128" s="1451" t="s">
        <v>504</v>
      </c>
      <c r="AF128" s="1452"/>
      <c r="AG128" s="250" t="s">
        <v>648</v>
      </c>
      <c r="AH128" s="38"/>
      <c r="AI128" s="38"/>
      <c r="AJ128" s="38"/>
      <c r="AK128" s="38"/>
      <c r="AL128" s="38"/>
      <c r="AM128" s="38"/>
      <c r="AN128" s="38"/>
      <c r="AO128" s="1116"/>
      <c r="AP128" s="1116"/>
      <c r="AQ128" s="1116"/>
      <c r="AR128" s="1116"/>
      <c r="AS128" s="1116"/>
      <c r="AT128" s="1116"/>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766"/>
      <c r="BQ128" s="766"/>
      <c r="BR128" s="766"/>
      <c r="BS128" s="1116"/>
      <c r="BT128" s="1116"/>
      <c r="BU128" s="1116"/>
      <c r="BV128" s="1116"/>
      <c r="BW128" s="1116"/>
      <c r="BX128" s="1116"/>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22"/>
      <c r="CW128" s="902" t="s">
        <v>723</v>
      </c>
    </row>
    <row r="129" spans="1:106" ht="16.7" hidden="1" customHeight="1">
      <c r="E129" s="623">
        <v>17.100000000000001</v>
      </c>
      <c r="F129" s="714">
        <f t="shared" ca="1" si="60"/>
        <v>0</v>
      </c>
      <c r="S129" s="98" t="b">
        <f t="shared" ca="1" si="61"/>
        <v>0</v>
      </c>
      <c r="T129" s="98" t="b">
        <f>AD129&lt;&gt;"40.0"</f>
        <v>0</v>
      </c>
      <c r="U129" s="645" t="b">
        <f t="shared" ca="1" si="45"/>
        <v>0</v>
      </c>
      <c r="X129" s="98" t="s">
        <v>170</v>
      </c>
      <c r="Y129" s="1382"/>
      <c r="Z129" s="1382"/>
      <c r="AB129" s="1473"/>
      <c r="AD129" s="99" t="s">
        <v>724</v>
      </c>
      <c r="AE129" s="757"/>
      <c r="AF129" s="475"/>
      <c r="AG129" s="111" t="s">
        <v>648</v>
      </c>
      <c r="AH129" s="672">
        <f t="shared" ref="AH129:BM129" si="66">AH74+AH87+AH100+AH113+AH120</f>
        <v>0</v>
      </c>
      <c r="AI129" s="672">
        <f t="shared" si="66"/>
        <v>0</v>
      </c>
      <c r="AJ129" s="672">
        <f t="shared" si="66"/>
        <v>0</v>
      </c>
      <c r="AK129" s="672">
        <f t="shared" si="66"/>
        <v>0</v>
      </c>
      <c r="AL129" s="672">
        <f t="shared" si="66"/>
        <v>0</v>
      </c>
      <c r="AM129" s="672">
        <f t="shared" si="66"/>
        <v>0</v>
      </c>
      <c r="AN129" s="672">
        <f t="shared" si="66"/>
        <v>0</v>
      </c>
      <c r="AO129" s="672">
        <f t="shared" si="66"/>
        <v>0</v>
      </c>
      <c r="AP129" s="672">
        <f t="shared" si="66"/>
        <v>0</v>
      </c>
      <c r="AQ129" s="672">
        <f t="shared" si="66"/>
        <v>0</v>
      </c>
      <c r="AR129" s="672">
        <f t="shared" si="66"/>
        <v>0</v>
      </c>
      <c r="AS129" s="672">
        <f t="shared" si="66"/>
        <v>0</v>
      </c>
      <c r="AT129" s="672">
        <f t="shared" si="66"/>
        <v>0</v>
      </c>
      <c r="AU129" s="672">
        <f t="shared" si="66"/>
        <v>0</v>
      </c>
      <c r="AV129" s="672">
        <f t="shared" si="66"/>
        <v>0</v>
      </c>
      <c r="AW129" s="672">
        <f t="shared" si="66"/>
        <v>0</v>
      </c>
      <c r="AX129" s="672">
        <f t="shared" si="66"/>
        <v>0</v>
      </c>
      <c r="AY129" s="672">
        <f t="shared" si="66"/>
        <v>0</v>
      </c>
      <c r="AZ129" s="672">
        <f t="shared" si="66"/>
        <v>0</v>
      </c>
      <c r="BA129" s="672">
        <f t="shared" si="66"/>
        <v>0</v>
      </c>
      <c r="BB129" s="672">
        <f t="shared" si="66"/>
        <v>0</v>
      </c>
      <c r="BC129" s="672">
        <f t="shared" si="66"/>
        <v>0</v>
      </c>
      <c r="BD129" s="672">
        <f t="shared" si="66"/>
        <v>0</v>
      </c>
      <c r="BE129" s="672">
        <f t="shared" si="66"/>
        <v>0</v>
      </c>
      <c r="BF129" s="672">
        <f t="shared" si="66"/>
        <v>0</v>
      </c>
      <c r="BG129" s="672">
        <f t="shared" si="66"/>
        <v>0</v>
      </c>
      <c r="BH129" s="672">
        <f t="shared" si="66"/>
        <v>0</v>
      </c>
      <c r="BI129" s="672">
        <f t="shared" si="66"/>
        <v>0</v>
      </c>
      <c r="BJ129" s="672">
        <f t="shared" si="66"/>
        <v>0</v>
      </c>
      <c r="BK129" s="672">
        <f t="shared" si="66"/>
        <v>0</v>
      </c>
      <c r="BL129" s="672">
        <f t="shared" si="66"/>
        <v>0</v>
      </c>
      <c r="BM129" s="672">
        <f t="shared" si="66"/>
        <v>0</v>
      </c>
      <c r="BN129" s="672">
        <f t="shared" ref="BN129:CS129" si="67">BN74+BN87+BN100+BN113+BN120</f>
        <v>0</v>
      </c>
      <c r="BO129" s="672">
        <f t="shared" si="67"/>
        <v>0</v>
      </c>
      <c r="BP129" s="672">
        <f t="shared" si="67"/>
        <v>0</v>
      </c>
      <c r="BQ129" s="672">
        <f t="shared" si="67"/>
        <v>0</v>
      </c>
      <c r="BR129" s="672">
        <f t="shared" si="67"/>
        <v>0</v>
      </c>
      <c r="BS129" s="672">
        <f t="shared" si="67"/>
        <v>0</v>
      </c>
      <c r="BT129" s="672">
        <f t="shared" si="67"/>
        <v>0</v>
      </c>
      <c r="BU129" s="672">
        <f t="shared" si="67"/>
        <v>0</v>
      </c>
      <c r="BV129" s="672">
        <f t="shared" si="67"/>
        <v>0</v>
      </c>
      <c r="BW129" s="672">
        <f t="shared" si="67"/>
        <v>0</v>
      </c>
      <c r="BX129" s="672">
        <f t="shared" si="67"/>
        <v>0</v>
      </c>
      <c r="BY129" s="672">
        <f t="shared" si="67"/>
        <v>0</v>
      </c>
      <c r="BZ129" s="672">
        <f t="shared" si="67"/>
        <v>0</v>
      </c>
      <c r="CA129" s="672">
        <f t="shared" si="67"/>
        <v>0</v>
      </c>
      <c r="CB129" s="672">
        <f t="shared" si="67"/>
        <v>0</v>
      </c>
      <c r="CC129" s="672">
        <f t="shared" si="67"/>
        <v>0</v>
      </c>
      <c r="CD129" s="672">
        <f t="shared" si="67"/>
        <v>0</v>
      </c>
      <c r="CE129" s="672">
        <f t="shared" si="67"/>
        <v>0</v>
      </c>
      <c r="CF129" s="672">
        <f t="shared" si="67"/>
        <v>0</v>
      </c>
      <c r="CG129" s="672">
        <f t="shared" si="67"/>
        <v>0</v>
      </c>
      <c r="CH129" s="672">
        <f t="shared" si="67"/>
        <v>0</v>
      </c>
      <c r="CI129" s="672">
        <f t="shared" si="67"/>
        <v>0</v>
      </c>
      <c r="CJ129" s="672">
        <f t="shared" si="67"/>
        <v>0</v>
      </c>
      <c r="CK129" s="672">
        <f t="shared" si="67"/>
        <v>0</v>
      </c>
      <c r="CL129" s="672">
        <f t="shared" si="67"/>
        <v>0</v>
      </c>
      <c r="CM129" s="672">
        <f t="shared" si="67"/>
        <v>0</v>
      </c>
      <c r="CN129" s="672">
        <f t="shared" si="67"/>
        <v>0</v>
      </c>
      <c r="CO129" s="672">
        <f t="shared" si="67"/>
        <v>0</v>
      </c>
      <c r="CP129" s="672">
        <f t="shared" si="67"/>
        <v>0</v>
      </c>
      <c r="CQ129" s="672">
        <f t="shared" si="67"/>
        <v>0</v>
      </c>
      <c r="CR129" s="672">
        <f t="shared" si="67"/>
        <v>0</v>
      </c>
      <c r="CS129" s="672">
        <f t="shared" si="67"/>
        <v>0</v>
      </c>
      <c r="CT129" s="22"/>
      <c r="CW129" s="902" t="s">
        <v>725</v>
      </c>
      <c r="CX129" s="907" t="s">
        <v>630</v>
      </c>
      <c r="CY129" s="911">
        <f>AE129</f>
        <v>0</v>
      </c>
      <c r="CZ129" s="911">
        <f>AF129</f>
        <v>0</v>
      </c>
    </row>
    <row r="130" spans="1:106" ht="15" hidden="1" customHeight="1">
      <c r="E130" s="623">
        <v>0</v>
      </c>
      <c r="F130" s="714">
        <f t="shared" ca="1" si="60"/>
        <v>0</v>
      </c>
      <c r="S130" s="98" t="b">
        <f t="shared" ca="1" si="61"/>
        <v>0</v>
      </c>
      <c r="U130" s="645" t="b">
        <f t="shared" ca="1" si="45"/>
        <v>0</v>
      </c>
      <c r="X130" s="756" t="str">
        <f>"{                  
         funcDyn: 'msg1',
         blok: 'blok_2',
         wsCross: 'Топливо 4.4',
         linkFormula: 'AE-AE#AF-AF',
         levelDyn: "&amp;Y28&amp;"
}"</f>
        <v>{                  
         funcDyn: 'msg1',
         blok: 'blok_2',
         wsCross: 'Топливо 4.4',
         linkFormula: 'AE-AE#AF-AF',
         levelDyn: 0
}</v>
      </c>
      <c r="Y130" s="1382"/>
      <c r="Z130" s="1382"/>
      <c r="AB130" s="1473"/>
      <c r="AD130" s="759"/>
      <c r="AE130" s="758" t="s">
        <v>172</v>
      </c>
      <c r="AF130" s="685"/>
      <c r="AG130" s="111"/>
      <c r="AH130" s="673"/>
      <c r="AI130" s="675"/>
      <c r="AJ130" s="675"/>
      <c r="AK130" s="675"/>
      <c r="AL130" s="675"/>
      <c r="AM130" s="675"/>
      <c r="AN130" s="675"/>
      <c r="AO130" s="675"/>
      <c r="AP130" s="675"/>
      <c r="AQ130" s="675"/>
      <c r="AR130" s="675"/>
      <c r="AS130" s="675"/>
      <c r="AT130" s="675"/>
      <c r="AU130" s="675"/>
      <c r="AV130" s="675"/>
      <c r="AW130" s="675"/>
      <c r="AX130" s="675"/>
      <c r="AY130" s="675"/>
      <c r="AZ130" s="675"/>
      <c r="BA130" s="675"/>
      <c r="BB130" s="675"/>
      <c r="BC130" s="675"/>
      <c r="BD130" s="675"/>
      <c r="BE130" s="675"/>
      <c r="BF130" s="675"/>
      <c r="BG130" s="675"/>
      <c r="BH130" s="675"/>
      <c r="BI130" s="675"/>
      <c r="BJ130" s="675"/>
      <c r="BK130" s="675"/>
      <c r="BL130" s="675"/>
      <c r="BM130" s="675"/>
      <c r="BN130" s="675"/>
      <c r="BO130" s="675"/>
      <c r="BP130" s="675"/>
      <c r="BQ130" s="675"/>
      <c r="BR130" s="675"/>
      <c r="BS130" s="675"/>
      <c r="BT130" s="675"/>
      <c r="BU130" s="675"/>
      <c r="BV130" s="675"/>
      <c r="BW130" s="675"/>
      <c r="BX130" s="675"/>
      <c r="BY130" s="675"/>
      <c r="BZ130" s="675"/>
      <c r="CA130" s="675"/>
      <c r="CB130" s="675"/>
      <c r="CC130" s="675"/>
      <c r="CD130" s="675"/>
      <c r="CE130" s="675"/>
      <c r="CF130" s="675"/>
      <c r="CG130" s="675"/>
      <c r="CH130" s="675"/>
      <c r="CI130" s="675"/>
      <c r="CJ130" s="675"/>
      <c r="CK130" s="675"/>
      <c r="CL130" s="675"/>
      <c r="CM130" s="675"/>
      <c r="CN130" s="675"/>
      <c r="CO130" s="675"/>
      <c r="CP130" s="675"/>
      <c r="CQ130" s="675"/>
      <c r="CR130" s="675"/>
      <c r="CS130" s="675"/>
      <c r="CT130" s="33"/>
      <c r="CW130" s="902" t="str">
        <f>IF(AND(ISNUMBER(VALUE(TRIM(SUBSTITUTE(AD130,".","")))),TRIM(SUBSTITUTE(AD130,".",""))&lt;&gt;""),"P"&amp;SUBSTITUTE(AD130,".",""),"")</f>
        <v/>
      </c>
    </row>
    <row r="131" spans="1:106" ht="16.7" hidden="1" customHeight="1">
      <c r="E131" s="623">
        <v>17.100000000000001</v>
      </c>
      <c r="F131" s="714">
        <f t="shared" ca="1" si="60"/>
        <v>0</v>
      </c>
      <c r="S131" s="98" t="b">
        <f t="shared" ca="1" si="61"/>
        <v>0</v>
      </c>
      <c r="U131" s="645" t="b">
        <f t="shared" ca="1" si="45"/>
        <v>0</v>
      </c>
      <c r="Y131" s="1382"/>
      <c r="Z131" s="1382"/>
      <c r="AB131" s="1473"/>
      <c r="AD131" s="111" t="s">
        <v>726</v>
      </c>
      <c r="AE131" s="1442" t="s">
        <v>727</v>
      </c>
      <c r="AF131" s="1413"/>
      <c r="AG131" s="111" t="s">
        <v>728</v>
      </c>
      <c r="AH131" s="672">
        <f t="shared" ref="AH131:BM131" si="68">IFERROR(AH125/AH53,0)*1000</f>
        <v>0</v>
      </c>
      <c r="AI131" s="672">
        <f t="shared" si="68"/>
        <v>0</v>
      </c>
      <c r="AJ131" s="672">
        <f t="shared" si="68"/>
        <v>0</v>
      </c>
      <c r="AK131" s="672">
        <f t="shared" si="68"/>
        <v>0</v>
      </c>
      <c r="AL131" s="672">
        <f t="shared" si="68"/>
        <v>0</v>
      </c>
      <c r="AM131" s="672">
        <f t="shared" si="68"/>
        <v>0</v>
      </c>
      <c r="AN131" s="672">
        <f t="shared" si="68"/>
        <v>0</v>
      </c>
      <c r="AO131" s="672">
        <f t="shared" si="68"/>
        <v>0</v>
      </c>
      <c r="AP131" s="672">
        <f t="shared" si="68"/>
        <v>0</v>
      </c>
      <c r="AQ131" s="672">
        <f t="shared" si="68"/>
        <v>0</v>
      </c>
      <c r="AR131" s="672">
        <f t="shared" si="68"/>
        <v>0</v>
      </c>
      <c r="AS131" s="672">
        <f t="shared" si="68"/>
        <v>0</v>
      </c>
      <c r="AT131" s="672">
        <f t="shared" si="68"/>
        <v>0</v>
      </c>
      <c r="AU131" s="672">
        <f t="shared" si="68"/>
        <v>0</v>
      </c>
      <c r="AV131" s="672">
        <f t="shared" si="68"/>
        <v>0</v>
      </c>
      <c r="AW131" s="672">
        <f t="shared" si="68"/>
        <v>0</v>
      </c>
      <c r="AX131" s="672">
        <f t="shared" si="68"/>
        <v>0</v>
      </c>
      <c r="AY131" s="672">
        <f t="shared" si="68"/>
        <v>0</v>
      </c>
      <c r="AZ131" s="672">
        <f t="shared" si="68"/>
        <v>0</v>
      </c>
      <c r="BA131" s="672">
        <f t="shared" si="68"/>
        <v>0</v>
      </c>
      <c r="BB131" s="672">
        <f t="shared" si="68"/>
        <v>0</v>
      </c>
      <c r="BC131" s="672">
        <f t="shared" si="68"/>
        <v>0</v>
      </c>
      <c r="BD131" s="672">
        <f t="shared" si="68"/>
        <v>0</v>
      </c>
      <c r="BE131" s="672">
        <f t="shared" si="68"/>
        <v>0</v>
      </c>
      <c r="BF131" s="672">
        <f t="shared" si="68"/>
        <v>0</v>
      </c>
      <c r="BG131" s="672">
        <f t="shared" si="68"/>
        <v>0</v>
      </c>
      <c r="BH131" s="672">
        <f t="shared" si="68"/>
        <v>0</v>
      </c>
      <c r="BI131" s="672">
        <f t="shared" si="68"/>
        <v>0</v>
      </c>
      <c r="BJ131" s="672">
        <f t="shared" si="68"/>
        <v>0</v>
      </c>
      <c r="BK131" s="672">
        <f t="shared" si="68"/>
        <v>0</v>
      </c>
      <c r="BL131" s="672">
        <f t="shared" si="68"/>
        <v>0</v>
      </c>
      <c r="BM131" s="672">
        <f t="shared" si="68"/>
        <v>0</v>
      </c>
      <c r="BN131" s="672">
        <f t="shared" ref="BN131:CS131" si="69">IFERROR(BN125/BN53,0)*1000</f>
        <v>0</v>
      </c>
      <c r="BO131" s="672">
        <f t="shared" si="69"/>
        <v>0</v>
      </c>
      <c r="BP131" s="672">
        <f t="shared" si="69"/>
        <v>0</v>
      </c>
      <c r="BQ131" s="672">
        <f t="shared" si="69"/>
        <v>0</v>
      </c>
      <c r="BR131" s="672">
        <f t="shared" si="69"/>
        <v>0</v>
      </c>
      <c r="BS131" s="672">
        <f t="shared" si="69"/>
        <v>0</v>
      </c>
      <c r="BT131" s="672">
        <f t="shared" si="69"/>
        <v>0</v>
      </c>
      <c r="BU131" s="672">
        <f t="shared" si="69"/>
        <v>0</v>
      </c>
      <c r="BV131" s="672">
        <f t="shared" si="69"/>
        <v>0</v>
      </c>
      <c r="BW131" s="672">
        <f t="shared" si="69"/>
        <v>0</v>
      </c>
      <c r="BX131" s="672">
        <f t="shared" si="69"/>
        <v>0</v>
      </c>
      <c r="BY131" s="672">
        <f t="shared" si="69"/>
        <v>0</v>
      </c>
      <c r="BZ131" s="672">
        <f t="shared" si="69"/>
        <v>0</v>
      </c>
      <c r="CA131" s="672">
        <f t="shared" si="69"/>
        <v>0</v>
      </c>
      <c r="CB131" s="672">
        <f t="shared" si="69"/>
        <v>0</v>
      </c>
      <c r="CC131" s="672">
        <f t="shared" si="69"/>
        <v>0</v>
      </c>
      <c r="CD131" s="672">
        <f t="shared" si="69"/>
        <v>0</v>
      </c>
      <c r="CE131" s="672">
        <f t="shared" si="69"/>
        <v>0</v>
      </c>
      <c r="CF131" s="672">
        <f t="shared" si="69"/>
        <v>0</v>
      </c>
      <c r="CG131" s="672">
        <f t="shared" si="69"/>
        <v>0</v>
      </c>
      <c r="CH131" s="672">
        <f t="shared" si="69"/>
        <v>0</v>
      </c>
      <c r="CI131" s="672">
        <f t="shared" si="69"/>
        <v>0</v>
      </c>
      <c r="CJ131" s="672">
        <f t="shared" si="69"/>
        <v>0</v>
      </c>
      <c r="CK131" s="672">
        <f t="shared" si="69"/>
        <v>0</v>
      </c>
      <c r="CL131" s="672">
        <f t="shared" si="69"/>
        <v>0</v>
      </c>
      <c r="CM131" s="672">
        <f t="shared" si="69"/>
        <v>0</v>
      </c>
      <c r="CN131" s="672">
        <f t="shared" si="69"/>
        <v>0</v>
      </c>
      <c r="CO131" s="672">
        <f t="shared" si="69"/>
        <v>0</v>
      </c>
      <c r="CP131" s="672">
        <f t="shared" si="69"/>
        <v>0</v>
      </c>
      <c r="CQ131" s="672">
        <f t="shared" si="69"/>
        <v>0</v>
      </c>
      <c r="CR131" s="672">
        <f t="shared" si="69"/>
        <v>0</v>
      </c>
      <c r="CS131" s="672">
        <f t="shared" si="69"/>
        <v>0</v>
      </c>
      <c r="CT131" s="22"/>
      <c r="CW131" s="902" t="s">
        <v>729</v>
      </c>
    </row>
    <row r="132" spans="1:106" ht="16.7" hidden="1" customHeight="1">
      <c r="E132" s="623">
        <v>17.100000000000001</v>
      </c>
      <c r="F132" s="714">
        <f t="shared" ca="1" si="60"/>
        <v>0</v>
      </c>
      <c r="R132" s="714" t="s">
        <v>569</v>
      </c>
      <c r="S132" s="98" t="b">
        <f t="shared" ca="1" si="61"/>
        <v>0</v>
      </c>
      <c r="U132" s="645" t="b">
        <f t="shared" ca="1" si="45"/>
        <v>0</v>
      </c>
      <c r="Y132" s="1382"/>
      <c r="Z132" s="1382"/>
      <c r="AB132" s="1473"/>
      <c r="AD132" s="99" t="str">
        <f>AD131&amp;".0"</f>
        <v>41.0</v>
      </c>
      <c r="AE132" s="1445" t="s">
        <v>580</v>
      </c>
      <c r="AF132" s="1446"/>
      <c r="AG132" s="111" t="s">
        <v>728</v>
      </c>
      <c r="AH132" s="672">
        <f t="shared" ref="AH132:BM132" si="70">IFERROR(AH126/AH54,0)*1000</f>
        <v>0</v>
      </c>
      <c r="AI132" s="672">
        <f t="shared" si="70"/>
        <v>0</v>
      </c>
      <c r="AJ132" s="672">
        <f t="shared" si="70"/>
        <v>0</v>
      </c>
      <c r="AK132" s="672">
        <f t="shared" si="70"/>
        <v>0</v>
      </c>
      <c r="AL132" s="672">
        <f t="shared" si="70"/>
        <v>0</v>
      </c>
      <c r="AM132" s="672">
        <f t="shared" si="70"/>
        <v>0</v>
      </c>
      <c r="AN132" s="672">
        <f t="shared" si="70"/>
        <v>0</v>
      </c>
      <c r="AO132" s="672">
        <f t="shared" si="70"/>
        <v>0</v>
      </c>
      <c r="AP132" s="672">
        <f t="shared" si="70"/>
        <v>0</v>
      </c>
      <c r="AQ132" s="672">
        <f t="shared" si="70"/>
        <v>0</v>
      </c>
      <c r="AR132" s="672">
        <f t="shared" si="70"/>
        <v>0</v>
      </c>
      <c r="AS132" s="672">
        <f t="shared" si="70"/>
        <v>0</v>
      </c>
      <c r="AT132" s="672">
        <f t="shared" si="70"/>
        <v>0</v>
      </c>
      <c r="AU132" s="672">
        <f t="shared" si="70"/>
        <v>0</v>
      </c>
      <c r="AV132" s="672">
        <f t="shared" si="70"/>
        <v>0</v>
      </c>
      <c r="AW132" s="672">
        <f t="shared" si="70"/>
        <v>0</v>
      </c>
      <c r="AX132" s="672">
        <f t="shared" si="70"/>
        <v>0</v>
      </c>
      <c r="AY132" s="672">
        <f t="shared" si="70"/>
        <v>0</v>
      </c>
      <c r="AZ132" s="672">
        <f t="shared" si="70"/>
        <v>0</v>
      </c>
      <c r="BA132" s="672">
        <f t="shared" si="70"/>
        <v>0</v>
      </c>
      <c r="BB132" s="672">
        <f t="shared" si="70"/>
        <v>0</v>
      </c>
      <c r="BC132" s="672">
        <f t="shared" si="70"/>
        <v>0</v>
      </c>
      <c r="BD132" s="672">
        <f t="shared" si="70"/>
        <v>0</v>
      </c>
      <c r="BE132" s="672">
        <f t="shared" si="70"/>
        <v>0</v>
      </c>
      <c r="BF132" s="672">
        <f t="shared" si="70"/>
        <v>0</v>
      </c>
      <c r="BG132" s="672">
        <f t="shared" si="70"/>
        <v>0</v>
      </c>
      <c r="BH132" s="672">
        <f t="shared" si="70"/>
        <v>0</v>
      </c>
      <c r="BI132" s="672">
        <f t="shared" si="70"/>
        <v>0</v>
      </c>
      <c r="BJ132" s="672">
        <f t="shared" si="70"/>
        <v>0</v>
      </c>
      <c r="BK132" s="672">
        <f t="shared" si="70"/>
        <v>0</v>
      </c>
      <c r="BL132" s="672">
        <f t="shared" si="70"/>
        <v>0</v>
      </c>
      <c r="BM132" s="672">
        <f t="shared" si="70"/>
        <v>0</v>
      </c>
      <c r="BN132" s="672">
        <f t="shared" ref="BN132:CS132" si="71">IFERROR(BN126/BN54,0)*1000</f>
        <v>0</v>
      </c>
      <c r="BO132" s="672">
        <f t="shared" si="71"/>
        <v>0</v>
      </c>
      <c r="BP132" s="672">
        <f t="shared" si="71"/>
        <v>0</v>
      </c>
      <c r="BQ132" s="672">
        <f t="shared" si="71"/>
        <v>0</v>
      </c>
      <c r="BR132" s="672">
        <f t="shared" si="71"/>
        <v>0</v>
      </c>
      <c r="BS132" s="672">
        <f t="shared" si="71"/>
        <v>0</v>
      </c>
      <c r="BT132" s="672">
        <f t="shared" si="71"/>
        <v>0</v>
      </c>
      <c r="BU132" s="672">
        <f t="shared" si="71"/>
        <v>0</v>
      </c>
      <c r="BV132" s="672">
        <f t="shared" si="71"/>
        <v>0</v>
      </c>
      <c r="BW132" s="672">
        <f t="shared" si="71"/>
        <v>0</v>
      </c>
      <c r="BX132" s="672">
        <f t="shared" si="71"/>
        <v>0</v>
      </c>
      <c r="BY132" s="672">
        <f t="shared" si="71"/>
        <v>0</v>
      </c>
      <c r="BZ132" s="672">
        <f t="shared" si="71"/>
        <v>0</v>
      </c>
      <c r="CA132" s="672">
        <f t="shared" si="71"/>
        <v>0</v>
      </c>
      <c r="CB132" s="672">
        <f t="shared" si="71"/>
        <v>0</v>
      </c>
      <c r="CC132" s="672">
        <f t="shared" si="71"/>
        <v>0</v>
      </c>
      <c r="CD132" s="672">
        <f t="shared" si="71"/>
        <v>0</v>
      </c>
      <c r="CE132" s="672">
        <f t="shared" si="71"/>
        <v>0</v>
      </c>
      <c r="CF132" s="672">
        <f t="shared" si="71"/>
        <v>0</v>
      </c>
      <c r="CG132" s="672">
        <f t="shared" si="71"/>
        <v>0</v>
      </c>
      <c r="CH132" s="672">
        <f t="shared" si="71"/>
        <v>0</v>
      </c>
      <c r="CI132" s="672">
        <f t="shared" si="71"/>
        <v>0</v>
      </c>
      <c r="CJ132" s="672">
        <f t="shared" si="71"/>
        <v>0</v>
      </c>
      <c r="CK132" s="672">
        <f t="shared" si="71"/>
        <v>0</v>
      </c>
      <c r="CL132" s="672">
        <f t="shared" si="71"/>
        <v>0</v>
      </c>
      <c r="CM132" s="672">
        <f t="shared" si="71"/>
        <v>0</v>
      </c>
      <c r="CN132" s="672">
        <f t="shared" si="71"/>
        <v>0</v>
      </c>
      <c r="CO132" s="672">
        <f t="shared" si="71"/>
        <v>0</v>
      </c>
      <c r="CP132" s="672">
        <f t="shared" si="71"/>
        <v>0</v>
      </c>
      <c r="CQ132" s="672">
        <f t="shared" si="71"/>
        <v>0</v>
      </c>
      <c r="CR132" s="672">
        <f t="shared" si="71"/>
        <v>0</v>
      </c>
      <c r="CS132" s="672">
        <f t="shared" si="71"/>
        <v>0</v>
      </c>
      <c r="CT132" s="22"/>
      <c r="CW132" s="902" t="s">
        <v>730</v>
      </c>
    </row>
    <row r="133" spans="1:106" ht="16.7" hidden="1" customHeight="1">
      <c r="E133" s="623">
        <v>17.100000000000001</v>
      </c>
      <c r="F133" s="714">
        <f t="shared" ca="1" si="60"/>
        <v>0</v>
      </c>
      <c r="S133" s="98" t="b">
        <f t="shared" ca="1" si="61"/>
        <v>0</v>
      </c>
      <c r="T133" s="98" t="b">
        <f>AD133&lt;&gt;"41.0"</f>
        <v>0</v>
      </c>
      <c r="U133" s="645" t="b">
        <f t="shared" ca="1" si="45"/>
        <v>0</v>
      </c>
      <c r="X133" s="98" t="s">
        <v>170</v>
      </c>
      <c r="Y133" s="1382"/>
      <c r="Z133" s="1382"/>
      <c r="AB133" s="1473"/>
      <c r="AD133" s="99" t="s">
        <v>731</v>
      </c>
      <c r="AE133" s="757"/>
      <c r="AF133" s="475"/>
      <c r="AG133" s="111" t="s">
        <v>728</v>
      </c>
      <c r="AH133" s="672">
        <f t="shared" ref="AH133:BM133" si="72">IFERROR(AH129/AH55,0)*1000</f>
        <v>0</v>
      </c>
      <c r="AI133" s="672">
        <f t="shared" si="72"/>
        <v>0</v>
      </c>
      <c r="AJ133" s="672">
        <f t="shared" si="72"/>
        <v>0</v>
      </c>
      <c r="AK133" s="672">
        <f t="shared" si="72"/>
        <v>0</v>
      </c>
      <c r="AL133" s="672">
        <f t="shared" si="72"/>
        <v>0</v>
      </c>
      <c r="AM133" s="672">
        <f t="shared" si="72"/>
        <v>0</v>
      </c>
      <c r="AN133" s="672">
        <f t="shared" si="72"/>
        <v>0</v>
      </c>
      <c r="AO133" s="672">
        <f t="shared" si="72"/>
        <v>0</v>
      </c>
      <c r="AP133" s="672">
        <f t="shared" si="72"/>
        <v>0</v>
      </c>
      <c r="AQ133" s="672">
        <f t="shared" si="72"/>
        <v>0</v>
      </c>
      <c r="AR133" s="672">
        <f t="shared" si="72"/>
        <v>0</v>
      </c>
      <c r="AS133" s="672">
        <f t="shared" si="72"/>
        <v>0</v>
      </c>
      <c r="AT133" s="672">
        <f t="shared" si="72"/>
        <v>0</v>
      </c>
      <c r="AU133" s="672">
        <f t="shared" si="72"/>
        <v>0</v>
      </c>
      <c r="AV133" s="672">
        <f t="shared" si="72"/>
        <v>0</v>
      </c>
      <c r="AW133" s="672">
        <f t="shared" si="72"/>
        <v>0</v>
      </c>
      <c r="AX133" s="672">
        <f t="shared" si="72"/>
        <v>0</v>
      </c>
      <c r="AY133" s="672">
        <f t="shared" si="72"/>
        <v>0</v>
      </c>
      <c r="AZ133" s="672">
        <f t="shared" si="72"/>
        <v>0</v>
      </c>
      <c r="BA133" s="672">
        <f t="shared" si="72"/>
        <v>0</v>
      </c>
      <c r="BB133" s="672">
        <f t="shared" si="72"/>
        <v>0</v>
      </c>
      <c r="BC133" s="672">
        <f t="shared" si="72"/>
        <v>0</v>
      </c>
      <c r="BD133" s="672">
        <f t="shared" si="72"/>
        <v>0</v>
      </c>
      <c r="BE133" s="672">
        <f t="shared" si="72"/>
        <v>0</v>
      </c>
      <c r="BF133" s="672">
        <f t="shared" si="72"/>
        <v>0</v>
      </c>
      <c r="BG133" s="672">
        <f t="shared" si="72"/>
        <v>0</v>
      </c>
      <c r="BH133" s="672">
        <f t="shared" si="72"/>
        <v>0</v>
      </c>
      <c r="BI133" s="672">
        <f t="shared" si="72"/>
        <v>0</v>
      </c>
      <c r="BJ133" s="672">
        <f t="shared" si="72"/>
        <v>0</v>
      </c>
      <c r="BK133" s="672">
        <f t="shared" si="72"/>
        <v>0</v>
      </c>
      <c r="BL133" s="672">
        <f t="shared" si="72"/>
        <v>0</v>
      </c>
      <c r="BM133" s="672">
        <f t="shared" si="72"/>
        <v>0</v>
      </c>
      <c r="BN133" s="672">
        <f t="shared" ref="BN133:CS133" si="73">IFERROR(BN129/BN55,0)*1000</f>
        <v>0</v>
      </c>
      <c r="BO133" s="672">
        <f t="shared" si="73"/>
        <v>0</v>
      </c>
      <c r="BP133" s="672">
        <f t="shared" si="73"/>
        <v>0</v>
      </c>
      <c r="BQ133" s="672">
        <f t="shared" si="73"/>
        <v>0</v>
      </c>
      <c r="BR133" s="672">
        <f t="shared" si="73"/>
        <v>0</v>
      </c>
      <c r="BS133" s="672">
        <f t="shared" si="73"/>
        <v>0</v>
      </c>
      <c r="BT133" s="672">
        <f t="shared" si="73"/>
        <v>0</v>
      </c>
      <c r="BU133" s="672">
        <f t="shared" si="73"/>
        <v>0</v>
      </c>
      <c r="BV133" s="672">
        <f t="shared" si="73"/>
        <v>0</v>
      </c>
      <c r="BW133" s="672">
        <f t="shared" si="73"/>
        <v>0</v>
      </c>
      <c r="BX133" s="672">
        <f t="shared" si="73"/>
        <v>0</v>
      </c>
      <c r="BY133" s="672">
        <f t="shared" si="73"/>
        <v>0</v>
      </c>
      <c r="BZ133" s="672">
        <f t="shared" si="73"/>
        <v>0</v>
      </c>
      <c r="CA133" s="672">
        <f t="shared" si="73"/>
        <v>0</v>
      </c>
      <c r="CB133" s="672">
        <f t="shared" si="73"/>
        <v>0</v>
      </c>
      <c r="CC133" s="672">
        <f t="shared" si="73"/>
        <v>0</v>
      </c>
      <c r="CD133" s="672">
        <f t="shared" si="73"/>
        <v>0</v>
      </c>
      <c r="CE133" s="672">
        <f t="shared" si="73"/>
        <v>0</v>
      </c>
      <c r="CF133" s="672">
        <f t="shared" si="73"/>
        <v>0</v>
      </c>
      <c r="CG133" s="672">
        <f t="shared" si="73"/>
        <v>0</v>
      </c>
      <c r="CH133" s="672">
        <f t="shared" si="73"/>
        <v>0</v>
      </c>
      <c r="CI133" s="672">
        <f t="shared" si="73"/>
        <v>0</v>
      </c>
      <c r="CJ133" s="672">
        <f t="shared" si="73"/>
        <v>0</v>
      </c>
      <c r="CK133" s="672">
        <f t="shared" si="73"/>
        <v>0</v>
      </c>
      <c r="CL133" s="672">
        <f t="shared" si="73"/>
        <v>0</v>
      </c>
      <c r="CM133" s="672">
        <f t="shared" si="73"/>
        <v>0</v>
      </c>
      <c r="CN133" s="672">
        <f t="shared" si="73"/>
        <v>0</v>
      </c>
      <c r="CO133" s="672">
        <f t="shared" si="73"/>
        <v>0</v>
      </c>
      <c r="CP133" s="672">
        <f t="shared" si="73"/>
        <v>0</v>
      </c>
      <c r="CQ133" s="672">
        <f t="shared" si="73"/>
        <v>0</v>
      </c>
      <c r="CR133" s="672">
        <f t="shared" si="73"/>
        <v>0</v>
      </c>
      <c r="CS133" s="672">
        <f t="shared" si="73"/>
        <v>0</v>
      </c>
      <c r="CT133" s="22"/>
      <c r="CW133" s="902" t="s">
        <v>730</v>
      </c>
      <c r="CX133" s="907" t="s">
        <v>630</v>
      </c>
      <c r="CY133" s="911">
        <f>AE133</f>
        <v>0</v>
      </c>
      <c r="CZ133" s="911">
        <f>AF133</f>
        <v>0</v>
      </c>
    </row>
    <row r="134" spans="1:106" ht="15" hidden="1" customHeight="1">
      <c r="E134" s="623">
        <v>0</v>
      </c>
      <c r="F134" s="714">
        <f t="shared" ca="1" si="60"/>
        <v>0</v>
      </c>
      <c r="S134" s="98" t="b">
        <f t="shared" ca="1" si="61"/>
        <v>0</v>
      </c>
      <c r="U134" s="645" t="b">
        <f t="shared" ca="1" si="45"/>
        <v>0</v>
      </c>
      <c r="X134" s="756" t="str">
        <f>"{                  
         funcDyn: 'msg1',
         blok: 'blok_2',
         wsCross: 'Топливо 4.4',
         linkFormula: 'AE-AE#AF-AF',
         levelDyn: "&amp;Y28&amp;"
}"</f>
        <v>{                  
         funcDyn: 'msg1',
         blok: 'blok_2',
         wsCross: 'Топливо 4.4',
         linkFormula: 'AE-AE#AF-AF',
         levelDyn: 0
}</v>
      </c>
      <c r="Y134" s="1382"/>
      <c r="Z134" s="1382"/>
      <c r="AB134" s="1473"/>
      <c r="AD134" s="759"/>
      <c r="AE134" s="758" t="s">
        <v>172</v>
      </c>
      <c r="AF134" s="685"/>
      <c r="AG134" s="111"/>
      <c r="AH134" s="673"/>
      <c r="AI134" s="675"/>
      <c r="AJ134" s="675"/>
      <c r="AK134" s="675"/>
      <c r="AL134" s="675"/>
      <c r="AM134" s="675"/>
      <c r="AN134" s="675"/>
      <c r="AO134" s="675"/>
      <c r="AP134" s="675"/>
      <c r="AQ134" s="675"/>
      <c r="AR134" s="675"/>
      <c r="AS134" s="675"/>
      <c r="AT134" s="675"/>
      <c r="AU134" s="675"/>
      <c r="AV134" s="675"/>
      <c r="AW134" s="675"/>
      <c r="AX134" s="675"/>
      <c r="AY134" s="675"/>
      <c r="AZ134" s="675"/>
      <c r="BA134" s="675"/>
      <c r="BB134" s="675"/>
      <c r="BC134" s="675"/>
      <c r="BD134" s="675"/>
      <c r="BE134" s="675"/>
      <c r="BF134" s="675"/>
      <c r="BG134" s="675"/>
      <c r="BH134" s="675"/>
      <c r="BI134" s="675"/>
      <c r="BJ134" s="675"/>
      <c r="BK134" s="675"/>
      <c r="BL134" s="675"/>
      <c r="BM134" s="675"/>
      <c r="BN134" s="675"/>
      <c r="BO134" s="675"/>
      <c r="BP134" s="675"/>
      <c r="BQ134" s="675"/>
      <c r="BR134" s="675"/>
      <c r="BS134" s="675"/>
      <c r="BT134" s="675"/>
      <c r="BU134" s="675"/>
      <c r="BV134" s="675"/>
      <c r="BW134" s="675"/>
      <c r="BX134" s="675"/>
      <c r="BY134" s="675"/>
      <c r="BZ134" s="675"/>
      <c r="CA134" s="675"/>
      <c r="CB134" s="675"/>
      <c r="CC134" s="675"/>
      <c r="CD134" s="675"/>
      <c r="CE134" s="675"/>
      <c r="CF134" s="675"/>
      <c r="CG134" s="675"/>
      <c r="CH134" s="675"/>
      <c r="CI134" s="675"/>
      <c r="CJ134" s="675"/>
      <c r="CK134" s="675"/>
      <c r="CL134" s="675"/>
      <c r="CM134" s="675"/>
      <c r="CN134" s="675"/>
      <c r="CO134" s="675"/>
      <c r="CP134" s="675"/>
      <c r="CQ134" s="675"/>
      <c r="CR134" s="675"/>
      <c r="CS134" s="675"/>
      <c r="CT134" s="33"/>
      <c r="CW134" s="902" t="str">
        <f>IF(AND(ISNUMBER(VALUE(TRIM(SUBSTITUTE(AD134,".","")))),TRIM(SUBSTITUTE(AD134,".",""))&lt;&gt;""),"P"&amp;SUBSTITUTE(AD134,".",""),"")</f>
        <v/>
      </c>
    </row>
    <row r="135" spans="1:106" ht="16.7" hidden="1" customHeight="1">
      <c r="E135" s="623">
        <v>17.100000000000001</v>
      </c>
      <c r="F135" s="714">
        <f t="shared" ca="1" si="60"/>
        <v>0</v>
      </c>
      <c r="S135" s="98" t="b">
        <f t="shared" ca="1" si="61"/>
        <v>0</v>
      </c>
      <c r="U135" s="645" t="b">
        <f t="shared" ca="1" si="45"/>
        <v>0</v>
      </c>
      <c r="Y135" s="1382"/>
      <c r="Z135" s="1382"/>
      <c r="AB135" s="1473"/>
      <c r="AD135" s="111" t="s">
        <v>732</v>
      </c>
      <c r="AE135" s="1442" t="s">
        <v>733</v>
      </c>
      <c r="AF135" s="1413"/>
      <c r="AG135" s="477"/>
      <c r="AH135" s="673"/>
      <c r="AI135" s="675"/>
      <c r="AJ135" s="675"/>
      <c r="AK135" s="675"/>
      <c r="AL135" s="675"/>
      <c r="AM135" s="675"/>
      <c r="AN135" s="675"/>
      <c r="AO135" s="675"/>
      <c r="AP135" s="675"/>
      <c r="AQ135" s="675"/>
      <c r="AR135" s="675"/>
      <c r="AS135" s="675"/>
      <c r="AT135" s="675"/>
      <c r="AU135" s="675"/>
      <c r="AV135" s="675"/>
      <c r="AW135" s="675"/>
      <c r="AX135" s="675"/>
      <c r="AY135" s="675"/>
      <c r="AZ135" s="675"/>
      <c r="BA135" s="675"/>
      <c r="BB135" s="675"/>
      <c r="BC135" s="675"/>
      <c r="BD135" s="675"/>
      <c r="BE135" s="675"/>
      <c r="BF135" s="675"/>
      <c r="BG135" s="675"/>
      <c r="BH135" s="675"/>
      <c r="BI135" s="675"/>
      <c r="BJ135" s="675"/>
      <c r="BK135" s="675"/>
      <c r="BL135" s="675"/>
      <c r="BM135" s="675"/>
      <c r="BN135" s="675"/>
      <c r="BO135" s="675"/>
      <c r="BP135" s="675"/>
      <c r="BQ135" s="675"/>
      <c r="BR135" s="675"/>
      <c r="BS135" s="675"/>
      <c r="BT135" s="675"/>
      <c r="BU135" s="675"/>
      <c r="BV135" s="675"/>
      <c r="BW135" s="675"/>
      <c r="BX135" s="675"/>
      <c r="BY135" s="675"/>
      <c r="BZ135" s="675"/>
      <c r="CA135" s="675"/>
      <c r="CB135" s="675"/>
      <c r="CC135" s="675"/>
      <c r="CD135" s="675"/>
      <c r="CE135" s="675"/>
      <c r="CF135" s="675"/>
      <c r="CG135" s="675"/>
      <c r="CH135" s="675"/>
      <c r="CI135" s="675"/>
      <c r="CJ135" s="675"/>
      <c r="CK135" s="675"/>
      <c r="CL135" s="675"/>
      <c r="CM135" s="675"/>
      <c r="CN135" s="675"/>
      <c r="CO135" s="675"/>
      <c r="CP135" s="675"/>
      <c r="CQ135" s="675"/>
      <c r="CR135" s="675"/>
      <c r="CS135" s="675"/>
      <c r="CT135" s="22"/>
      <c r="CW135" s="902" t="s">
        <v>734</v>
      </c>
    </row>
    <row r="136" spans="1:106" ht="16.7" hidden="1" customHeight="1">
      <c r="E136" s="623">
        <v>17.100000000000001</v>
      </c>
      <c r="F136" s="714">
        <f t="shared" ca="1" si="60"/>
        <v>0</v>
      </c>
      <c r="S136" s="98" t="b">
        <f t="shared" ca="1" si="61"/>
        <v>0</v>
      </c>
      <c r="T136" s="98" t="b">
        <f>AD136&lt;&gt;"42.0"</f>
        <v>0</v>
      </c>
      <c r="U136" s="645" t="b">
        <f t="shared" ca="1" si="45"/>
        <v>0</v>
      </c>
      <c r="X136" s="98" t="s">
        <v>170</v>
      </c>
      <c r="Y136" s="1382"/>
      <c r="Z136" s="1382"/>
      <c r="AB136" s="1473"/>
      <c r="AD136" s="99" t="s">
        <v>735</v>
      </c>
      <c r="AE136" s="757"/>
      <c r="AF136" s="475"/>
      <c r="AG136" s="835" t="str">
        <f>"руб./"&amp;IFERROR(INDEX(fuel_ed_izm_list,MATCH(AE136,fuel_list,0)),"")</f>
        <v>руб./</v>
      </c>
      <c r="AH136" s="681">
        <f t="shared" ref="AH136:BM136" si="74">IFERROR(AH129/AH64,0)*1000</f>
        <v>0</v>
      </c>
      <c r="AI136" s="681">
        <f t="shared" si="74"/>
        <v>0</v>
      </c>
      <c r="AJ136" s="681">
        <f t="shared" si="74"/>
        <v>0</v>
      </c>
      <c r="AK136" s="681">
        <f t="shared" si="74"/>
        <v>0</v>
      </c>
      <c r="AL136" s="681">
        <f t="shared" si="74"/>
        <v>0</v>
      </c>
      <c r="AM136" s="681">
        <f t="shared" si="74"/>
        <v>0</v>
      </c>
      <c r="AN136" s="681">
        <f t="shared" si="74"/>
        <v>0</v>
      </c>
      <c r="AO136" s="681">
        <f t="shared" si="74"/>
        <v>0</v>
      </c>
      <c r="AP136" s="681">
        <f t="shared" si="74"/>
        <v>0</v>
      </c>
      <c r="AQ136" s="681">
        <f t="shared" si="74"/>
        <v>0</v>
      </c>
      <c r="AR136" s="681">
        <f t="shared" si="74"/>
        <v>0</v>
      </c>
      <c r="AS136" s="681">
        <f t="shared" si="74"/>
        <v>0</v>
      </c>
      <c r="AT136" s="681">
        <f t="shared" si="74"/>
        <v>0</v>
      </c>
      <c r="AU136" s="681">
        <f t="shared" si="74"/>
        <v>0</v>
      </c>
      <c r="AV136" s="681">
        <f t="shared" si="74"/>
        <v>0</v>
      </c>
      <c r="AW136" s="681">
        <f t="shared" si="74"/>
        <v>0</v>
      </c>
      <c r="AX136" s="681">
        <f t="shared" si="74"/>
        <v>0</v>
      </c>
      <c r="AY136" s="681">
        <f t="shared" si="74"/>
        <v>0</v>
      </c>
      <c r="AZ136" s="681">
        <f t="shared" si="74"/>
        <v>0</v>
      </c>
      <c r="BA136" s="681">
        <f t="shared" si="74"/>
        <v>0</v>
      </c>
      <c r="BB136" s="681">
        <f t="shared" si="74"/>
        <v>0</v>
      </c>
      <c r="BC136" s="681">
        <f t="shared" si="74"/>
        <v>0</v>
      </c>
      <c r="BD136" s="681">
        <f t="shared" si="74"/>
        <v>0</v>
      </c>
      <c r="BE136" s="681">
        <f t="shared" si="74"/>
        <v>0</v>
      </c>
      <c r="BF136" s="681">
        <f t="shared" si="74"/>
        <v>0</v>
      </c>
      <c r="BG136" s="681">
        <f t="shared" si="74"/>
        <v>0</v>
      </c>
      <c r="BH136" s="681">
        <f t="shared" si="74"/>
        <v>0</v>
      </c>
      <c r="BI136" s="681">
        <f t="shared" si="74"/>
        <v>0</v>
      </c>
      <c r="BJ136" s="681">
        <f t="shared" si="74"/>
        <v>0</v>
      </c>
      <c r="BK136" s="681">
        <f t="shared" si="74"/>
        <v>0</v>
      </c>
      <c r="BL136" s="681">
        <f t="shared" si="74"/>
        <v>0</v>
      </c>
      <c r="BM136" s="681">
        <f t="shared" si="74"/>
        <v>0</v>
      </c>
      <c r="BN136" s="681">
        <f t="shared" ref="BN136:CS136" si="75">IFERROR(BN129/BN64,0)*1000</f>
        <v>0</v>
      </c>
      <c r="BO136" s="681">
        <f t="shared" si="75"/>
        <v>0</v>
      </c>
      <c r="BP136" s="681">
        <f t="shared" si="75"/>
        <v>0</v>
      </c>
      <c r="BQ136" s="681">
        <f t="shared" si="75"/>
        <v>0</v>
      </c>
      <c r="BR136" s="681">
        <f t="shared" si="75"/>
        <v>0</v>
      </c>
      <c r="BS136" s="681">
        <f t="shared" si="75"/>
        <v>0</v>
      </c>
      <c r="BT136" s="681">
        <f t="shared" si="75"/>
        <v>0</v>
      </c>
      <c r="BU136" s="681">
        <f t="shared" si="75"/>
        <v>0</v>
      </c>
      <c r="BV136" s="681">
        <f t="shared" si="75"/>
        <v>0</v>
      </c>
      <c r="BW136" s="681">
        <f t="shared" si="75"/>
        <v>0</v>
      </c>
      <c r="BX136" s="681">
        <f t="shared" si="75"/>
        <v>0</v>
      </c>
      <c r="BY136" s="681">
        <f t="shared" si="75"/>
        <v>0</v>
      </c>
      <c r="BZ136" s="681">
        <f t="shared" si="75"/>
        <v>0</v>
      </c>
      <c r="CA136" s="681">
        <f t="shared" si="75"/>
        <v>0</v>
      </c>
      <c r="CB136" s="681">
        <f t="shared" si="75"/>
        <v>0</v>
      </c>
      <c r="CC136" s="681">
        <f t="shared" si="75"/>
        <v>0</v>
      </c>
      <c r="CD136" s="681">
        <f t="shared" si="75"/>
        <v>0</v>
      </c>
      <c r="CE136" s="681">
        <f t="shared" si="75"/>
        <v>0</v>
      </c>
      <c r="CF136" s="681">
        <f t="shared" si="75"/>
        <v>0</v>
      </c>
      <c r="CG136" s="681">
        <f t="shared" si="75"/>
        <v>0</v>
      </c>
      <c r="CH136" s="681">
        <f t="shared" si="75"/>
        <v>0</v>
      </c>
      <c r="CI136" s="681">
        <f t="shared" si="75"/>
        <v>0</v>
      </c>
      <c r="CJ136" s="681">
        <f t="shared" si="75"/>
        <v>0</v>
      </c>
      <c r="CK136" s="681">
        <f t="shared" si="75"/>
        <v>0</v>
      </c>
      <c r="CL136" s="681">
        <f t="shared" si="75"/>
        <v>0</v>
      </c>
      <c r="CM136" s="681">
        <f t="shared" si="75"/>
        <v>0</v>
      </c>
      <c r="CN136" s="681">
        <f t="shared" si="75"/>
        <v>0</v>
      </c>
      <c r="CO136" s="681">
        <f t="shared" si="75"/>
        <v>0</v>
      </c>
      <c r="CP136" s="681">
        <f t="shared" si="75"/>
        <v>0</v>
      </c>
      <c r="CQ136" s="681">
        <f t="shared" si="75"/>
        <v>0</v>
      </c>
      <c r="CR136" s="681">
        <f t="shared" si="75"/>
        <v>0</v>
      </c>
      <c r="CS136" s="681">
        <f t="shared" si="75"/>
        <v>0</v>
      </c>
      <c r="CT136" s="22"/>
      <c r="CW136" s="902" t="s">
        <v>734</v>
      </c>
      <c r="CX136" s="907" t="s">
        <v>630</v>
      </c>
      <c r="CY136" s="911">
        <f>AE136</f>
        <v>0</v>
      </c>
      <c r="CZ136" s="911">
        <f>AF136</f>
        <v>0</v>
      </c>
    </row>
    <row r="137" spans="1:106" ht="15" hidden="1" customHeight="1">
      <c r="E137" s="623">
        <v>0</v>
      </c>
      <c r="F137" s="714">
        <f t="shared" ca="1" si="60"/>
        <v>0</v>
      </c>
      <c r="S137" s="98" t="b">
        <f t="shared" ca="1" si="61"/>
        <v>0</v>
      </c>
      <c r="U137" s="645" t="b">
        <f t="shared" ca="1" si="45"/>
        <v>0</v>
      </c>
      <c r="X137" s="756" t="str">
        <f>"{                  
         funcDyn: 'msg1',
         blok: '',
         wsCross: '',
         linkFormula: '',
         levelDyn: "&amp;Y28&amp;"
}"</f>
        <v>{                  
         funcDyn: 'msg1',
         blok: '',
         wsCross: '',
         linkFormula: '',
         levelDyn: 0
}</v>
      </c>
      <c r="Y137" s="1382"/>
      <c r="Z137" s="1382"/>
      <c r="AB137" s="1473"/>
      <c r="AD137" s="759"/>
      <c r="AE137" s="758" t="s">
        <v>172</v>
      </c>
      <c r="AF137" s="685"/>
      <c r="AG137" s="111"/>
      <c r="AH137" s="687"/>
      <c r="AI137" s="688"/>
      <c r="AJ137" s="688"/>
      <c r="AK137" s="688"/>
      <c r="AL137" s="688"/>
      <c r="AM137" s="688"/>
      <c r="AN137" s="688"/>
      <c r="AO137" s="688"/>
      <c r="AP137" s="688"/>
      <c r="AQ137" s="688"/>
      <c r="AR137" s="688"/>
      <c r="AS137" s="688"/>
      <c r="AT137" s="688"/>
      <c r="AU137" s="688"/>
      <c r="AV137" s="688"/>
      <c r="AW137" s="688"/>
      <c r="AX137" s="688"/>
      <c r="AY137" s="688"/>
      <c r="AZ137" s="688"/>
      <c r="BA137" s="688"/>
      <c r="BB137" s="688"/>
      <c r="BC137" s="688"/>
      <c r="BD137" s="688"/>
      <c r="BE137" s="688"/>
      <c r="BF137" s="688"/>
      <c r="BG137" s="688"/>
      <c r="BH137" s="688"/>
      <c r="BI137" s="688"/>
      <c r="BJ137" s="688"/>
      <c r="BK137" s="688"/>
      <c r="BL137" s="688"/>
      <c r="BM137" s="688"/>
      <c r="BN137" s="688"/>
      <c r="BO137" s="688"/>
      <c r="BP137" s="688"/>
      <c r="BQ137" s="688"/>
      <c r="BR137" s="688"/>
      <c r="BS137" s="688"/>
      <c r="BT137" s="688"/>
      <c r="BU137" s="688"/>
      <c r="BV137" s="688"/>
      <c r="BW137" s="688"/>
      <c r="BX137" s="688"/>
      <c r="BY137" s="688"/>
      <c r="BZ137" s="688"/>
      <c r="CA137" s="688"/>
      <c r="CB137" s="688"/>
      <c r="CC137" s="688"/>
      <c r="CD137" s="688"/>
      <c r="CE137" s="688"/>
      <c r="CF137" s="688"/>
      <c r="CG137" s="688"/>
      <c r="CH137" s="688"/>
      <c r="CI137" s="688"/>
      <c r="CJ137" s="688"/>
      <c r="CK137" s="688"/>
      <c r="CL137" s="688"/>
      <c r="CM137" s="688"/>
      <c r="CN137" s="688"/>
      <c r="CO137" s="688"/>
      <c r="CP137" s="688"/>
      <c r="CQ137" s="688"/>
      <c r="CR137" s="688"/>
      <c r="CS137" s="688"/>
      <c r="CT137" s="33"/>
      <c r="CW137" s="902" t="str">
        <f>IF(AND(ISNUMBER(VALUE(TRIM(SUBSTITUTE(AD137,".","")))),TRIM(SUBSTITUTE(AD137,".",""))&lt;&gt;""),"P"&amp;SUBSTITUTE(AD137,".",""),"")</f>
        <v/>
      </c>
    </row>
    <row r="138" spans="1:106" ht="16.7" hidden="1" customHeight="1">
      <c r="E138" s="623">
        <v>17.100000000000001</v>
      </c>
      <c r="F138" s="714">
        <f t="shared" ca="1" si="60"/>
        <v>0</v>
      </c>
      <c r="S138" s="98" t="b">
        <f t="shared" ca="1" si="61"/>
        <v>0</v>
      </c>
      <c r="U138" s="645" t="b">
        <f t="shared" ca="1" si="45"/>
        <v>0</v>
      </c>
      <c r="Y138" s="1382"/>
      <c r="Z138" s="1382"/>
      <c r="AB138" s="1474"/>
      <c r="AC138" s="761"/>
      <c r="AD138" s="111" t="s">
        <v>736</v>
      </c>
      <c r="AE138" s="1442" t="s">
        <v>737</v>
      </c>
      <c r="AF138" s="1413"/>
      <c r="AG138" s="111" t="s">
        <v>738</v>
      </c>
      <c r="AH138" s="672">
        <f t="shared" ref="AH138:BM138" si="76">IFERROR(AH126/AH44*1000,0)</f>
        <v>0</v>
      </c>
      <c r="AI138" s="672">
        <f t="shared" si="76"/>
        <v>0</v>
      </c>
      <c r="AJ138" s="672">
        <f t="shared" si="76"/>
        <v>0</v>
      </c>
      <c r="AK138" s="672">
        <f t="shared" si="76"/>
        <v>0</v>
      </c>
      <c r="AL138" s="672">
        <f t="shared" si="76"/>
        <v>0</v>
      </c>
      <c r="AM138" s="672">
        <f t="shared" si="76"/>
        <v>0</v>
      </c>
      <c r="AN138" s="672">
        <f t="shared" si="76"/>
        <v>0</v>
      </c>
      <c r="AO138" s="672">
        <f t="shared" si="76"/>
        <v>0</v>
      </c>
      <c r="AP138" s="672">
        <f t="shared" si="76"/>
        <v>0</v>
      </c>
      <c r="AQ138" s="672">
        <f t="shared" si="76"/>
        <v>0</v>
      </c>
      <c r="AR138" s="672">
        <f t="shared" si="76"/>
        <v>0</v>
      </c>
      <c r="AS138" s="672">
        <f t="shared" si="76"/>
        <v>0</v>
      </c>
      <c r="AT138" s="672">
        <f t="shared" si="76"/>
        <v>0</v>
      </c>
      <c r="AU138" s="672">
        <f t="shared" si="76"/>
        <v>0</v>
      </c>
      <c r="AV138" s="672">
        <f t="shared" si="76"/>
        <v>0</v>
      </c>
      <c r="AW138" s="672">
        <f t="shared" si="76"/>
        <v>0</v>
      </c>
      <c r="AX138" s="672">
        <f t="shared" si="76"/>
        <v>0</v>
      </c>
      <c r="AY138" s="672">
        <f t="shared" si="76"/>
        <v>0</v>
      </c>
      <c r="AZ138" s="672">
        <f t="shared" si="76"/>
        <v>0</v>
      </c>
      <c r="BA138" s="672">
        <f t="shared" si="76"/>
        <v>0</v>
      </c>
      <c r="BB138" s="672">
        <f t="shared" si="76"/>
        <v>0</v>
      </c>
      <c r="BC138" s="672">
        <f t="shared" si="76"/>
        <v>0</v>
      </c>
      <c r="BD138" s="672">
        <f t="shared" si="76"/>
        <v>0</v>
      </c>
      <c r="BE138" s="672">
        <f t="shared" si="76"/>
        <v>0</v>
      </c>
      <c r="BF138" s="672">
        <f t="shared" si="76"/>
        <v>0</v>
      </c>
      <c r="BG138" s="672">
        <f t="shared" si="76"/>
        <v>0</v>
      </c>
      <c r="BH138" s="672">
        <f t="shared" si="76"/>
        <v>0</v>
      </c>
      <c r="BI138" s="672">
        <f t="shared" si="76"/>
        <v>0</v>
      </c>
      <c r="BJ138" s="672">
        <f t="shared" si="76"/>
        <v>0</v>
      </c>
      <c r="BK138" s="672">
        <f t="shared" si="76"/>
        <v>0</v>
      </c>
      <c r="BL138" s="672">
        <f t="shared" si="76"/>
        <v>0</v>
      </c>
      <c r="BM138" s="672">
        <f t="shared" si="76"/>
        <v>0</v>
      </c>
      <c r="BN138" s="672">
        <f t="shared" ref="BN138:CS138" si="77">IFERROR(BN126/BN44*1000,0)</f>
        <v>0</v>
      </c>
      <c r="BO138" s="672">
        <f t="shared" si="77"/>
        <v>0</v>
      </c>
      <c r="BP138" s="672">
        <f t="shared" si="77"/>
        <v>0</v>
      </c>
      <c r="BQ138" s="672">
        <f t="shared" si="77"/>
        <v>0</v>
      </c>
      <c r="BR138" s="672">
        <f t="shared" si="77"/>
        <v>0</v>
      </c>
      <c r="BS138" s="672">
        <f t="shared" si="77"/>
        <v>0</v>
      </c>
      <c r="BT138" s="672">
        <f t="shared" si="77"/>
        <v>0</v>
      </c>
      <c r="BU138" s="672">
        <f t="shared" si="77"/>
        <v>0</v>
      </c>
      <c r="BV138" s="672">
        <f t="shared" si="77"/>
        <v>0</v>
      </c>
      <c r="BW138" s="672">
        <f t="shared" si="77"/>
        <v>0</v>
      </c>
      <c r="BX138" s="672">
        <f t="shared" si="77"/>
        <v>0</v>
      </c>
      <c r="BY138" s="672">
        <f t="shared" si="77"/>
        <v>0</v>
      </c>
      <c r="BZ138" s="672">
        <f t="shared" si="77"/>
        <v>0</v>
      </c>
      <c r="CA138" s="672">
        <f t="shared" si="77"/>
        <v>0</v>
      </c>
      <c r="CB138" s="672">
        <f t="shared" si="77"/>
        <v>0</v>
      </c>
      <c r="CC138" s="672">
        <f t="shared" si="77"/>
        <v>0</v>
      </c>
      <c r="CD138" s="672">
        <f t="shared" si="77"/>
        <v>0</v>
      </c>
      <c r="CE138" s="672">
        <f t="shared" si="77"/>
        <v>0</v>
      </c>
      <c r="CF138" s="672">
        <f t="shared" si="77"/>
        <v>0</v>
      </c>
      <c r="CG138" s="672">
        <f t="shared" si="77"/>
        <v>0</v>
      </c>
      <c r="CH138" s="672">
        <f t="shared" si="77"/>
        <v>0</v>
      </c>
      <c r="CI138" s="672">
        <f t="shared" si="77"/>
        <v>0</v>
      </c>
      <c r="CJ138" s="672">
        <f t="shared" si="77"/>
        <v>0</v>
      </c>
      <c r="CK138" s="672">
        <f t="shared" si="77"/>
        <v>0</v>
      </c>
      <c r="CL138" s="672">
        <f t="shared" si="77"/>
        <v>0</v>
      </c>
      <c r="CM138" s="672">
        <f t="shared" si="77"/>
        <v>0</v>
      </c>
      <c r="CN138" s="672">
        <f t="shared" si="77"/>
        <v>0</v>
      </c>
      <c r="CO138" s="672">
        <f t="shared" si="77"/>
        <v>0</v>
      </c>
      <c r="CP138" s="672">
        <f t="shared" si="77"/>
        <v>0</v>
      </c>
      <c r="CQ138" s="672">
        <f t="shared" si="77"/>
        <v>0</v>
      </c>
      <c r="CR138" s="672">
        <f t="shared" si="77"/>
        <v>0</v>
      </c>
      <c r="CS138" s="672">
        <f t="shared" si="77"/>
        <v>0</v>
      </c>
      <c r="CT138" s="22"/>
      <c r="CW138" s="902" t="s">
        <v>739</v>
      </c>
    </row>
    <row r="139" spans="1:106" s="1057" customFormat="1" ht="16.5" customHeight="1">
      <c r="A139" s="769"/>
      <c r="B139" s="718"/>
      <c r="C139" s="1016"/>
      <c r="D139" s="1016"/>
      <c r="E139" s="623">
        <v>17.100000000000001</v>
      </c>
      <c r="F139" s="714" t="str">
        <f>Y139</f>
        <v>1</v>
      </c>
      <c r="G139" s="150" t="str">
        <f>INDEX('Общие сведения'!$AE$169:$AE$202,MATCH($F139,'Общие сведения'!$Z$169:$Z$202,0))</f>
        <v>Теплоснабжение</v>
      </c>
      <c r="H139" s="150" t="str">
        <f>INDEX('Общие сведения'!$AK$169:$AK$202,MATCH($F139,'Общие сведения'!$Z$169:$Z$202,0))</f>
        <v>одноставочный</v>
      </c>
      <c r="I139" s="150" t="str">
        <f>INDEX('Общие сведения'!$AH$169:$AH$202,MATCH($F139,'Общие сведения'!$Z$169:$Z$202,0))</f>
        <v>Производство</v>
      </c>
      <c r="J139" s="150" t="str">
        <f>INDEX('Общие сведения'!$AI$169:$AI$202,MATCH($F139,'Общие сведения'!$Z$169:$Z$202,0))</f>
        <v>Тарифы на теплоноситель</v>
      </c>
      <c r="K139" s="150" t="str">
        <f>INDEX('Общие сведения'!$AJ$169:$AJ$202,MATCH($F139,'Общие сведения'!$Z$169:$Z$202,0))</f>
        <v>Не определено</v>
      </c>
      <c r="L139" s="750"/>
      <c r="M139" s="750"/>
      <c r="N139" s="750"/>
      <c r="O139" s="750"/>
      <c r="P139" s="750"/>
      <c r="Q139" s="750"/>
      <c r="R139" s="1016"/>
      <c r="S139" s="98" t="b">
        <f>Y139&gt;0</f>
        <v>1</v>
      </c>
      <c r="T139" s="1016"/>
      <c r="U139" s="645" t="b">
        <f t="shared" si="45"/>
        <v>1</v>
      </c>
      <c r="V139" s="1016"/>
      <c r="W139" s="113" t="str">
        <f>'Баланс ТН'!$AB$64</f>
        <v>Тариф 1 (Теплоснабжение) - Тарифы на теплоноситель (Не определено)</v>
      </c>
      <c r="X139" s="1016"/>
      <c r="Y139" s="1467" t="s">
        <v>247</v>
      </c>
      <c r="Z139" s="1382"/>
      <c r="AA139" s="646"/>
      <c r="AB139" s="371" t="str">
        <f>IF(ISBLANK('Баланс ТН'!$AB$64),"",'Баланс ТН'!$AB$64)</f>
        <v>Тариф 1 (Теплоснабжение) - Тарифы на теплоноситель (Не определено)</v>
      </c>
      <c r="AC139" s="371"/>
      <c r="AD139" s="200"/>
      <c r="AE139" s="197"/>
      <c r="AF139" s="197"/>
      <c r="AG139" s="197"/>
      <c r="AH139" s="197"/>
      <c r="AI139" s="197"/>
      <c r="AJ139" s="197"/>
      <c r="AK139" s="197"/>
      <c r="AL139" s="197"/>
      <c r="AM139" s="197"/>
      <c r="AN139" s="197"/>
      <c r="AO139" s="197"/>
      <c r="AP139" s="197"/>
      <c r="AQ139" s="197"/>
      <c r="AR139" s="197"/>
      <c r="AS139" s="197"/>
      <c r="AT139" s="197"/>
      <c r="AU139" s="197"/>
      <c r="AV139" s="197"/>
      <c r="AW139" s="197"/>
      <c r="AX139" s="197"/>
      <c r="AY139" s="197"/>
      <c r="AZ139" s="197"/>
      <c r="BA139" s="197"/>
      <c r="BB139" s="197"/>
      <c r="BC139" s="197"/>
      <c r="BD139" s="197"/>
      <c r="BE139" s="197"/>
      <c r="BF139" s="197"/>
      <c r="BG139" s="197"/>
      <c r="BH139" s="197"/>
      <c r="BI139" s="197"/>
      <c r="BJ139" s="197"/>
      <c r="BK139" s="197"/>
      <c r="BL139" s="197"/>
      <c r="BM139" s="197"/>
      <c r="BN139" s="197"/>
      <c r="BO139" s="197"/>
      <c r="BP139" s="197"/>
      <c r="BQ139" s="197"/>
      <c r="BR139" s="197"/>
      <c r="BS139" s="197"/>
      <c r="BT139" s="197"/>
      <c r="BU139" s="197"/>
      <c r="BV139" s="197"/>
      <c r="BW139" s="197"/>
      <c r="BX139" s="197"/>
      <c r="BY139" s="197"/>
      <c r="BZ139" s="197"/>
      <c r="CA139" s="197"/>
      <c r="CB139" s="197"/>
      <c r="CC139" s="197"/>
      <c r="CD139" s="248"/>
      <c r="CE139" s="248"/>
      <c r="CF139" s="197"/>
      <c r="CG139" s="197"/>
      <c r="CH139" s="197"/>
      <c r="CI139" s="197"/>
      <c r="CJ139" s="197"/>
      <c r="CK139" s="197"/>
      <c r="CL139" s="197"/>
      <c r="CM139" s="197"/>
      <c r="CN139" s="197"/>
      <c r="CO139" s="197"/>
      <c r="CP139" s="197"/>
      <c r="CQ139" s="197"/>
      <c r="CR139" s="197"/>
      <c r="CS139" s="197"/>
      <c r="CT139" s="197"/>
      <c r="CW139" s="902" t="str">
        <f>IF(AND(ISNUMBER(VALUE(TRIM(SUBSTITUTE(AD139,".","")))),TRIM(SUBSTITUTE(AD139,".",""))&lt;&gt;""),"P"&amp;SUBSTITUTE(AD139,".",""),"")</f>
        <v/>
      </c>
      <c r="CX139" s="907"/>
      <c r="CY139" s="907"/>
      <c r="CZ139" s="907"/>
      <c r="DA139" s="908"/>
      <c r="DB139" s="908"/>
    </row>
    <row r="140" spans="1:106" s="1057" customFormat="1" ht="16.5" customHeight="1">
      <c r="A140" s="769"/>
      <c r="B140" s="718"/>
      <c r="C140" s="1016"/>
      <c r="D140" s="1016"/>
      <c r="E140" s="623">
        <v>17.100000000000001</v>
      </c>
      <c r="F140" s="714" t="str">
        <f t="shared" ref="F140:F171" ca="1" si="78">OFFSET(G140,-1,-1)</f>
        <v>1</v>
      </c>
      <c r="G140" s="750"/>
      <c r="H140" s="750"/>
      <c r="I140" s="750"/>
      <c r="J140" s="750"/>
      <c r="K140" s="750"/>
      <c r="L140" s="750"/>
      <c r="M140" s="750"/>
      <c r="N140" s="750"/>
      <c r="O140" s="750"/>
      <c r="P140" s="750"/>
      <c r="Q140" s="750"/>
      <c r="R140" s="714" t="s">
        <v>569</v>
      </c>
      <c r="S140" s="98" t="b">
        <f t="shared" ref="S140:S171" ca="1" si="79">OFFSET(T140,-1,-1)</f>
        <v>1</v>
      </c>
      <c r="T140" s="1016"/>
      <c r="U140" s="645" t="b">
        <f t="shared" ca="1" si="45"/>
        <v>1</v>
      </c>
      <c r="V140" s="1016"/>
      <c r="W140" s="1016"/>
      <c r="X140" s="1016"/>
      <c r="Y140" s="1382"/>
      <c r="Z140" s="1382"/>
      <c r="AA140" s="646"/>
      <c r="AB140" s="1468" t="s">
        <v>570</v>
      </c>
      <c r="AD140" s="99">
        <v>1</v>
      </c>
      <c r="AE140" s="1443" t="s">
        <v>571</v>
      </c>
      <c r="AF140" s="1444"/>
      <c r="AG140" s="99" t="s">
        <v>572</v>
      </c>
      <c r="AH140" s="1117"/>
      <c r="AI140" s="1118"/>
      <c r="AJ140" s="1118"/>
      <c r="AK140" s="1118"/>
      <c r="AL140" s="674">
        <f>AM140+AN140</f>
        <v>0</v>
      </c>
      <c r="AM140" s="1118"/>
      <c r="AN140" s="1118"/>
      <c r="AO140" s="674">
        <f>AP140+AQ140</f>
        <v>0</v>
      </c>
      <c r="AP140" s="1111"/>
      <c r="AQ140" s="1111"/>
      <c r="AR140" s="674">
        <f>AS140+AT140</f>
        <v>0</v>
      </c>
      <c r="AS140" s="1111"/>
      <c r="AT140" s="1111"/>
      <c r="AU140" s="674">
        <f>AV140+AW140</f>
        <v>0</v>
      </c>
      <c r="AV140" s="1118"/>
      <c r="AW140" s="1118"/>
      <c r="AX140" s="674">
        <f>AY140+AZ140</f>
        <v>0</v>
      </c>
      <c r="AY140" s="1118"/>
      <c r="AZ140" s="1118"/>
      <c r="BA140" s="674">
        <f>BB140+BC140</f>
        <v>0</v>
      </c>
      <c r="BB140" s="1118"/>
      <c r="BC140" s="1118"/>
      <c r="BD140" s="674">
        <f>BE140+BF140</f>
        <v>0</v>
      </c>
      <c r="BE140" s="1118"/>
      <c r="BF140" s="1118"/>
      <c r="BG140" s="674">
        <f>BH140+BI140</f>
        <v>0</v>
      </c>
      <c r="BH140" s="1118"/>
      <c r="BI140" s="1118"/>
      <c r="BJ140" s="674">
        <f>BK140+BL140</f>
        <v>0</v>
      </c>
      <c r="BK140" s="1118"/>
      <c r="BL140" s="1118"/>
      <c r="BM140" s="674">
        <f>BN140+BO140</f>
        <v>0</v>
      </c>
      <c r="BN140" s="1118"/>
      <c r="BO140" s="1118"/>
      <c r="BP140" s="674">
        <f>BQ140+BR140</f>
        <v>0</v>
      </c>
      <c r="BQ140" s="762"/>
      <c r="BR140" s="762"/>
      <c r="BS140" s="674">
        <f>BT140+BU140</f>
        <v>0</v>
      </c>
      <c r="BT140" s="1111"/>
      <c r="BU140" s="1111"/>
      <c r="BV140" s="674">
        <f>BW140+BX140</f>
        <v>0</v>
      </c>
      <c r="BW140" s="1111"/>
      <c r="BX140" s="1111"/>
      <c r="BY140" s="674">
        <f>BZ140+CA140</f>
        <v>0</v>
      </c>
      <c r="BZ140" s="1118"/>
      <c r="CA140" s="1118"/>
      <c r="CB140" s="674">
        <f>CC140+CD140</f>
        <v>0</v>
      </c>
      <c r="CC140" s="1118"/>
      <c r="CD140" s="1118"/>
      <c r="CE140" s="674">
        <f>CF140+CG140</f>
        <v>0</v>
      </c>
      <c r="CF140" s="1118"/>
      <c r="CG140" s="1118"/>
      <c r="CH140" s="674">
        <f>CI140+CJ140</f>
        <v>0</v>
      </c>
      <c r="CI140" s="1118"/>
      <c r="CJ140" s="1118"/>
      <c r="CK140" s="674">
        <f>CL140+CM140</f>
        <v>0</v>
      </c>
      <c r="CL140" s="1118"/>
      <c r="CM140" s="1118"/>
      <c r="CN140" s="674">
        <f>CO140+CP140</f>
        <v>0</v>
      </c>
      <c r="CO140" s="1118"/>
      <c r="CP140" s="1118"/>
      <c r="CQ140" s="674">
        <f>CR140+CS140</f>
        <v>0</v>
      </c>
      <c r="CR140" s="1118"/>
      <c r="CS140" s="1118"/>
      <c r="CT140" s="1106"/>
      <c r="CW140" s="902" t="s">
        <v>573</v>
      </c>
      <c r="CX140" s="907"/>
      <c r="CY140" s="907"/>
      <c r="CZ140" s="907"/>
      <c r="DA140" s="908"/>
      <c r="DB140" s="908"/>
    </row>
    <row r="141" spans="1:106" s="1057" customFormat="1" ht="16.5" customHeight="1">
      <c r="A141" s="769"/>
      <c r="B141" s="718"/>
      <c r="C141" s="1016"/>
      <c r="D141" s="1016"/>
      <c r="E141" s="623">
        <v>17.100000000000001</v>
      </c>
      <c r="F141" s="714" t="str">
        <f t="shared" ca="1" si="78"/>
        <v>1</v>
      </c>
      <c r="G141" s="750"/>
      <c r="H141" s="750"/>
      <c r="I141" s="750"/>
      <c r="J141" s="750"/>
      <c r="K141" s="750"/>
      <c r="L141" s="750"/>
      <c r="M141" s="750"/>
      <c r="N141" s="750"/>
      <c r="O141" s="750"/>
      <c r="P141" s="750"/>
      <c r="Q141" s="750"/>
      <c r="R141" s="714" t="s">
        <v>569</v>
      </c>
      <c r="S141" s="98" t="b">
        <f t="shared" ca="1" si="79"/>
        <v>1</v>
      </c>
      <c r="T141" s="1016"/>
      <c r="U141" s="645" t="b">
        <f t="shared" ca="1" si="45"/>
        <v>1</v>
      </c>
      <c r="V141" s="1016"/>
      <c r="W141" s="1016"/>
      <c r="X141" s="1016"/>
      <c r="Y141" s="1382"/>
      <c r="Z141" s="1382"/>
      <c r="AA141" s="646"/>
      <c r="AB141" s="1469"/>
      <c r="AD141" s="99">
        <v>2</v>
      </c>
      <c r="AE141" s="1443" t="s">
        <v>574</v>
      </c>
      <c r="AF141" s="1444"/>
      <c r="AG141" s="99" t="s">
        <v>572</v>
      </c>
      <c r="AH141" s="672">
        <f t="shared" ref="AH141:BM141" si="80">AH142+AH144</f>
        <v>0</v>
      </c>
      <c r="AI141" s="674">
        <f t="shared" si="80"/>
        <v>0</v>
      </c>
      <c r="AJ141" s="674">
        <f t="shared" si="80"/>
        <v>0</v>
      </c>
      <c r="AK141" s="674">
        <f t="shared" si="80"/>
        <v>0</v>
      </c>
      <c r="AL141" s="674">
        <f t="shared" si="80"/>
        <v>0</v>
      </c>
      <c r="AM141" s="674">
        <f t="shared" si="80"/>
        <v>0</v>
      </c>
      <c r="AN141" s="674">
        <f t="shared" si="80"/>
        <v>0</v>
      </c>
      <c r="AO141" s="674">
        <f t="shared" si="80"/>
        <v>0</v>
      </c>
      <c r="AP141" s="674">
        <f t="shared" si="80"/>
        <v>0</v>
      </c>
      <c r="AQ141" s="674">
        <f t="shared" si="80"/>
        <v>0</v>
      </c>
      <c r="AR141" s="674">
        <f t="shared" si="80"/>
        <v>0</v>
      </c>
      <c r="AS141" s="674">
        <f t="shared" si="80"/>
        <v>0</v>
      </c>
      <c r="AT141" s="674">
        <f t="shared" si="80"/>
        <v>0</v>
      </c>
      <c r="AU141" s="674">
        <f t="shared" si="80"/>
        <v>0</v>
      </c>
      <c r="AV141" s="674">
        <f t="shared" si="80"/>
        <v>0</v>
      </c>
      <c r="AW141" s="674">
        <f t="shared" si="80"/>
        <v>0</v>
      </c>
      <c r="AX141" s="674">
        <f t="shared" si="80"/>
        <v>0</v>
      </c>
      <c r="AY141" s="674">
        <f t="shared" si="80"/>
        <v>0</v>
      </c>
      <c r="AZ141" s="674">
        <f t="shared" si="80"/>
        <v>0</v>
      </c>
      <c r="BA141" s="674">
        <f t="shared" si="80"/>
        <v>0</v>
      </c>
      <c r="BB141" s="674">
        <f t="shared" si="80"/>
        <v>0</v>
      </c>
      <c r="BC141" s="674">
        <f t="shared" si="80"/>
        <v>0</v>
      </c>
      <c r="BD141" s="674">
        <f t="shared" si="80"/>
        <v>0</v>
      </c>
      <c r="BE141" s="674">
        <f t="shared" si="80"/>
        <v>0</v>
      </c>
      <c r="BF141" s="674">
        <f t="shared" si="80"/>
        <v>0</v>
      </c>
      <c r="BG141" s="674">
        <f t="shared" si="80"/>
        <v>0</v>
      </c>
      <c r="BH141" s="674">
        <f t="shared" si="80"/>
        <v>0</v>
      </c>
      <c r="BI141" s="674">
        <f t="shared" si="80"/>
        <v>0</v>
      </c>
      <c r="BJ141" s="674">
        <f t="shared" si="80"/>
        <v>0</v>
      </c>
      <c r="BK141" s="674">
        <f t="shared" si="80"/>
        <v>0</v>
      </c>
      <c r="BL141" s="674">
        <f t="shared" si="80"/>
        <v>0</v>
      </c>
      <c r="BM141" s="674">
        <f t="shared" si="80"/>
        <v>0</v>
      </c>
      <c r="BN141" s="674">
        <f t="shared" ref="BN141:CS141" si="81">BN142+BN144</f>
        <v>0</v>
      </c>
      <c r="BO141" s="674">
        <f t="shared" si="81"/>
        <v>0</v>
      </c>
      <c r="BP141" s="674">
        <f t="shared" si="81"/>
        <v>0</v>
      </c>
      <c r="BQ141" s="674">
        <f t="shared" si="81"/>
        <v>0</v>
      </c>
      <c r="BR141" s="674">
        <f t="shared" si="81"/>
        <v>0</v>
      </c>
      <c r="BS141" s="674">
        <f t="shared" si="81"/>
        <v>0</v>
      </c>
      <c r="BT141" s="674">
        <f t="shared" si="81"/>
        <v>0</v>
      </c>
      <c r="BU141" s="674">
        <f t="shared" si="81"/>
        <v>0</v>
      </c>
      <c r="BV141" s="674">
        <f t="shared" si="81"/>
        <v>0</v>
      </c>
      <c r="BW141" s="674">
        <f t="shared" si="81"/>
        <v>0</v>
      </c>
      <c r="BX141" s="674">
        <f t="shared" si="81"/>
        <v>0</v>
      </c>
      <c r="BY141" s="674">
        <f t="shared" si="81"/>
        <v>0</v>
      </c>
      <c r="BZ141" s="674">
        <f t="shared" si="81"/>
        <v>0</v>
      </c>
      <c r="CA141" s="674">
        <f t="shared" si="81"/>
        <v>0</v>
      </c>
      <c r="CB141" s="674">
        <f t="shared" si="81"/>
        <v>0</v>
      </c>
      <c r="CC141" s="674">
        <f t="shared" si="81"/>
        <v>0</v>
      </c>
      <c r="CD141" s="674">
        <f t="shared" si="81"/>
        <v>0</v>
      </c>
      <c r="CE141" s="674">
        <f t="shared" si="81"/>
        <v>0</v>
      </c>
      <c r="CF141" s="674">
        <f t="shared" si="81"/>
        <v>0</v>
      </c>
      <c r="CG141" s="674">
        <f t="shared" si="81"/>
        <v>0</v>
      </c>
      <c r="CH141" s="674">
        <f t="shared" si="81"/>
        <v>0</v>
      </c>
      <c r="CI141" s="674">
        <f t="shared" si="81"/>
        <v>0</v>
      </c>
      <c r="CJ141" s="674">
        <f t="shared" si="81"/>
        <v>0</v>
      </c>
      <c r="CK141" s="674">
        <f t="shared" si="81"/>
        <v>0</v>
      </c>
      <c r="CL141" s="674">
        <f t="shared" si="81"/>
        <v>0</v>
      </c>
      <c r="CM141" s="674">
        <f t="shared" si="81"/>
        <v>0</v>
      </c>
      <c r="CN141" s="674">
        <f t="shared" si="81"/>
        <v>0</v>
      </c>
      <c r="CO141" s="674">
        <f t="shared" si="81"/>
        <v>0</v>
      </c>
      <c r="CP141" s="674">
        <f t="shared" si="81"/>
        <v>0</v>
      </c>
      <c r="CQ141" s="674">
        <f t="shared" si="81"/>
        <v>0</v>
      </c>
      <c r="CR141" s="674">
        <f t="shared" si="81"/>
        <v>0</v>
      </c>
      <c r="CS141" s="674">
        <f t="shared" si="81"/>
        <v>0</v>
      </c>
      <c r="CT141" s="1106"/>
      <c r="CW141" s="902" t="s">
        <v>575</v>
      </c>
      <c r="CX141" s="907"/>
      <c r="CY141" s="907"/>
      <c r="CZ141" s="907"/>
      <c r="DA141" s="908"/>
      <c r="DB141" s="908"/>
    </row>
    <row r="142" spans="1:106" s="1057" customFormat="1" ht="16.5" customHeight="1">
      <c r="A142" s="769"/>
      <c r="B142" s="718"/>
      <c r="C142" s="1016"/>
      <c r="D142" s="1016"/>
      <c r="E142" s="623">
        <v>17.100000000000001</v>
      </c>
      <c r="F142" s="714" t="str">
        <f t="shared" ca="1" si="78"/>
        <v>1</v>
      </c>
      <c r="G142" s="750"/>
      <c r="H142" s="750"/>
      <c r="I142" s="750"/>
      <c r="J142" s="750"/>
      <c r="K142" s="750"/>
      <c r="L142" s="750"/>
      <c r="M142" s="750"/>
      <c r="N142" s="750"/>
      <c r="O142" s="750"/>
      <c r="P142" s="750"/>
      <c r="Q142" s="750"/>
      <c r="R142" s="714" t="s">
        <v>569</v>
      </c>
      <c r="S142" s="98" t="b">
        <f t="shared" ca="1" si="79"/>
        <v>1</v>
      </c>
      <c r="T142" s="1016"/>
      <c r="U142" s="645" t="b">
        <f t="shared" ca="1" si="45"/>
        <v>1</v>
      </c>
      <c r="V142" s="1016"/>
      <c r="W142" s="1016"/>
      <c r="X142" s="1016"/>
      <c r="Y142" s="1382"/>
      <c r="Z142" s="1382"/>
      <c r="AA142" s="646"/>
      <c r="AB142" s="1469"/>
      <c r="AD142" s="99" t="s">
        <v>346</v>
      </c>
      <c r="AE142" s="1455" t="s">
        <v>576</v>
      </c>
      <c r="AF142" s="1456"/>
      <c r="AG142" s="99" t="s">
        <v>572</v>
      </c>
      <c r="AH142" s="1117"/>
      <c r="AI142" s="1118"/>
      <c r="AJ142" s="1118"/>
      <c r="AK142" s="1118"/>
      <c r="AL142" s="674">
        <f>AM142+AN142</f>
        <v>0</v>
      </c>
      <c r="AM142" s="1118"/>
      <c r="AN142" s="1118"/>
      <c r="AO142" s="674">
        <f>AP142+AQ142</f>
        <v>0</v>
      </c>
      <c r="AP142" s="1111"/>
      <c r="AQ142" s="1111"/>
      <c r="AR142" s="674">
        <f>AS142+AT142</f>
        <v>0</v>
      </c>
      <c r="AS142" s="1111"/>
      <c r="AT142" s="1111"/>
      <c r="AU142" s="674">
        <f>AV142+AW142</f>
        <v>0</v>
      </c>
      <c r="AV142" s="1118"/>
      <c r="AW142" s="1118"/>
      <c r="AX142" s="674">
        <f>AY142+AZ142</f>
        <v>0</v>
      </c>
      <c r="AY142" s="1118"/>
      <c r="AZ142" s="1118"/>
      <c r="BA142" s="674">
        <f>BB142+BC142</f>
        <v>0</v>
      </c>
      <c r="BB142" s="1118"/>
      <c r="BC142" s="1118"/>
      <c r="BD142" s="674">
        <f>BE142+BF142</f>
        <v>0</v>
      </c>
      <c r="BE142" s="1118"/>
      <c r="BF142" s="1118"/>
      <c r="BG142" s="674">
        <f>BH142+BI142</f>
        <v>0</v>
      </c>
      <c r="BH142" s="1118"/>
      <c r="BI142" s="1118"/>
      <c r="BJ142" s="674">
        <f>BK142+BL142</f>
        <v>0</v>
      </c>
      <c r="BK142" s="1118"/>
      <c r="BL142" s="1118"/>
      <c r="BM142" s="674">
        <f>BN142+BO142</f>
        <v>0</v>
      </c>
      <c r="BN142" s="1118"/>
      <c r="BO142" s="1118"/>
      <c r="BP142" s="674">
        <f>BQ142+BR142</f>
        <v>0</v>
      </c>
      <c r="BQ142" s="762"/>
      <c r="BR142" s="762"/>
      <c r="BS142" s="674">
        <f>BT142+BU142</f>
        <v>0</v>
      </c>
      <c r="BT142" s="1111"/>
      <c r="BU142" s="1111"/>
      <c r="BV142" s="674">
        <f>BW142+BX142</f>
        <v>0</v>
      </c>
      <c r="BW142" s="1111"/>
      <c r="BX142" s="1111"/>
      <c r="BY142" s="674">
        <f>BZ142+CA142</f>
        <v>0</v>
      </c>
      <c r="BZ142" s="1118"/>
      <c r="CA142" s="1118"/>
      <c r="CB142" s="674">
        <f>CC142+CD142</f>
        <v>0</v>
      </c>
      <c r="CC142" s="1118"/>
      <c r="CD142" s="1118"/>
      <c r="CE142" s="674">
        <f>CF142+CG142</f>
        <v>0</v>
      </c>
      <c r="CF142" s="1118"/>
      <c r="CG142" s="1118"/>
      <c r="CH142" s="674">
        <f>CI142+CJ142</f>
        <v>0</v>
      </c>
      <c r="CI142" s="1118"/>
      <c r="CJ142" s="1118"/>
      <c r="CK142" s="674">
        <f>CL142+CM142</f>
        <v>0</v>
      </c>
      <c r="CL142" s="1118"/>
      <c r="CM142" s="1118"/>
      <c r="CN142" s="674">
        <f>CO142+CP142</f>
        <v>0</v>
      </c>
      <c r="CO142" s="1118"/>
      <c r="CP142" s="1118"/>
      <c r="CQ142" s="674">
        <f>CR142+CS142</f>
        <v>0</v>
      </c>
      <c r="CR142" s="1118"/>
      <c r="CS142" s="1118"/>
      <c r="CT142" s="1106"/>
      <c r="CW142" s="902" t="s">
        <v>577</v>
      </c>
      <c r="CX142" s="907"/>
      <c r="CY142" s="907"/>
      <c r="CZ142" s="907"/>
      <c r="DA142" s="908"/>
      <c r="DB142" s="908"/>
    </row>
    <row r="143" spans="1:106" s="1057" customFormat="1" ht="16.5" customHeight="1">
      <c r="A143" s="769"/>
      <c r="B143" s="718"/>
      <c r="C143" s="1016"/>
      <c r="D143" s="1016"/>
      <c r="E143" s="623">
        <v>17.100000000000001</v>
      </c>
      <c r="F143" s="714" t="str">
        <f t="shared" ca="1" si="78"/>
        <v>1</v>
      </c>
      <c r="G143" s="750"/>
      <c r="H143" s="750"/>
      <c r="I143" s="750"/>
      <c r="J143" s="750"/>
      <c r="K143" s="750"/>
      <c r="L143" s="750"/>
      <c r="M143" s="750"/>
      <c r="N143" s="750"/>
      <c r="O143" s="750"/>
      <c r="P143" s="750"/>
      <c r="Q143" s="750"/>
      <c r="R143" s="714" t="s">
        <v>569</v>
      </c>
      <c r="S143" s="98" t="b">
        <f t="shared" ca="1" si="79"/>
        <v>1</v>
      </c>
      <c r="T143" s="1016"/>
      <c r="U143" s="645" t="b">
        <f t="shared" ca="1" si="45"/>
        <v>1</v>
      </c>
      <c r="V143" s="1016"/>
      <c r="W143" s="1016"/>
      <c r="X143" s="1016"/>
      <c r="Y143" s="1382"/>
      <c r="Z143" s="1382"/>
      <c r="AA143" s="646"/>
      <c r="AB143" s="1469"/>
      <c r="AD143" s="99" t="s">
        <v>349</v>
      </c>
      <c r="AE143" s="1460" t="s">
        <v>578</v>
      </c>
      <c r="AF143" s="1461"/>
      <c r="AG143" s="99" t="s">
        <v>388</v>
      </c>
      <c r="AH143" s="678">
        <f t="shared" ref="AH143:BM143" si="82">IFERROR(AH142/AH140,0)</f>
        <v>0</v>
      </c>
      <c r="AI143" s="679">
        <f t="shared" si="82"/>
        <v>0</v>
      </c>
      <c r="AJ143" s="679">
        <f t="shared" si="82"/>
        <v>0</v>
      </c>
      <c r="AK143" s="679">
        <f t="shared" si="82"/>
        <v>0</v>
      </c>
      <c r="AL143" s="679">
        <f t="shared" si="82"/>
        <v>0</v>
      </c>
      <c r="AM143" s="679">
        <f t="shared" si="82"/>
        <v>0</v>
      </c>
      <c r="AN143" s="679">
        <f t="shared" si="82"/>
        <v>0</v>
      </c>
      <c r="AO143" s="679">
        <f t="shared" si="82"/>
        <v>0</v>
      </c>
      <c r="AP143" s="679">
        <f t="shared" si="82"/>
        <v>0</v>
      </c>
      <c r="AQ143" s="679">
        <f t="shared" si="82"/>
        <v>0</v>
      </c>
      <c r="AR143" s="679">
        <f t="shared" si="82"/>
        <v>0</v>
      </c>
      <c r="AS143" s="679">
        <f t="shared" si="82"/>
        <v>0</v>
      </c>
      <c r="AT143" s="679">
        <f t="shared" si="82"/>
        <v>0</v>
      </c>
      <c r="AU143" s="679">
        <f t="shared" si="82"/>
        <v>0</v>
      </c>
      <c r="AV143" s="679">
        <f t="shared" si="82"/>
        <v>0</v>
      </c>
      <c r="AW143" s="679">
        <f t="shared" si="82"/>
        <v>0</v>
      </c>
      <c r="AX143" s="679">
        <f t="shared" si="82"/>
        <v>0</v>
      </c>
      <c r="AY143" s="679">
        <f t="shared" si="82"/>
        <v>0</v>
      </c>
      <c r="AZ143" s="679">
        <f t="shared" si="82"/>
        <v>0</v>
      </c>
      <c r="BA143" s="679">
        <f t="shared" si="82"/>
        <v>0</v>
      </c>
      <c r="BB143" s="679">
        <f t="shared" si="82"/>
        <v>0</v>
      </c>
      <c r="BC143" s="679">
        <f t="shared" si="82"/>
        <v>0</v>
      </c>
      <c r="BD143" s="679">
        <f t="shared" si="82"/>
        <v>0</v>
      </c>
      <c r="BE143" s="679">
        <f t="shared" si="82"/>
        <v>0</v>
      </c>
      <c r="BF143" s="679">
        <f t="shared" si="82"/>
        <v>0</v>
      </c>
      <c r="BG143" s="679">
        <f t="shared" si="82"/>
        <v>0</v>
      </c>
      <c r="BH143" s="679">
        <f t="shared" si="82"/>
        <v>0</v>
      </c>
      <c r="BI143" s="679">
        <f t="shared" si="82"/>
        <v>0</v>
      </c>
      <c r="BJ143" s="679">
        <f t="shared" si="82"/>
        <v>0</v>
      </c>
      <c r="BK143" s="679">
        <f t="shared" si="82"/>
        <v>0</v>
      </c>
      <c r="BL143" s="679">
        <f t="shared" si="82"/>
        <v>0</v>
      </c>
      <c r="BM143" s="679">
        <f t="shared" si="82"/>
        <v>0</v>
      </c>
      <c r="BN143" s="679">
        <f t="shared" ref="BN143:CS143" si="83">IFERROR(BN142/BN140,0)</f>
        <v>0</v>
      </c>
      <c r="BO143" s="679">
        <f t="shared" si="83"/>
        <v>0</v>
      </c>
      <c r="BP143" s="679">
        <f t="shared" si="83"/>
        <v>0</v>
      </c>
      <c r="BQ143" s="679">
        <f t="shared" si="83"/>
        <v>0</v>
      </c>
      <c r="BR143" s="679">
        <f t="shared" si="83"/>
        <v>0</v>
      </c>
      <c r="BS143" s="679">
        <f t="shared" si="83"/>
        <v>0</v>
      </c>
      <c r="BT143" s="679">
        <f t="shared" si="83"/>
        <v>0</v>
      </c>
      <c r="BU143" s="679">
        <f t="shared" si="83"/>
        <v>0</v>
      </c>
      <c r="BV143" s="679">
        <f t="shared" si="83"/>
        <v>0</v>
      </c>
      <c r="BW143" s="679">
        <f t="shared" si="83"/>
        <v>0</v>
      </c>
      <c r="BX143" s="679">
        <f t="shared" si="83"/>
        <v>0</v>
      </c>
      <c r="BY143" s="679">
        <f t="shared" si="83"/>
        <v>0</v>
      </c>
      <c r="BZ143" s="679">
        <f t="shared" si="83"/>
        <v>0</v>
      </c>
      <c r="CA143" s="679">
        <f t="shared" si="83"/>
        <v>0</v>
      </c>
      <c r="CB143" s="679">
        <f t="shared" si="83"/>
        <v>0</v>
      </c>
      <c r="CC143" s="679">
        <f t="shared" si="83"/>
        <v>0</v>
      </c>
      <c r="CD143" s="679">
        <f t="shared" si="83"/>
        <v>0</v>
      </c>
      <c r="CE143" s="679">
        <f t="shared" si="83"/>
        <v>0</v>
      </c>
      <c r="CF143" s="679">
        <f t="shared" si="83"/>
        <v>0</v>
      </c>
      <c r="CG143" s="679">
        <f t="shared" si="83"/>
        <v>0</v>
      </c>
      <c r="CH143" s="679">
        <f t="shared" si="83"/>
        <v>0</v>
      </c>
      <c r="CI143" s="679">
        <f t="shared" si="83"/>
        <v>0</v>
      </c>
      <c r="CJ143" s="679">
        <f t="shared" si="83"/>
        <v>0</v>
      </c>
      <c r="CK143" s="679">
        <f t="shared" si="83"/>
        <v>0</v>
      </c>
      <c r="CL143" s="679">
        <f t="shared" si="83"/>
        <v>0</v>
      </c>
      <c r="CM143" s="679">
        <f t="shared" si="83"/>
        <v>0</v>
      </c>
      <c r="CN143" s="679">
        <f t="shared" si="83"/>
        <v>0</v>
      </c>
      <c r="CO143" s="679">
        <f t="shared" si="83"/>
        <v>0</v>
      </c>
      <c r="CP143" s="679">
        <f t="shared" si="83"/>
        <v>0</v>
      </c>
      <c r="CQ143" s="679">
        <f t="shared" si="83"/>
        <v>0</v>
      </c>
      <c r="CR143" s="679">
        <f t="shared" si="83"/>
        <v>0</v>
      </c>
      <c r="CS143" s="679">
        <f t="shared" si="83"/>
        <v>0</v>
      </c>
      <c r="CT143" s="1106"/>
      <c r="CW143" s="902" t="s">
        <v>579</v>
      </c>
      <c r="CX143" s="907"/>
      <c r="CY143" s="907"/>
      <c r="CZ143" s="907"/>
      <c r="DA143" s="908"/>
      <c r="DB143" s="908"/>
    </row>
    <row r="144" spans="1:106" s="1057" customFormat="1" ht="16.5" customHeight="1">
      <c r="A144" s="769"/>
      <c r="B144" s="718"/>
      <c r="C144" s="1016"/>
      <c r="D144" s="1016"/>
      <c r="E144" s="623">
        <v>17.100000000000001</v>
      </c>
      <c r="F144" s="714" t="str">
        <f t="shared" ca="1" si="78"/>
        <v>1</v>
      </c>
      <c r="G144" s="750"/>
      <c r="H144" s="750"/>
      <c r="I144" s="750"/>
      <c r="J144" s="750"/>
      <c r="K144" s="750"/>
      <c r="L144" s="750"/>
      <c r="M144" s="750"/>
      <c r="N144" s="750"/>
      <c r="O144" s="750"/>
      <c r="P144" s="750"/>
      <c r="Q144" s="750"/>
      <c r="R144" s="714" t="s">
        <v>569</v>
      </c>
      <c r="S144" s="98" t="b">
        <f t="shared" ca="1" si="79"/>
        <v>1</v>
      </c>
      <c r="T144" s="1016"/>
      <c r="U144" s="645" t="b">
        <f t="shared" ca="1" si="45"/>
        <v>1</v>
      </c>
      <c r="V144" s="1016"/>
      <c r="W144" s="1016"/>
      <c r="X144" s="1016"/>
      <c r="Y144" s="1382"/>
      <c r="Z144" s="1382"/>
      <c r="AA144" s="646"/>
      <c r="AB144" s="1469"/>
      <c r="AD144" s="99" t="s">
        <v>373</v>
      </c>
      <c r="AE144" s="1455" t="s">
        <v>580</v>
      </c>
      <c r="AF144" s="1456"/>
      <c r="AG144" s="99" t="s">
        <v>572</v>
      </c>
      <c r="AH144" s="1117"/>
      <c r="AI144" s="1118"/>
      <c r="AJ144" s="1118"/>
      <c r="AK144" s="1118"/>
      <c r="AL144" s="674">
        <f>AM144+AN144</f>
        <v>0</v>
      </c>
      <c r="AM144" s="1118"/>
      <c r="AN144" s="1118"/>
      <c r="AO144" s="674">
        <f>AP144+AQ144</f>
        <v>0</v>
      </c>
      <c r="AP144" s="1111"/>
      <c r="AQ144" s="1111"/>
      <c r="AR144" s="674">
        <f>AS144+AT144</f>
        <v>0</v>
      </c>
      <c r="AS144" s="1111"/>
      <c r="AT144" s="1111"/>
      <c r="AU144" s="674">
        <f>AV144+AW144</f>
        <v>0</v>
      </c>
      <c r="AV144" s="1118"/>
      <c r="AW144" s="1118"/>
      <c r="AX144" s="674">
        <f>AY144+AZ144</f>
        <v>0</v>
      </c>
      <c r="AY144" s="1118"/>
      <c r="AZ144" s="1118"/>
      <c r="BA144" s="674">
        <f>BB144+BC144</f>
        <v>0</v>
      </c>
      <c r="BB144" s="1118"/>
      <c r="BC144" s="1118"/>
      <c r="BD144" s="674">
        <f>BE144+BF144</f>
        <v>0</v>
      </c>
      <c r="BE144" s="1118"/>
      <c r="BF144" s="1118"/>
      <c r="BG144" s="674">
        <f>BH144+BI144</f>
        <v>0</v>
      </c>
      <c r="BH144" s="1118"/>
      <c r="BI144" s="1118"/>
      <c r="BJ144" s="674">
        <f>BK144+BL144</f>
        <v>0</v>
      </c>
      <c r="BK144" s="1118"/>
      <c r="BL144" s="1118"/>
      <c r="BM144" s="674">
        <f>BN144+BO144</f>
        <v>0</v>
      </c>
      <c r="BN144" s="1118"/>
      <c r="BO144" s="1118"/>
      <c r="BP144" s="674">
        <f>BQ144+BR144</f>
        <v>0</v>
      </c>
      <c r="BQ144" s="762"/>
      <c r="BR144" s="762"/>
      <c r="BS144" s="674">
        <f>BT144+BU144</f>
        <v>0</v>
      </c>
      <c r="BT144" s="1111"/>
      <c r="BU144" s="1111"/>
      <c r="BV144" s="674">
        <f>BW144+BX144</f>
        <v>0</v>
      </c>
      <c r="BW144" s="1111"/>
      <c r="BX144" s="1111"/>
      <c r="BY144" s="674">
        <f>BZ144+CA144</f>
        <v>0</v>
      </c>
      <c r="BZ144" s="1118"/>
      <c r="CA144" s="1118"/>
      <c r="CB144" s="674">
        <f>CC144+CD144</f>
        <v>0</v>
      </c>
      <c r="CC144" s="1118"/>
      <c r="CD144" s="1118"/>
      <c r="CE144" s="674">
        <f>CF144+CG144</f>
        <v>0</v>
      </c>
      <c r="CF144" s="1118"/>
      <c r="CG144" s="1118"/>
      <c r="CH144" s="674">
        <f>CI144+CJ144</f>
        <v>0</v>
      </c>
      <c r="CI144" s="1118"/>
      <c r="CJ144" s="1118"/>
      <c r="CK144" s="674">
        <f>CL144+CM144</f>
        <v>0</v>
      </c>
      <c r="CL144" s="1118"/>
      <c r="CM144" s="1118"/>
      <c r="CN144" s="674">
        <f>CO144+CP144</f>
        <v>0</v>
      </c>
      <c r="CO144" s="1118"/>
      <c r="CP144" s="1118"/>
      <c r="CQ144" s="674">
        <f>CR144+CS144</f>
        <v>0</v>
      </c>
      <c r="CR144" s="1118"/>
      <c r="CS144" s="1118"/>
      <c r="CT144" s="1106"/>
      <c r="CW144" s="902" t="s">
        <v>581</v>
      </c>
      <c r="CX144" s="907"/>
      <c r="CY144" s="907"/>
      <c r="CZ144" s="907"/>
      <c r="DA144" s="908"/>
      <c r="DB144" s="908"/>
    </row>
    <row r="145" spans="1:106" s="1057" customFormat="1" ht="16.5" customHeight="1">
      <c r="A145" s="769"/>
      <c r="B145" s="718"/>
      <c r="C145" s="1016"/>
      <c r="D145" s="1016"/>
      <c r="E145" s="623">
        <v>17.100000000000001</v>
      </c>
      <c r="F145" s="714" t="str">
        <f t="shared" ca="1" si="78"/>
        <v>1</v>
      </c>
      <c r="G145" s="750"/>
      <c r="H145" s="750"/>
      <c r="I145" s="750"/>
      <c r="J145" s="750"/>
      <c r="K145" s="750"/>
      <c r="L145" s="750"/>
      <c r="M145" s="750"/>
      <c r="N145" s="750"/>
      <c r="O145" s="750"/>
      <c r="P145" s="750"/>
      <c r="Q145" s="750"/>
      <c r="R145" s="714" t="s">
        <v>569</v>
      </c>
      <c r="S145" s="98" t="b">
        <f t="shared" ca="1" si="79"/>
        <v>1</v>
      </c>
      <c r="T145" s="1016"/>
      <c r="U145" s="645" t="b">
        <f t="shared" ca="1" si="45"/>
        <v>1</v>
      </c>
      <c r="V145" s="1016"/>
      <c r="W145" s="1016"/>
      <c r="X145" s="1016"/>
      <c r="Y145" s="1382"/>
      <c r="Z145" s="1382"/>
      <c r="AA145" s="646"/>
      <c r="AB145" s="1469"/>
      <c r="AD145" s="99" t="s">
        <v>582</v>
      </c>
      <c r="AE145" s="1460" t="s">
        <v>583</v>
      </c>
      <c r="AF145" s="1461"/>
      <c r="AG145" s="99" t="s">
        <v>584</v>
      </c>
      <c r="AH145" s="1117"/>
      <c r="AI145" s="1118"/>
      <c r="AJ145" s="1118"/>
      <c r="AK145" s="1118"/>
      <c r="AL145" s="1118"/>
      <c r="AM145" s="1118"/>
      <c r="AN145" s="1118"/>
      <c r="AO145" s="1111"/>
      <c r="AP145" s="1111"/>
      <c r="AQ145" s="1111"/>
      <c r="AR145" s="1111"/>
      <c r="AS145" s="1111"/>
      <c r="AT145" s="1111"/>
      <c r="AU145" s="1118"/>
      <c r="AV145" s="1118"/>
      <c r="AW145" s="1118"/>
      <c r="AX145" s="1118"/>
      <c r="AY145" s="1118"/>
      <c r="AZ145" s="1118"/>
      <c r="BA145" s="1118"/>
      <c r="BB145" s="1118"/>
      <c r="BC145" s="1118"/>
      <c r="BD145" s="1118"/>
      <c r="BE145" s="1118"/>
      <c r="BF145" s="1118"/>
      <c r="BG145" s="1118"/>
      <c r="BH145" s="1118"/>
      <c r="BI145" s="1118"/>
      <c r="BJ145" s="1118"/>
      <c r="BK145" s="1118"/>
      <c r="BL145" s="1118"/>
      <c r="BM145" s="1118"/>
      <c r="BN145" s="1118"/>
      <c r="BO145" s="1118"/>
      <c r="BP145" s="762"/>
      <c r="BQ145" s="762"/>
      <c r="BR145" s="762"/>
      <c r="BS145" s="1111"/>
      <c r="BT145" s="1111"/>
      <c r="BU145" s="1111"/>
      <c r="BV145" s="1111"/>
      <c r="BW145" s="1111"/>
      <c r="BX145" s="1111"/>
      <c r="BY145" s="1118"/>
      <c r="BZ145" s="1118"/>
      <c r="CA145" s="1118"/>
      <c r="CB145" s="1118"/>
      <c r="CC145" s="1118"/>
      <c r="CD145" s="1118"/>
      <c r="CE145" s="1118"/>
      <c r="CF145" s="1118"/>
      <c r="CG145" s="1118"/>
      <c r="CH145" s="1118"/>
      <c r="CI145" s="1118"/>
      <c r="CJ145" s="1118"/>
      <c r="CK145" s="1118"/>
      <c r="CL145" s="1118"/>
      <c r="CM145" s="1118"/>
      <c r="CN145" s="1118"/>
      <c r="CO145" s="1118"/>
      <c r="CP145" s="1118"/>
      <c r="CQ145" s="1118"/>
      <c r="CR145" s="1118"/>
      <c r="CS145" s="1118"/>
      <c r="CT145" s="1106"/>
      <c r="CW145" s="902" t="s">
        <v>585</v>
      </c>
      <c r="CX145" s="907"/>
      <c r="CY145" s="907"/>
      <c r="CZ145" s="907"/>
      <c r="DA145" s="908"/>
      <c r="DB145" s="908"/>
    </row>
    <row r="146" spans="1:106" s="1057" customFormat="1" ht="16.5" customHeight="1">
      <c r="A146" s="769"/>
      <c r="B146" s="718"/>
      <c r="C146" s="1016"/>
      <c r="D146" s="1016"/>
      <c r="E146" s="623">
        <v>17.100000000000001</v>
      </c>
      <c r="F146" s="714" t="str">
        <f t="shared" ca="1" si="78"/>
        <v>1</v>
      </c>
      <c r="G146" s="750"/>
      <c r="H146" s="750"/>
      <c r="I146" s="750"/>
      <c r="J146" s="750"/>
      <c r="K146" s="750"/>
      <c r="L146" s="750"/>
      <c r="M146" s="750"/>
      <c r="N146" s="750"/>
      <c r="O146" s="750"/>
      <c r="P146" s="750"/>
      <c r="Q146" s="750"/>
      <c r="R146" s="714" t="s">
        <v>569</v>
      </c>
      <c r="S146" s="98" t="b">
        <f t="shared" ca="1" si="79"/>
        <v>1</v>
      </c>
      <c r="T146" s="1016"/>
      <c r="U146" s="645" t="b">
        <f t="shared" ca="1" si="45"/>
        <v>1</v>
      </c>
      <c r="V146" s="1016"/>
      <c r="W146" s="1016"/>
      <c r="X146" s="1016"/>
      <c r="Y146" s="1382"/>
      <c r="Z146" s="1382"/>
      <c r="AA146" s="646"/>
      <c r="AB146" s="1469"/>
      <c r="AD146" s="99">
        <v>3</v>
      </c>
      <c r="AE146" s="1443" t="s">
        <v>586</v>
      </c>
      <c r="AF146" s="1444"/>
      <c r="AG146" s="99" t="s">
        <v>572</v>
      </c>
      <c r="AH146" s="672">
        <f t="shared" ref="AH146:BM146" si="84">AH140-AH141</f>
        <v>0</v>
      </c>
      <c r="AI146" s="674">
        <f t="shared" si="84"/>
        <v>0</v>
      </c>
      <c r="AJ146" s="674">
        <f t="shared" si="84"/>
        <v>0</v>
      </c>
      <c r="AK146" s="674">
        <f t="shared" si="84"/>
        <v>0</v>
      </c>
      <c r="AL146" s="674">
        <f t="shared" si="84"/>
        <v>0</v>
      </c>
      <c r="AM146" s="674">
        <f t="shared" si="84"/>
        <v>0</v>
      </c>
      <c r="AN146" s="674">
        <f t="shared" si="84"/>
        <v>0</v>
      </c>
      <c r="AO146" s="674">
        <f t="shared" si="84"/>
        <v>0</v>
      </c>
      <c r="AP146" s="674">
        <f t="shared" si="84"/>
        <v>0</v>
      </c>
      <c r="AQ146" s="674">
        <f t="shared" si="84"/>
        <v>0</v>
      </c>
      <c r="AR146" s="674">
        <f t="shared" si="84"/>
        <v>0</v>
      </c>
      <c r="AS146" s="674">
        <f t="shared" si="84"/>
        <v>0</v>
      </c>
      <c r="AT146" s="674">
        <f t="shared" si="84"/>
        <v>0</v>
      </c>
      <c r="AU146" s="674">
        <f t="shared" si="84"/>
        <v>0</v>
      </c>
      <c r="AV146" s="674">
        <f t="shared" si="84"/>
        <v>0</v>
      </c>
      <c r="AW146" s="674">
        <f t="shared" si="84"/>
        <v>0</v>
      </c>
      <c r="AX146" s="674">
        <f t="shared" si="84"/>
        <v>0</v>
      </c>
      <c r="AY146" s="674">
        <f t="shared" si="84"/>
        <v>0</v>
      </c>
      <c r="AZ146" s="674">
        <f t="shared" si="84"/>
        <v>0</v>
      </c>
      <c r="BA146" s="674">
        <f t="shared" si="84"/>
        <v>0</v>
      </c>
      <c r="BB146" s="674">
        <f t="shared" si="84"/>
        <v>0</v>
      </c>
      <c r="BC146" s="674">
        <f t="shared" si="84"/>
        <v>0</v>
      </c>
      <c r="BD146" s="674">
        <f t="shared" si="84"/>
        <v>0</v>
      </c>
      <c r="BE146" s="674">
        <f t="shared" si="84"/>
        <v>0</v>
      </c>
      <c r="BF146" s="674">
        <f t="shared" si="84"/>
        <v>0</v>
      </c>
      <c r="BG146" s="674">
        <f t="shared" si="84"/>
        <v>0</v>
      </c>
      <c r="BH146" s="674">
        <f t="shared" si="84"/>
        <v>0</v>
      </c>
      <c r="BI146" s="674">
        <f t="shared" si="84"/>
        <v>0</v>
      </c>
      <c r="BJ146" s="674">
        <f t="shared" si="84"/>
        <v>0</v>
      </c>
      <c r="BK146" s="674">
        <f t="shared" si="84"/>
        <v>0</v>
      </c>
      <c r="BL146" s="674">
        <f t="shared" si="84"/>
        <v>0</v>
      </c>
      <c r="BM146" s="674">
        <f t="shared" si="84"/>
        <v>0</v>
      </c>
      <c r="BN146" s="674">
        <f t="shared" ref="BN146:CS146" si="85">BN140-BN141</f>
        <v>0</v>
      </c>
      <c r="BO146" s="674">
        <f t="shared" si="85"/>
        <v>0</v>
      </c>
      <c r="BP146" s="674">
        <f t="shared" si="85"/>
        <v>0</v>
      </c>
      <c r="BQ146" s="674">
        <f t="shared" si="85"/>
        <v>0</v>
      </c>
      <c r="BR146" s="674">
        <f t="shared" si="85"/>
        <v>0</v>
      </c>
      <c r="BS146" s="674">
        <f t="shared" si="85"/>
        <v>0</v>
      </c>
      <c r="BT146" s="674">
        <f t="shared" si="85"/>
        <v>0</v>
      </c>
      <c r="BU146" s="674">
        <f t="shared" si="85"/>
        <v>0</v>
      </c>
      <c r="BV146" s="674">
        <f t="shared" si="85"/>
        <v>0</v>
      </c>
      <c r="BW146" s="674">
        <f t="shared" si="85"/>
        <v>0</v>
      </c>
      <c r="BX146" s="674">
        <f t="shared" si="85"/>
        <v>0</v>
      </c>
      <c r="BY146" s="674">
        <f t="shared" si="85"/>
        <v>0</v>
      </c>
      <c r="BZ146" s="674">
        <f t="shared" si="85"/>
        <v>0</v>
      </c>
      <c r="CA146" s="674">
        <f t="shared" si="85"/>
        <v>0</v>
      </c>
      <c r="CB146" s="674">
        <f t="shared" si="85"/>
        <v>0</v>
      </c>
      <c r="CC146" s="674">
        <f t="shared" si="85"/>
        <v>0</v>
      </c>
      <c r="CD146" s="674">
        <f t="shared" si="85"/>
        <v>0</v>
      </c>
      <c r="CE146" s="674">
        <f t="shared" si="85"/>
        <v>0</v>
      </c>
      <c r="CF146" s="674">
        <f t="shared" si="85"/>
        <v>0</v>
      </c>
      <c r="CG146" s="674">
        <f t="shared" si="85"/>
        <v>0</v>
      </c>
      <c r="CH146" s="674">
        <f t="shared" si="85"/>
        <v>0</v>
      </c>
      <c r="CI146" s="674">
        <f t="shared" si="85"/>
        <v>0</v>
      </c>
      <c r="CJ146" s="674">
        <f t="shared" si="85"/>
        <v>0</v>
      </c>
      <c r="CK146" s="674">
        <f t="shared" si="85"/>
        <v>0</v>
      </c>
      <c r="CL146" s="674">
        <f t="shared" si="85"/>
        <v>0</v>
      </c>
      <c r="CM146" s="674">
        <f t="shared" si="85"/>
        <v>0</v>
      </c>
      <c r="CN146" s="674">
        <f t="shared" si="85"/>
        <v>0</v>
      </c>
      <c r="CO146" s="674">
        <f t="shared" si="85"/>
        <v>0</v>
      </c>
      <c r="CP146" s="674">
        <f t="shared" si="85"/>
        <v>0</v>
      </c>
      <c r="CQ146" s="674">
        <f t="shared" si="85"/>
        <v>0</v>
      </c>
      <c r="CR146" s="674">
        <f t="shared" si="85"/>
        <v>0</v>
      </c>
      <c r="CS146" s="674">
        <f t="shared" si="85"/>
        <v>0</v>
      </c>
      <c r="CT146" s="1106"/>
      <c r="CW146" s="902" t="s">
        <v>587</v>
      </c>
      <c r="CX146" s="907"/>
      <c r="CY146" s="907"/>
      <c r="CZ146" s="907"/>
      <c r="DA146" s="908"/>
      <c r="DB146" s="908"/>
    </row>
    <row r="147" spans="1:106" s="1057" customFormat="1" ht="16.5" customHeight="1">
      <c r="A147" s="769"/>
      <c r="B147" s="718"/>
      <c r="C147" s="1016"/>
      <c r="D147" s="1016"/>
      <c r="E147" s="623">
        <v>17.100000000000001</v>
      </c>
      <c r="F147" s="714" t="str">
        <f t="shared" ca="1" si="78"/>
        <v>1</v>
      </c>
      <c r="G147" s="750"/>
      <c r="H147" s="750"/>
      <c r="I147" s="750"/>
      <c r="J147" s="750"/>
      <c r="K147" s="750"/>
      <c r="L147" s="750"/>
      <c r="M147" s="750"/>
      <c r="N147" s="750"/>
      <c r="O147" s="750"/>
      <c r="P147" s="750"/>
      <c r="Q147" s="750"/>
      <c r="R147" s="714" t="s">
        <v>569</v>
      </c>
      <c r="S147" s="98" t="b">
        <f t="shared" ca="1" si="79"/>
        <v>1</v>
      </c>
      <c r="T147" s="1016"/>
      <c r="U147" s="645" t="b">
        <f t="shared" ca="1" si="45"/>
        <v>1</v>
      </c>
      <c r="V147" s="1016"/>
      <c r="W147" s="1016"/>
      <c r="X147" s="1016"/>
      <c r="Y147" s="1382"/>
      <c r="Z147" s="1382"/>
      <c r="AA147" s="646"/>
      <c r="AB147" s="1469"/>
      <c r="AD147" s="99">
        <v>4</v>
      </c>
      <c r="AE147" s="1443" t="s">
        <v>588</v>
      </c>
      <c r="AF147" s="1444"/>
      <c r="AG147" s="99" t="s">
        <v>572</v>
      </c>
      <c r="AH147" s="1117"/>
      <c r="AI147" s="1118"/>
      <c r="AJ147" s="1118"/>
      <c r="AK147" s="1118"/>
      <c r="AL147" s="674">
        <f>AM147+AN147</f>
        <v>0</v>
      </c>
      <c r="AM147" s="1118"/>
      <c r="AN147" s="1118"/>
      <c r="AO147" s="674">
        <f>AP147+AQ147</f>
        <v>0</v>
      </c>
      <c r="AP147" s="1111"/>
      <c r="AQ147" s="1111"/>
      <c r="AR147" s="674">
        <f>AS147+AT147</f>
        <v>0</v>
      </c>
      <c r="AS147" s="1111"/>
      <c r="AT147" s="1111"/>
      <c r="AU147" s="674">
        <f>AV147+AW147</f>
        <v>0</v>
      </c>
      <c r="AV147" s="1118"/>
      <c r="AW147" s="1118"/>
      <c r="AX147" s="674">
        <f>AY147+AZ147</f>
        <v>0</v>
      </c>
      <c r="AY147" s="1118"/>
      <c r="AZ147" s="1118"/>
      <c r="BA147" s="674">
        <f>BB147+BC147</f>
        <v>0</v>
      </c>
      <c r="BB147" s="1118"/>
      <c r="BC147" s="1118"/>
      <c r="BD147" s="674">
        <f>BE147+BF147</f>
        <v>0</v>
      </c>
      <c r="BE147" s="1118"/>
      <c r="BF147" s="1118"/>
      <c r="BG147" s="674">
        <f>BH147+BI147</f>
        <v>0</v>
      </c>
      <c r="BH147" s="1118"/>
      <c r="BI147" s="1118"/>
      <c r="BJ147" s="674">
        <f>BK147+BL147</f>
        <v>0</v>
      </c>
      <c r="BK147" s="1118"/>
      <c r="BL147" s="1118"/>
      <c r="BM147" s="674">
        <f>BN147+BO147</f>
        <v>0</v>
      </c>
      <c r="BN147" s="1118"/>
      <c r="BO147" s="1118"/>
      <c r="BP147" s="674">
        <f>BQ147+BR147</f>
        <v>0</v>
      </c>
      <c r="BQ147" s="762"/>
      <c r="BR147" s="762"/>
      <c r="BS147" s="674">
        <f>BT147+BU147</f>
        <v>0</v>
      </c>
      <c r="BT147" s="1111"/>
      <c r="BU147" s="1111"/>
      <c r="BV147" s="674">
        <f>BW147+BX147</f>
        <v>0</v>
      </c>
      <c r="BW147" s="1111"/>
      <c r="BX147" s="1111"/>
      <c r="BY147" s="674">
        <f>BZ147+CA147</f>
        <v>0</v>
      </c>
      <c r="BZ147" s="1118"/>
      <c r="CA147" s="1118"/>
      <c r="CB147" s="674">
        <f>CC147+CD147</f>
        <v>0</v>
      </c>
      <c r="CC147" s="1118"/>
      <c r="CD147" s="1118"/>
      <c r="CE147" s="674">
        <f>CF147+CG147</f>
        <v>0</v>
      </c>
      <c r="CF147" s="1118"/>
      <c r="CG147" s="1118"/>
      <c r="CH147" s="674">
        <f>CI147+CJ147</f>
        <v>0</v>
      </c>
      <c r="CI147" s="1118"/>
      <c r="CJ147" s="1118"/>
      <c r="CK147" s="674">
        <f>CL147+CM147</f>
        <v>0</v>
      </c>
      <c r="CL147" s="1118"/>
      <c r="CM147" s="1118"/>
      <c r="CN147" s="674">
        <f>CO147+CP147</f>
        <v>0</v>
      </c>
      <c r="CO147" s="1118"/>
      <c r="CP147" s="1118"/>
      <c r="CQ147" s="674">
        <f>CR147+CS147</f>
        <v>0</v>
      </c>
      <c r="CR147" s="1118"/>
      <c r="CS147" s="1118"/>
      <c r="CT147" s="1106"/>
      <c r="CW147" s="902" t="s">
        <v>589</v>
      </c>
      <c r="CX147" s="907"/>
      <c r="CY147" s="907"/>
      <c r="CZ147" s="907"/>
      <c r="DA147" s="908"/>
      <c r="DB147" s="908"/>
    </row>
    <row r="148" spans="1:106" s="1057" customFormat="1" ht="16.5" customHeight="1">
      <c r="A148" s="769"/>
      <c r="B148" s="718"/>
      <c r="C148" s="1016"/>
      <c r="D148" s="1016"/>
      <c r="E148" s="623">
        <v>17.100000000000001</v>
      </c>
      <c r="F148" s="714" t="str">
        <f t="shared" ca="1" si="78"/>
        <v>1</v>
      </c>
      <c r="G148" s="750"/>
      <c r="H148" s="750"/>
      <c r="I148" s="750"/>
      <c r="J148" s="750"/>
      <c r="K148" s="750"/>
      <c r="L148" s="750"/>
      <c r="M148" s="750"/>
      <c r="N148" s="750"/>
      <c r="O148" s="750"/>
      <c r="P148" s="750"/>
      <c r="Q148" s="750"/>
      <c r="R148" s="714" t="s">
        <v>569</v>
      </c>
      <c r="S148" s="98" t="b">
        <f t="shared" ca="1" si="79"/>
        <v>1</v>
      </c>
      <c r="T148" s="1016"/>
      <c r="U148" s="645" t="b">
        <f t="shared" ca="1" si="45"/>
        <v>1</v>
      </c>
      <c r="V148" s="1016"/>
      <c r="W148" s="1016"/>
      <c r="X148" s="1016"/>
      <c r="Y148" s="1382"/>
      <c r="Z148" s="1382"/>
      <c r="AA148" s="646"/>
      <c r="AB148" s="1469"/>
      <c r="AD148" s="99" t="s">
        <v>530</v>
      </c>
      <c r="AE148" s="1455" t="s">
        <v>590</v>
      </c>
      <c r="AF148" s="1456"/>
      <c r="AG148" s="99" t="s">
        <v>388</v>
      </c>
      <c r="AH148" s="678">
        <f t="shared" ref="AH148:BM148" si="86">IFERROR(AH147/AH146,0)</f>
        <v>0</v>
      </c>
      <c r="AI148" s="679">
        <f t="shared" si="86"/>
        <v>0</v>
      </c>
      <c r="AJ148" s="679">
        <f t="shared" si="86"/>
        <v>0</v>
      </c>
      <c r="AK148" s="679">
        <f t="shared" si="86"/>
        <v>0</v>
      </c>
      <c r="AL148" s="679">
        <f t="shared" si="86"/>
        <v>0</v>
      </c>
      <c r="AM148" s="679">
        <f t="shared" si="86"/>
        <v>0</v>
      </c>
      <c r="AN148" s="679">
        <f t="shared" si="86"/>
        <v>0</v>
      </c>
      <c r="AO148" s="679">
        <f t="shared" si="86"/>
        <v>0</v>
      </c>
      <c r="AP148" s="679">
        <f t="shared" si="86"/>
        <v>0</v>
      </c>
      <c r="AQ148" s="679">
        <f t="shared" si="86"/>
        <v>0</v>
      </c>
      <c r="AR148" s="679">
        <f t="shared" si="86"/>
        <v>0</v>
      </c>
      <c r="AS148" s="679">
        <f t="shared" si="86"/>
        <v>0</v>
      </c>
      <c r="AT148" s="679">
        <f t="shared" si="86"/>
        <v>0</v>
      </c>
      <c r="AU148" s="679">
        <f t="shared" si="86"/>
        <v>0</v>
      </c>
      <c r="AV148" s="679">
        <f t="shared" si="86"/>
        <v>0</v>
      </c>
      <c r="AW148" s="679">
        <f t="shared" si="86"/>
        <v>0</v>
      </c>
      <c r="AX148" s="679">
        <f t="shared" si="86"/>
        <v>0</v>
      </c>
      <c r="AY148" s="679">
        <f t="shared" si="86"/>
        <v>0</v>
      </c>
      <c r="AZ148" s="679">
        <f t="shared" si="86"/>
        <v>0</v>
      </c>
      <c r="BA148" s="679">
        <f t="shared" si="86"/>
        <v>0</v>
      </c>
      <c r="BB148" s="679">
        <f t="shared" si="86"/>
        <v>0</v>
      </c>
      <c r="BC148" s="679">
        <f t="shared" si="86"/>
        <v>0</v>
      </c>
      <c r="BD148" s="679">
        <f t="shared" si="86"/>
        <v>0</v>
      </c>
      <c r="BE148" s="679">
        <f t="shared" si="86"/>
        <v>0</v>
      </c>
      <c r="BF148" s="679">
        <f t="shared" si="86"/>
        <v>0</v>
      </c>
      <c r="BG148" s="679">
        <f t="shared" si="86"/>
        <v>0</v>
      </c>
      <c r="BH148" s="679">
        <f t="shared" si="86"/>
        <v>0</v>
      </c>
      <c r="BI148" s="679">
        <f t="shared" si="86"/>
        <v>0</v>
      </c>
      <c r="BJ148" s="679">
        <f t="shared" si="86"/>
        <v>0</v>
      </c>
      <c r="BK148" s="679">
        <f t="shared" si="86"/>
        <v>0</v>
      </c>
      <c r="BL148" s="679">
        <f t="shared" si="86"/>
        <v>0</v>
      </c>
      <c r="BM148" s="679">
        <f t="shared" si="86"/>
        <v>0</v>
      </c>
      <c r="BN148" s="679">
        <f t="shared" ref="BN148:CS148" si="87">IFERROR(BN147/BN146,0)</f>
        <v>0</v>
      </c>
      <c r="BO148" s="679">
        <f t="shared" si="87"/>
        <v>0</v>
      </c>
      <c r="BP148" s="679">
        <f t="shared" si="87"/>
        <v>0</v>
      </c>
      <c r="BQ148" s="679">
        <f t="shared" si="87"/>
        <v>0</v>
      </c>
      <c r="BR148" s="679">
        <f t="shared" si="87"/>
        <v>0</v>
      </c>
      <c r="BS148" s="679">
        <f t="shared" si="87"/>
        <v>0</v>
      </c>
      <c r="BT148" s="679">
        <f t="shared" si="87"/>
        <v>0</v>
      </c>
      <c r="BU148" s="679">
        <f t="shared" si="87"/>
        <v>0</v>
      </c>
      <c r="BV148" s="679">
        <f t="shared" si="87"/>
        <v>0</v>
      </c>
      <c r="BW148" s="679">
        <f t="shared" si="87"/>
        <v>0</v>
      </c>
      <c r="BX148" s="679">
        <f t="shared" si="87"/>
        <v>0</v>
      </c>
      <c r="BY148" s="679">
        <f t="shared" si="87"/>
        <v>0</v>
      </c>
      <c r="BZ148" s="679">
        <f t="shared" si="87"/>
        <v>0</v>
      </c>
      <c r="CA148" s="679">
        <f t="shared" si="87"/>
        <v>0</v>
      </c>
      <c r="CB148" s="679">
        <f t="shared" si="87"/>
        <v>0</v>
      </c>
      <c r="CC148" s="679">
        <f t="shared" si="87"/>
        <v>0</v>
      </c>
      <c r="CD148" s="679">
        <f t="shared" si="87"/>
        <v>0</v>
      </c>
      <c r="CE148" s="679">
        <f t="shared" si="87"/>
        <v>0</v>
      </c>
      <c r="CF148" s="679">
        <f t="shared" si="87"/>
        <v>0</v>
      </c>
      <c r="CG148" s="679">
        <f t="shared" si="87"/>
        <v>0</v>
      </c>
      <c r="CH148" s="679">
        <f t="shared" si="87"/>
        <v>0</v>
      </c>
      <c r="CI148" s="679">
        <f t="shared" si="87"/>
        <v>0</v>
      </c>
      <c r="CJ148" s="679">
        <f t="shared" si="87"/>
        <v>0</v>
      </c>
      <c r="CK148" s="679">
        <f t="shared" si="87"/>
        <v>0</v>
      </c>
      <c r="CL148" s="679">
        <f t="shared" si="87"/>
        <v>0</v>
      </c>
      <c r="CM148" s="679">
        <f t="shared" si="87"/>
        <v>0</v>
      </c>
      <c r="CN148" s="679">
        <f t="shared" si="87"/>
        <v>0</v>
      </c>
      <c r="CO148" s="679">
        <f t="shared" si="87"/>
        <v>0</v>
      </c>
      <c r="CP148" s="679">
        <f t="shared" si="87"/>
        <v>0</v>
      </c>
      <c r="CQ148" s="679">
        <f t="shared" si="87"/>
        <v>0</v>
      </c>
      <c r="CR148" s="679">
        <f t="shared" si="87"/>
        <v>0</v>
      </c>
      <c r="CS148" s="679">
        <f t="shared" si="87"/>
        <v>0</v>
      </c>
      <c r="CT148" s="1106"/>
      <c r="CW148" s="902" t="s">
        <v>591</v>
      </c>
      <c r="CX148" s="907"/>
      <c r="CY148" s="907"/>
      <c r="CZ148" s="907"/>
      <c r="DA148" s="908"/>
      <c r="DB148" s="908"/>
    </row>
    <row r="149" spans="1:106" s="1057" customFormat="1" ht="16.5" customHeight="1">
      <c r="A149" s="769"/>
      <c r="B149" s="718"/>
      <c r="C149" s="1016"/>
      <c r="D149" s="1016"/>
      <c r="E149" s="623">
        <v>17.100000000000001</v>
      </c>
      <c r="F149" s="714" t="str">
        <f t="shared" ca="1" si="78"/>
        <v>1</v>
      </c>
      <c r="G149" s="750"/>
      <c r="H149" s="750"/>
      <c r="I149" s="750"/>
      <c r="J149" s="750"/>
      <c r="K149" s="750"/>
      <c r="L149" s="750"/>
      <c r="M149" s="750"/>
      <c r="N149" s="750"/>
      <c r="O149" s="750"/>
      <c r="P149" s="750"/>
      <c r="Q149" s="750"/>
      <c r="R149" s="714" t="s">
        <v>569</v>
      </c>
      <c r="S149" s="98" t="b">
        <f t="shared" ca="1" si="79"/>
        <v>1</v>
      </c>
      <c r="T149" s="1016"/>
      <c r="U149" s="645" t="b">
        <f t="shared" ca="1" si="45"/>
        <v>1</v>
      </c>
      <c r="V149" s="1016"/>
      <c r="W149" s="1016"/>
      <c r="X149" s="1016"/>
      <c r="Y149" s="1382"/>
      <c r="Z149" s="1382"/>
      <c r="AA149" s="646"/>
      <c r="AB149" s="1469"/>
      <c r="AD149" s="99">
        <v>5</v>
      </c>
      <c r="AE149" s="1462" t="s">
        <v>592</v>
      </c>
      <c r="AF149" s="1463"/>
      <c r="AG149" s="99" t="s">
        <v>572</v>
      </c>
      <c r="AH149" s="1117"/>
      <c r="AI149" s="1118"/>
      <c r="AJ149" s="1118"/>
      <c r="AK149" s="1118"/>
      <c r="AL149" s="674">
        <f>AM149+AN149</f>
        <v>0</v>
      </c>
      <c r="AM149" s="1118"/>
      <c r="AN149" s="1118"/>
      <c r="AO149" s="674">
        <f>AP149+AQ149</f>
        <v>0</v>
      </c>
      <c r="AP149" s="1111"/>
      <c r="AQ149" s="1111"/>
      <c r="AR149" s="674">
        <f>AS149+AT149</f>
        <v>0</v>
      </c>
      <c r="AS149" s="1111"/>
      <c r="AT149" s="1111"/>
      <c r="AU149" s="674">
        <f>AV149+AW149</f>
        <v>0</v>
      </c>
      <c r="AV149" s="1118"/>
      <c r="AW149" s="1118"/>
      <c r="AX149" s="674">
        <f>AY149+AZ149</f>
        <v>0</v>
      </c>
      <c r="AY149" s="1118"/>
      <c r="AZ149" s="1118"/>
      <c r="BA149" s="674">
        <f>BB149+BC149</f>
        <v>0</v>
      </c>
      <c r="BB149" s="1118"/>
      <c r="BC149" s="1118"/>
      <c r="BD149" s="674">
        <f>BE149+BF149</f>
        <v>0</v>
      </c>
      <c r="BE149" s="1118"/>
      <c r="BF149" s="1118"/>
      <c r="BG149" s="674">
        <f>BH149+BI149</f>
        <v>0</v>
      </c>
      <c r="BH149" s="1118"/>
      <c r="BI149" s="1118"/>
      <c r="BJ149" s="674">
        <f>BK149+BL149</f>
        <v>0</v>
      </c>
      <c r="BK149" s="1118"/>
      <c r="BL149" s="1118"/>
      <c r="BM149" s="674">
        <f>BN149+BO149</f>
        <v>0</v>
      </c>
      <c r="BN149" s="1118"/>
      <c r="BO149" s="1118"/>
      <c r="BP149" s="674">
        <f>BQ149+BR149</f>
        <v>0</v>
      </c>
      <c r="BQ149" s="762"/>
      <c r="BR149" s="762"/>
      <c r="BS149" s="674">
        <f>BT149+BU149</f>
        <v>0</v>
      </c>
      <c r="BT149" s="1111"/>
      <c r="BU149" s="1111"/>
      <c r="BV149" s="674">
        <f>BW149+BX149</f>
        <v>0</v>
      </c>
      <c r="BW149" s="1111"/>
      <c r="BX149" s="1111"/>
      <c r="BY149" s="674">
        <f>BZ149+CA149</f>
        <v>0</v>
      </c>
      <c r="BZ149" s="1118"/>
      <c r="CA149" s="1118"/>
      <c r="CB149" s="674">
        <f>CC149+CD149</f>
        <v>0</v>
      </c>
      <c r="CC149" s="1118"/>
      <c r="CD149" s="1118"/>
      <c r="CE149" s="674">
        <f>CF149+CG149</f>
        <v>0</v>
      </c>
      <c r="CF149" s="1118"/>
      <c r="CG149" s="1118"/>
      <c r="CH149" s="674">
        <f>CI149+CJ149</f>
        <v>0</v>
      </c>
      <c r="CI149" s="1118"/>
      <c r="CJ149" s="1118"/>
      <c r="CK149" s="674">
        <f>CL149+CM149</f>
        <v>0</v>
      </c>
      <c r="CL149" s="1118"/>
      <c r="CM149" s="1118"/>
      <c r="CN149" s="674">
        <f>CO149+CP149</f>
        <v>0</v>
      </c>
      <c r="CO149" s="1118"/>
      <c r="CP149" s="1118"/>
      <c r="CQ149" s="674">
        <f>CR149+CS149</f>
        <v>0</v>
      </c>
      <c r="CR149" s="1118"/>
      <c r="CS149" s="1118"/>
      <c r="CT149" s="1106"/>
      <c r="CW149" s="902" t="s">
        <v>593</v>
      </c>
      <c r="CX149" s="907"/>
      <c r="CY149" s="907"/>
      <c r="CZ149" s="907"/>
      <c r="DA149" s="908"/>
      <c r="DB149" s="908"/>
    </row>
    <row r="150" spans="1:106" s="1057" customFormat="1" ht="16.5" customHeight="1">
      <c r="A150" s="769"/>
      <c r="B150" s="718"/>
      <c r="C150" s="1016"/>
      <c r="D150" s="1016"/>
      <c r="E150" s="623">
        <v>17.100000000000001</v>
      </c>
      <c r="F150" s="714" t="str">
        <f t="shared" ca="1" si="78"/>
        <v>1</v>
      </c>
      <c r="G150" s="750"/>
      <c r="H150" s="750"/>
      <c r="I150" s="750"/>
      <c r="J150" s="750"/>
      <c r="K150" s="750"/>
      <c r="L150" s="750"/>
      <c r="M150" s="750"/>
      <c r="N150" s="750"/>
      <c r="O150" s="750"/>
      <c r="P150" s="750"/>
      <c r="Q150" s="750"/>
      <c r="R150" s="714" t="s">
        <v>569</v>
      </c>
      <c r="S150" s="98" t="b">
        <f t="shared" ca="1" si="79"/>
        <v>1</v>
      </c>
      <c r="T150" s="1016"/>
      <c r="U150" s="645" t="b">
        <f t="shared" ca="1" si="45"/>
        <v>1</v>
      </c>
      <c r="V150" s="1016"/>
      <c r="W150" s="1016"/>
      <c r="X150" s="1016"/>
      <c r="Y150" s="1382"/>
      <c r="Z150" s="1382"/>
      <c r="AA150" s="646"/>
      <c r="AB150" s="1469"/>
      <c r="AD150" s="99" t="s">
        <v>537</v>
      </c>
      <c r="AE150" s="1455" t="s">
        <v>590</v>
      </c>
      <c r="AF150" s="1456"/>
      <c r="AG150" s="99" t="s">
        <v>388</v>
      </c>
      <c r="AH150" s="678">
        <f t="shared" ref="AH150:BM150" si="88">IFERROR(AH149/AH146,0)</f>
        <v>0</v>
      </c>
      <c r="AI150" s="679">
        <f t="shared" si="88"/>
        <v>0</v>
      </c>
      <c r="AJ150" s="679">
        <f t="shared" si="88"/>
        <v>0</v>
      </c>
      <c r="AK150" s="679">
        <f t="shared" si="88"/>
        <v>0</v>
      </c>
      <c r="AL150" s="679">
        <f t="shared" si="88"/>
        <v>0</v>
      </c>
      <c r="AM150" s="679">
        <f t="shared" si="88"/>
        <v>0</v>
      </c>
      <c r="AN150" s="679">
        <f t="shared" si="88"/>
        <v>0</v>
      </c>
      <c r="AO150" s="679">
        <f t="shared" si="88"/>
        <v>0</v>
      </c>
      <c r="AP150" s="679">
        <f t="shared" si="88"/>
        <v>0</v>
      </c>
      <c r="AQ150" s="679">
        <f t="shared" si="88"/>
        <v>0</v>
      </c>
      <c r="AR150" s="679">
        <f t="shared" si="88"/>
        <v>0</v>
      </c>
      <c r="AS150" s="679">
        <f t="shared" si="88"/>
        <v>0</v>
      </c>
      <c r="AT150" s="679">
        <f t="shared" si="88"/>
        <v>0</v>
      </c>
      <c r="AU150" s="679">
        <f t="shared" si="88"/>
        <v>0</v>
      </c>
      <c r="AV150" s="679">
        <f t="shared" si="88"/>
        <v>0</v>
      </c>
      <c r="AW150" s="679">
        <f t="shared" si="88"/>
        <v>0</v>
      </c>
      <c r="AX150" s="679">
        <f t="shared" si="88"/>
        <v>0</v>
      </c>
      <c r="AY150" s="679">
        <f t="shared" si="88"/>
        <v>0</v>
      </c>
      <c r="AZ150" s="679">
        <f t="shared" si="88"/>
        <v>0</v>
      </c>
      <c r="BA150" s="679">
        <f t="shared" si="88"/>
        <v>0</v>
      </c>
      <c r="BB150" s="679">
        <f t="shared" si="88"/>
        <v>0</v>
      </c>
      <c r="BC150" s="679">
        <f t="shared" si="88"/>
        <v>0</v>
      </c>
      <c r="BD150" s="679">
        <f t="shared" si="88"/>
        <v>0</v>
      </c>
      <c r="BE150" s="679">
        <f t="shared" si="88"/>
        <v>0</v>
      </c>
      <c r="BF150" s="679">
        <f t="shared" si="88"/>
        <v>0</v>
      </c>
      <c r="BG150" s="679">
        <f t="shared" si="88"/>
        <v>0</v>
      </c>
      <c r="BH150" s="679">
        <f t="shared" si="88"/>
        <v>0</v>
      </c>
      <c r="BI150" s="679">
        <f t="shared" si="88"/>
        <v>0</v>
      </c>
      <c r="BJ150" s="679">
        <f t="shared" si="88"/>
        <v>0</v>
      </c>
      <c r="BK150" s="679">
        <f t="shared" si="88"/>
        <v>0</v>
      </c>
      <c r="BL150" s="679">
        <f t="shared" si="88"/>
        <v>0</v>
      </c>
      <c r="BM150" s="679">
        <f t="shared" si="88"/>
        <v>0</v>
      </c>
      <c r="BN150" s="679">
        <f t="shared" ref="BN150:CS150" si="89">IFERROR(BN149/BN146,0)</f>
        <v>0</v>
      </c>
      <c r="BO150" s="679">
        <f t="shared" si="89"/>
        <v>0</v>
      </c>
      <c r="BP150" s="679">
        <f t="shared" si="89"/>
        <v>0</v>
      </c>
      <c r="BQ150" s="679">
        <f t="shared" si="89"/>
        <v>0</v>
      </c>
      <c r="BR150" s="679">
        <f t="shared" si="89"/>
        <v>0</v>
      </c>
      <c r="BS150" s="679">
        <f t="shared" si="89"/>
        <v>0</v>
      </c>
      <c r="BT150" s="679">
        <f t="shared" si="89"/>
        <v>0</v>
      </c>
      <c r="BU150" s="679">
        <f t="shared" si="89"/>
        <v>0</v>
      </c>
      <c r="BV150" s="679">
        <f t="shared" si="89"/>
        <v>0</v>
      </c>
      <c r="BW150" s="679">
        <f t="shared" si="89"/>
        <v>0</v>
      </c>
      <c r="BX150" s="679">
        <f t="shared" si="89"/>
        <v>0</v>
      </c>
      <c r="BY150" s="679">
        <f t="shared" si="89"/>
        <v>0</v>
      </c>
      <c r="BZ150" s="679">
        <f t="shared" si="89"/>
        <v>0</v>
      </c>
      <c r="CA150" s="679">
        <f t="shared" si="89"/>
        <v>0</v>
      </c>
      <c r="CB150" s="679">
        <f t="shared" si="89"/>
        <v>0</v>
      </c>
      <c r="CC150" s="679">
        <f t="shared" si="89"/>
        <v>0</v>
      </c>
      <c r="CD150" s="679">
        <f t="shared" si="89"/>
        <v>0</v>
      </c>
      <c r="CE150" s="679">
        <f t="shared" si="89"/>
        <v>0</v>
      </c>
      <c r="CF150" s="679">
        <f t="shared" si="89"/>
        <v>0</v>
      </c>
      <c r="CG150" s="679">
        <f t="shared" si="89"/>
        <v>0</v>
      </c>
      <c r="CH150" s="679">
        <f t="shared" si="89"/>
        <v>0</v>
      </c>
      <c r="CI150" s="679">
        <f t="shared" si="89"/>
        <v>0</v>
      </c>
      <c r="CJ150" s="679">
        <f t="shared" si="89"/>
        <v>0</v>
      </c>
      <c r="CK150" s="679">
        <f t="shared" si="89"/>
        <v>0</v>
      </c>
      <c r="CL150" s="679">
        <f t="shared" si="89"/>
        <v>0</v>
      </c>
      <c r="CM150" s="679">
        <f t="shared" si="89"/>
        <v>0</v>
      </c>
      <c r="CN150" s="679">
        <f t="shared" si="89"/>
        <v>0</v>
      </c>
      <c r="CO150" s="679">
        <f t="shared" si="89"/>
        <v>0</v>
      </c>
      <c r="CP150" s="679">
        <f t="shared" si="89"/>
        <v>0</v>
      </c>
      <c r="CQ150" s="679">
        <f t="shared" si="89"/>
        <v>0</v>
      </c>
      <c r="CR150" s="679">
        <f t="shared" si="89"/>
        <v>0</v>
      </c>
      <c r="CS150" s="679">
        <f t="shared" si="89"/>
        <v>0</v>
      </c>
      <c r="CT150" s="1106"/>
      <c r="CW150" s="902" t="s">
        <v>594</v>
      </c>
      <c r="CX150" s="907"/>
      <c r="CY150" s="907"/>
      <c r="CZ150" s="907"/>
      <c r="DA150" s="908"/>
      <c r="DB150" s="908"/>
    </row>
    <row r="151" spans="1:106" s="1057" customFormat="1" ht="16.5" customHeight="1">
      <c r="A151" s="769"/>
      <c r="B151" s="718"/>
      <c r="C151" s="1016"/>
      <c r="D151" s="1016"/>
      <c r="E151" s="623">
        <v>17.100000000000001</v>
      </c>
      <c r="F151" s="714" t="str">
        <f t="shared" ca="1" si="78"/>
        <v>1</v>
      </c>
      <c r="G151" s="750"/>
      <c r="H151" s="750"/>
      <c r="I151" s="750"/>
      <c r="J151" s="750"/>
      <c r="K151" s="750"/>
      <c r="L151" s="750"/>
      <c r="M151" s="750"/>
      <c r="N151" s="750"/>
      <c r="O151" s="750"/>
      <c r="P151" s="750"/>
      <c r="Q151" s="750"/>
      <c r="R151" s="714" t="s">
        <v>569</v>
      </c>
      <c r="S151" s="98" t="b">
        <f t="shared" ca="1" si="79"/>
        <v>1</v>
      </c>
      <c r="T151" s="1016"/>
      <c r="U151" s="645" t="b">
        <f t="shared" ca="1" si="45"/>
        <v>1</v>
      </c>
      <c r="V151" s="1016"/>
      <c r="W151" s="1016"/>
      <c r="X151" s="1016"/>
      <c r="Y151" s="1382"/>
      <c r="Z151" s="1382"/>
      <c r="AA151" s="646"/>
      <c r="AB151" s="1469"/>
      <c r="AD151" s="99">
        <v>6</v>
      </c>
      <c r="AE151" s="1462" t="s">
        <v>595</v>
      </c>
      <c r="AF151" s="1463"/>
      <c r="AG151" s="99" t="s">
        <v>572</v>
      </c>
      <c r="AH151" s="672">
        <f t="shared" ref="AH151:BM151" si="90">AH146-AH147-AH149</f>
        <v>0</v>
      </c>
      <c r="AI151" s="674">
        <f t="shared" si="90"/>
        <v>0</v>
      </c>
      <c r="AJ151" s="674">
        <f t="shared" si="90"/>
        <v>0</v>
      </c>
      <c r="AK151" s="674">
        <f t="shared" si="90"/>
        <v>0</v>
      </c>
      <c r="AL151" s="674">
        <f t="shared" si="90"/>
        <v>0</v>
      </c>
      <c r="AM151" s="674">
        <f t="shared" si="90"/>
        <v>0</v>
      </c>
      <c r="AN151" s="674">
        <f t="shared" si="90"/>
        <v>0</v>
      </c>
      <c r="AO151" s="674">
        <f t="shared" si="90"/>
        <v>0</v>
      </c>
      <c r="AP151" s="674">
        <f t="shared" si="90"/>
        <v>0</v>
      </c>
      <c r="AQ151" s="674">
        <f t="shared" si="90"/>
        <v>0</v>
      </c>
      <c r="AR151" s="674">
        <f t="shared" si="90"/>
        <v>0</v>
      </c>
      <c r="AS151" s="674">
        <f t="shared" si="90"/>
        <v>0</v>
      </c>
      <c r="AT151" s="674">
        <f t="shared" si="90"/>
        <v>0</v>
      </c>
      <c r="AU151" s="674">
        <f t="shared" si="90"/>
        <v>0</v>
      </c>
      <c r="AV151" s="674">
        <f t="shared" si="90"/>
        <v>0</v>
      </c>
      <c r="AW151" s="674">
        <f t="shared" si="90"/>
        <v>0</v>
      </c>
      <c r="AX151" s="674">
        <f t="shared" si="90"/>
        <v>0</v>
      </c>
      <c r="AY151" s="674">
        <f t="shared" si="90"/>
        <v>0</v>
      </c>
      <c r="AZ151" s="674">
        <f t="shared" si="90"/>
        <v>0</v>
      </c>
      <c r="BA151" s="674">
        <f t="shared" si="90"/>
        <v>0</v>
      </c>
      <c r="BB151" s="674">
        <f t="shared" si="90"/>
        <v>0</v>
      </c>
      <c r="BC151" s="674">
        <f t="shared" si="90"/>
        <v>0</v>
      </c>
      <c r="BD151" s="674">
        <f t="shared" si="90"/>
        <v>0</v>
      </c>
      <c r="BE151" s="674">
        <f t="shared" si="90"/>
        <v>0</v>
      </c>
      <c r="BF151" s="674">
        <f t="shared" si="90"/>
        <v>0</v>
      </c>
      <c r="BG151" s="674">
        <f t="shared" si="90"/>
        <v>0</v>
      </c>
      <c r="BH151" s="674">
        <f t="shared" si="90"/>
        <v>0</v>
      </c>
      <c r="BI151" s="674">
        <f t="shared" si="90"/>
        <v>0</v>
      </c>
      <c r="BJ151" s="674">
        <f t="shared" si="90"/>
        <v>0</v>
      </c>
      <c r="BK151" s="674">
        <f t="shared" si="90"/>
        <v>0</v>
      </c>
      <c r="BL151" s="674">
        <f t="shared" si="90"/>
        <v>0</v>
      </c>
      <c r="BM151" s="674">
        <f t="shared" si="90"/>
        <v>0</v>
      </c>
      <c r="BN151" s="674">
        <f t="shared" ref="BN151:CS151" si="91">BN146-BN147-BN149</f>
        <v>0</v>
      </c>
      <c r="BO151" s="674">
        <f t="shared" si="91"/>
        <v>0</v>
      </c>
      <c r="BP151" s="674">
        <f t="shared" si="91"/>
        <v>0</v>
      </c>
      <c r="BQ151" s="674">
        <f t="shared" si="91"/>
        <v>0</v>
      </c>
      <c r="BR151" s="674">
        <f t="shared" si="91"/>
        <v>0</v>
      </c>
      <c r="BS151" s="674">
        <f t="shared" si="91"/>
        <v>0</v>
      </c>
      <c r="BT151" s="674">
        <f t="shared" si="91"/>
        <v>0</v>
      </c>
      <c r="BU151" s="674">
        <f t="shared" si="91"/>
        <v>0</v>
      </c>
      <c r="BV151" s="674">
        <f t="shared" si="91"/>
        <v>0</v>
      </c>
      <c r="BW151" s="674">
        <f t="shared" si="91"/>
        <v>0</v>
      </c>
      <c r="BX151" s="674">
        <f t="shared" si="91"/>
        <v>0</v>
      </c>
      <c r="BY151" s="674">
        <f t="shared" si="91"/>
        <v>0</v>
      </c>
      <c r="BZ151" s="674">
        <f t="shared" si="91"/>
        <v>0</v>
      </c>
      <c r="CA151" s="674">
        <f t="shared" si="91"/>
        <v>0</v>
      </c>
      <c r="CB151" s="674">
        <f t="shared" si="91"/>
        <v>0</v>
      </c>
      <c r="CC151" s="674">
        <f t="shared" si="91"/>
        <v>0</v>
      </c>
      <c r="CD151" s="674">
        <f t="shared" si="91"/>
        <v>0</v>
      </c>
      <c r="CE151" s="674">
        <f t="shared" si="91"/>
        <v>0</v>
      </c>
      <c r="CF151" s="674">
        <f t="shared" si="91"/>
        <v>0</v>
      </c>
      <c r="CG151" s="674">
        <f t="shared" si="91"/>
        <v>0</v>
      </c>
      <c r="CH151" s="674">
        <f t="shared" si="91"/>
        <v>0</v>
      </c>
      <c r="CI151" s="674">
        <f t="shared" si="91"/>
        <v>0</v>
      </c>
      <c r="CJ151" s="674">
        <f t="shared" si="91"/>
        <v>0</v>
      </c>
      <c r="CK151" s="674">
        <f t="shared" si="91"/>
        <v>0</v>
      </c>
      <c r="CL151" s="674">
        <f t="shared" si="91"/>
        <v>0</v>
      </c>
      <c r="CM151" s="674">
        <f t="shared" si="91"/>
        <v>0</v>
      </c>
      <c r="CN151" s="674">
        <f t="shared" si="91"/>
        <v>0</v>
      </c>
      <c r="CO151" s="674">
        <f t="shared" si="91"/>
        <v>0</v>
      </c>
      <c r="CP151" s="674">
        <f t="shared" si="91"/>
        <v>0</v>
      </c>
      <c r="CQ151" s="674">
        <f t="shared" si="91"/>
        <v>0</v>
      </c>
      <c r="CR151" s="674">
        <f t="shared" si="91"/>
        <v>0</v>
      </c>
      <c r="CS151" s="674">
        <f t="shared" si="91"/>
        <v>0</v>
      </c>
      <c r="CT151" s="1106"/>
      <c r="CW151" s="902" t="s">
        <v>596</v>
      </c>
      <c r="CX151" s="907"/>
      <c r="CY151" s="907"/>
      <c r="CZ151" s="907"/>
      <c r="DA151" s="908"/>
      <c r="DB151" s="908"/>
    </row>
    <row r="152" spans="1:106" s="1057" customFormat="1" ht="29.25" customHeight="1">
      <c r="A152" s="769"/>
      <c r="B152" s="718"/>
      <c r="C152" s="1016"/>
      <c r="D152" s="1016"/>
      <c r="E152" s="623">
        <v>30</v>
      </c>
      <c r="F152" s="714" t="str">
        <f t="shared" ca="1" si="78"/>
        <v>1</v>
      </c>
      <c r="G152" s="750"/>
      <c r="H152" s="750"/>
      <c r="I152" s="750"/>
      <c r="J152" s="750"/>
      <c r="K152" s="750"/>
      <c r="L152" s="750"/>
      <c r="M152" s="750"/>
      <c r="N152" s="750"/>
      <c r="O152" s="750"/>
      <c r="P152" s="750"/>
      <c r="Q152" s="750"/>
      <c r="R152" s="1016"/>
      <c r="S152" s="98" t="b">
        <f t="shared" ca="1" si="79"/>
        <v>1</v>
      </c>
      <c r="T152" s="1016"/>
      <c r="U152" s="645" t="b">
        <f t="shared" ca="1" si="45"/>
        <v>1</v>
      </c>
      <c r="V152" s="1016"/>
      <c r="W152" s="1016"/>
      <c r="X152" s="1016"/>
      <c r="Y152" s="1382"/>
      <c r="Z152" s="1382"/>
      <c r="AA152" s="646"/>
      <c r="AB152" s="1469"/>
      <c r="AD152" s="99">
        <v>7</v>
      </c>
      <c r="AE152" s="1458" t="s">
        <v>597</v>
      </c>
      <c r="AF152" s="1459"/>
      <c r="AG152" s="684" t="s">
        <v>598</v>
      </c>
      <c r="AH152" s="1117"/>
      <c r="AI152" s="1117"/>
      <c r="AJ152" s="1117"/>
      <c r="AK152" s="1117"/>
      <c r="AL152" s="1117"/>
      <c r="AM152" s="1118"/>
      <c r="AN152" s="674">
        <f>AL152-AM152</f>
        <v>0</v>
      </c>
      <c r="AO152" s="1112"/>
      <c r="AP152" s="1111"/>
      <c r="AQ152" s="674">
        <f>AO152-AP152</f>
        <v>0</v>
      </c>
      <c r="AR152" s="1112"/>
      <c r="AS152" s="1111"/>
      <c r="AT152" s="674">
        <f>AR152-AS152</f>
        <v>0</v>
      </c>
      <c r="AU152" s="1117"/>
      <c r="AV152" s="1118"/>
      <c r="AW152" s="674">
        <f>AU152-AV152</f>
        <v>0</v>
      </c>
      <c r="AX152" s="1117"/>
      <c r="AY152" s="1118"/>
      <c r="AZ152" s="674">
        <f>AX152-AY152</f>
        <v>0</v>
      </c>
      <c r="BA152" s="1117"/>
      <c r="BB152" s="1118"/>
      <c r="BC152" s="674">
        <f>BA152-BB152</f>
        <v>0</v>
      </c>
      <c r="BD152" s="1117"/>
      <c r="BE152" s="1118"/>
      <c r="BF152" s="674">
        <f>BD152-BE152</f>
        <v>0</v>
      </c>
      <c r="BG152" s="1117"/>
      <c r="BH152" s="1118"/>
      <c r="BI152" s="674">
        <f>BG152-BH152</f>
        <v>0</v>
      </c>
      <c r="BJ152" s="1117"/>
      <c r="BK152" s="1118"/>
      <c r="BL152" s="674">
        <f>BJ152-BK152</f>
        <v>0</v>
      </c>
      <c r="BM152" s="1117"/>
      <c r="BN152" s="1118"/>
      <c r="BO152" s="674">
        <f>BM152-BN152</f>
        <v>0</v>
      </c>
      <c r="BP152" s="763"/>
      <c r="BQ152" s="762"/>
      <c r="BR152" s="674">
        <f>BP152-BQ152</f>
        <v>0</v>
      </c>
      <c r="BS152" s="1112"/>
      <c r="BT152" s="1111"/>
      <c r="BU152" s="674">
        <f>BS152-BT152</f>
        <v>0</v>
      </c>
      <c r="BV152" s="1112"/>
      <c r="BW152" s="1111"/>
      <c r="BX152" s="674">
        <f>BV152-BW152</f>
        <v>0</v>
      </c>
      <c r="BY152" s="1117"/>
      <c r="BZ152" s="1118"/>
      <c r="CA152" s="674">
        <f>BY152-BZ152</f>
        <v>0</v>
      </c>
      <c r="CB152" s="1117"/>
      <c r="CC152" s="1118"/>
      <c r="CD152" s="674">
        <f>CB152-CC152</f>
        <v>0</v>
      </c>
      <c r="CE152" s="1117"/>
      <c r="CF152" s="1118"/>
      <c r="CG152" s="674">
        <f>CE152-CF152</f>
        <v>0</v>
      </c>
      <c r="CH152" s="1117"/>
      <c r="CI152" s="1118"/>
      <c r="CJ152" s="674">
        <f>CH152-CI152</f>
        <v>0</v>
      </c>
      <c r="CK152" s="1117"/>
      <c r="CL152" s="1118"/>
      <c r="CM152" s="674">
        <f>CK152-CL152</f>
        <v>0</v>
      </c>
      <c r="CN152" s="1117"/>
      <c r="CO152" s="1118"/>
      <c r="CP152" s="674">
        <f>CN152-CO152</f>
        <v>0</v>
      </c>
      <c r="CQ152" s="1117"/>
      <c r="CR152" s="1118"/>
      <c r="CS152" s="674">
        <f>CQ152-CR152</f>
        <v>0</v>
      </c>
      <c r="CT152" s="1106"/>
      <c r="CW152" s="902" t="s">
        <v>599</v>
      </c>
      <c r="CX152" s="907"/>
      <c r="CY152" s="907"/>
      <c r="CZ152" s="907"/>
      <c r="DA152" s="908"/>
      <c r="DB152" s="908"/>
    </row>
    <row r="153" spans="1:106" s="1057" customFormat="1" ht="16.5" customHeight="1">
      <c r="A153" s="769"/>
      <c r="B153" s="718"/>
      <c r="C153" s="1016"/>
      <c r="D153" s="1016"/>
      <c r="E153" s="623">
        <v>17.100000000000001</v>
      </c>
      <c r="F153" s="714" t="str">
        <f t="shared" ca="1" si="78"/>
        <v>1</v>
      </c>
      <c r="G153" s="750"/>
      <c r="H153" s="750"/>
      <c r="I153" s="750"/>
      <c r="J153" s="750"/>
      <c r="K153" s="750"/>
      <c r="L153" s="750"/>
      <c r="M153" s="750"/>
      <c r="N153" s="750"/>
      <c r="O153" s="750"/>
      <c r="P153" s="750"/>
      <c r="Q153" s="750"/>
      <c r="R153" s="1016"/>
      <c r="S153" s="98" t="b">
        <f t="shared" ca="1" si="79"/>
        <v>1</v>
      </c>
      <c r="T153" s="1016"/>
      <c r="U153" s="645" t="b">
        <f t="shared" ca="1" si="45"/>
        <v>1</v>
      </c>
      <c r="V153" s="1016"/>
      <c r="W153" s="1016"/>
      <c r="X153" s="1016"/>
      <c r="Y153" s="1382"/>
      <c r="Z153" s="1382"/>
      <c r="AA153" s="646"/>
      <c r="AB153" s="1469"/>
      <c r="AD153" s="99">
        <v>8</v>
      </c>
      <c r="AE153" s="1458" t="s">
        <v>600</v>
      </c>
      <c r="AF153" s="1459"/>
      <c r="AG153" s="684" t="s">
        <v>598</v>
      </c>
      <c r="AH153" s="1117"/>
      <c r="AI153" s="1117"/>
      <c r="AJ153" s="1117"/>
      <c r="AK153" s="1117"/>
      <c r="AL153" s="1117"/>
      <c r="AM153" s="1118"/>
      <c r="AN153" s="674">
        <f>AL153-AM153</f>
        <v>0</v>
      </c>
      <c r="AO153" s="1112"/>
      <c r="AP153" s="1111"/>
      <c r="AQ153" s="674">
        <f>AO153-AP153</f>
        <v>0</v>
      </c>
      <c r="AR153" s="1112"/>
      <c r="AS153" s="1111"/>
      <c r="AT153" s="674">
        <f>AR153-AS153</f>
        <v>0</v>
      </c>
      <c r="AU153" s="1117"/>
      <c r="AV153" s="1118"/>
      <c r="AW153" s="674">
        <f>AU153-AV153</f>
        <v>0</v>
      </c>
      <c r="AX153" s="1117"/>
      <c r="AY153" s="1118"/>
      <c r="AZ153" s="674">
        <f>AX153-AY153</f>
        <v>0</v>
      </c>
      <c r="BA153" s="1117"/>
      <c r="BB153" s="1118"/>
      <c r="BC153" s="674">
        <f>BA153-BB153</f>
        <v>0</v>
      </c>
      <c r="BD153" s="1117"/>
      <c r="BE153" s="1118"/>
      <c r="BF153" s="674">
        <f>BD153-BE153</f>
        <v>0</v>
      </c>
      <c r="BG153" s="1117"/>
      <c r="BH153" s="1118"/>
      <c r="BI153" s="674">
        <f>BG153-BH153</f>
        <v>0</v>
      </c>
      <c r="BJ153" s="1117"/>
      <c r="BK153" s="1118"/>
      <c r="BL153" s="674">
        <f>BJ153-BK153</f>
        <v>0</v>
      </c>
      <c r="BM153" s="1117"/>
      <c r="BN153" s="1118"/>
      <c r="BO153" s="674">
        <f>BM153-BN153</f>
        <v>0</v>
      </c>
      <c r="BP153" s="763"/>
      <c r="BQ153" s="762"/>
      <c r="BR153" s="674">
        <f>BP153-BQ153</f>
        <v>0</v>
      </c>
      <c r="BS153" s="1112"/>
      <c r="BT153" s="1111"/>
      <c r="BU153" s="674">
        <f>BS153-BT153</f>
        <v>0</v>
      </c>
      <c r="BV153" s="1112"/>
      <c r="BW153" s="1111"/>
      <c r="BX153" s="674">
        <f>BV153-BW153</f>
        <v>0</v>
      </c>
      <c r="BY153" s="1117"/>
      <c r="BZ153" s="1118"/>
      <c r="CA153" s="674">
        <f>BY153-BZ153</f>
        <v>0</v>
      </c>
      <c r="CB153" s="1117"/>
      <c r="CC153" s="1118"/>
      <c r="CD153" s="674">
        <f>CB153-CC153</f>
        <v>0</v>
      </c>
      <c r="CE153" s="1117"/>
      <c r="CF153" s="1118"/>
      <c r="CG153" s="674">
        <f>CE153-CF153</f>
        <v>0</v>
      </c>
      <c r="CH153" s="1117"/>
      <c r="CI153" s="1118"/>
      <c r="CJ153" s="674">
        <f>CH153-CI153</f>
        <v>0</v>
      </c>
      <c r="CK153" s="1117"/>
      <c r="CL153" s="1118"/>
      <c r="CM153" s="674">
        <f>CK153-CL153</f>
        <v>0</v>
      </c>
      <c r="CN153" s="1117"/>
      <c r="CO153" s="1118"/>
      <c r="CP153" s="674">
        <f>CN153-CO153</f>
        <v>0</v>
      </c>
      <c r="CQ153" s="1117"/>
      <c r="CR153" s="1118"/>
      <c r="CS153" s="674">
        <f>CQ153-CR153</f>
        <v>0</v>
      </c>
      <c r="CT153" s="1106"/>
      <c r="CW153" s="902" t="s">
        <v>601</v>
      </c>
      <c r="CX153" s="907"/>
      <c r="CY153" s="907"/>
      <c r="CZ153" s="907"/>
      <c r="DA153" s="908"/>
      <c r="DB153" s="908"/>
    </row>
    <row r="154" spans="1:106" s="1057" customFormat="1" ht="16.5" customHeight="1">
      <c r="A154" s="769"/>
      <c r="B154" s="718"/>
      <c r="C154" s="1016"/>
      <c r="D154" s="1016"/>
      <c r="E154" s="623">
        <v>17.100000000000001</v>
      </c>
      <c r="F154" s="714" t="str">
        <f t="shared" ca="1" si="78"/>
        <v>1</v>
      </c>
      <c r="G154" s="750"/>
      <c r="H154" s="750"/>
      <c r="I154" s="750"/>
      <c r="J154" s="750"/>
      <c r="K154" s="750"/>
      <c r="L154" s="750"/>
      <c r="M154" s="750"/>
      <c r="N154" s="750"/>
      <c r="O154" s="750"/>
      <c r="P154" s="750"/>
      <c r="Q154" s="750"/>
      <c r="R154" s="1016"/>
      <c r="S154" s="98" t="b">
        <f t="shared" ca="1" si="79"/>
        <v>1</v>
      </c>
      <c r="T154" s="1016"/>
      <c r="U154" s="645" t="b">
        <f t="shared" ca="1" si="45"/>
        <v>1</v>
      </c>
      <c r="V154" s="1016"/>
      <c r="W154" s="1016"/>
      <c r="X154" s="1016"/>
      <c r="Y154" s="1382"/>
      <c r="Z154" s="1382"/>
      <c r="AA154" s="646"/>
      <c r="AB154" s="1469"/>
      <c r="AD154" s="99" t="s">
        <v>602</v>
      </c>
      <c r="AE154" s="1464" t="s">
        <v>603</v>
      </c>
      <c r="AF154" s="1465"/>
      <c r="AG154" s="497" t="s">
        <v>388</v>
      </c>
      <c r="AH154" s="678">
        <f t="shared" ref="AH154:BM154" si="92">IFERROR(AH153/AH152,0)</f>
        <v>0</v>
      </c>
      <c r="AI154" s="679">
        <f t="shared" si="92"/>
        <v>0</v>
      </c>
      <c r="AJ154" s="679">
        <f t="shared" si="92"/>
        <v>0</v>
      </c>
      <c r="AK154" s="679">
        <f t="shared" si="92"/>
        <v>0</v>
      </c>
      <c r="AL154" s="679">
        <f t="shared" si="92"/>
        <v>0</v>
      </c>
      <c r="AM154" s="679">
        <f t="shared" si="92"/>
        <v>0</v>
      </c>
      <c r="AN154" s="679">
        <f t="shared" si="92"/>
        <v>0</v>
      </c>
      <c r="AO154" s="679">
        <f t="shared" si="92"/>
        <v>0</v>
      </c>
      <c r="AP154" s="679">
        <f t="shared" si="92"/>
        <v>0</v>
      </c>
      <c r="AQ154" s="679">
        <f t="shared" si="92"/>
        <v>0</v>
      </c>
      <c r="AR154" s="679">
        <f t="shared" si="92"/>
        <v>0</v>
      </c>
      <c r="AS154" s="679">
        <f t="shared" si="92"/>
        <v>0</v>
      </c>
      <c r="AT154" s="679">
        <f t="shared" si="92"/>
        <v>0</v>
      </c>
      <c r="AU154" s="679">
        <f t="shared" si="92"/>
        <v>0</v>
      </c>
      <c r="AV154" s="679">
        <f t="shared" si="92"/>
        <v>0</v>
      </c>
      <c r="AW154" s="679">
        <f t="shared" si="92"/>
        <v>0</v>
      </c>
      <c r="AX154" s="679">
        <f t="shared" si="92"/>
        <v>0</v>
      </c>
      <c r="AY154" s="679">
        <f t="shared" si="92"/>
        <v>0</v>
      </c>
      <c r="AZ154" s="679">
        <f t="shared" si="92"/>
        <v>0</v>
      </c>
      <c r="BA154" s="679">
        <f t="shared" si="92"/>
        <v>0</v>
      </c>
      <c r="BB154" s="679">
        <f t="shared" si="92"/>
        <v>0</v>
      </c>
      <c r="BC154" s="679">
        <f t="shared" si="92"/>
        <v>0</v>
      </c>
      <c r="BD154" s="679">
        <f t="shared" si="92"/>
        <v>0</v>
      </c>
      <c r="BE154" s="679">
        <f t="shared" si="92"/>
        <v>0</v>
      </c>
      <c r="BF154" s="679">
        <f t="shared" si="92"/>
        <v>0</v>
      </c>
      <c r="BG154" s="679">
        <f t="shared" si="92"/>
        <v>0</v>
      </c>
      <c r="BH154" s="679">
        <f t="shared" si="92"/>
        <v>0</v>
      </c>
      <c r="BI154" s="679">
        <f t="shared" si="92"/>
        <v>0</v>
      </c>
      <c r="BJ154" s="679">
        <f t="shared" si="92"/>
        <v>0</v>
      </c>
      <c r="BK154" s="679">
        <f t="shared" si="92"/>
        <v>0</v>
      </c>
      <c r="BL154" s="679">
        <f t="shared" si="92"/>
        <v>0</v>
      </c>
      <c r="BM154" s="679">
        <f t="shared" si="92"/>
        <v>0</v>
      </c>
      <c r="BN154" s="679">
        <f t="shared" ref="BN154:CS154" si="93">IFERROR(BN153/BN152,0)</f>
        <v>0</v>
      </c>
      <c r="BO154" s="679">
        <f t="shared" si="93"/>
        <v>0</v>
      </c>
      <c r="BP154" s="679">
        <f t="shared" si="93"/>
        <v>0</v>
      </c>
      <c r="BQ154" s="679">
        <f t="shared" si="93"/>
        <v>0</v>
      </c>
      <c r="BR154" s="679">
        <f t="shared" si="93"/>
        <v>0</v>
      </c>
      <c r="BS154" s="679">
        <f t="shared" si="93"/>
        <v>0</v>
      </c>
      <c r="BT154" s="679">
        <f t="shared" si="93"/>
        <v>0</v>
      </c>
      <c r="BU154" s="679">
        <f t="shared" si="93"/>
        <v>0</v>
      </c>
      <c r="BV154" s="679">
        <f t="shared" si="93"/>
        <v>0</v>
      </c>
      <c r="BW154" s="679">
        <f t="shared" si="93"/>
        <v>0</v>
      </c>
      <c r="BX154" s="679">
        <f t="shared" si="93"/>
        <v>0</v>
      </c>
      <c r="BY154" s="679">
        <f t="shared" si="93"/>
        <v>0</v>
      </c>
      <c r="BZ154" s="679">
        <f t="shared" si="93"/>
        <v>0</v>
      </c>
      <c r="CA154" s="679">
        <f t="shared" si="93"/>
        <v>0</v>
      </c>
      <c r="CB154" s="679">
        <f t="shared" si="93"/>
        <v>0</v>
      </c>
      <c r="CC154" s="679">
        <f t="shared" si="93"/>
        <v>0</v>
      </c>
      <c r="CD154" s="679">
        <f t="shared" si="93"/>
        <v>0</v>
      </c>
      <c r="CE154" s="679">
        <f t="shared" si="93"/>
        <v>0</v>
      </c>
      <c r="CF154" s="679">
        <f t="shared" si="93"/>
        <v>0</v>
      </c>
      <c r="CG154" s="679">
        <f t="shared" si="93"/>
        <v>0</v>
      </c>
      <c r="CH154" s="679">
        <f t="shared" si="93"/>
        <v>0</v>
      </c>
      <c r="CI154" s="679">
        <f t="shared" si="93"/>
        <v>0</v>
      </c>
      <c r="CJ154" s="679">
        <f t="shared" si="93"/>
        <v>0</v>
      </c>
      <c r="CK154" s="679">
        <f t="shared" si="93"/>
        <v>0</v>
      </c>
      <c r="CL154" s="679">
        <f t="shared" si="93"/>
        <v>0</v>
      </c>
      <c r="CM154" s="679">
        <f t="shared" si="93"/>
        <v>0</v>
      </c>
      <c r="CN154" s="679">
        <f t="shared" si="93"/>
        <v>0</v>
      </c>
      <c r="CO154" s="679">
        <f t="shared" si="93"/>
        <v>0</v>
      </c>
      <c r="CP154" s="679">
        <f t="shared" si="93"/>
        <v>0</v>
      </c>
      <c r="CQ154" s="679">
        <f t="shared" si="93"/>
        <v>0</v>
      </c>
      <c r="CR154" s="679">
        <f t="shared" si="93"/>
        <v>0</v>
      </c>
      <c r="CS154" s="679">
        <f t="shared" si="93"/>
        <v>0</v>
      </c>
      <c r="CT154" s="1106"/>
      <c r="CW154" s="902" t="s">
        <v>604</v>
      </c>
      <c r="CX154" s="907"/>
      <c r="CY154" s="907"/>
      <c r="CZ154" s="907"/>
      <c r="DA154" s="908"/>
      <c r="DB154" s="908"/>
    </row>
    <row r="155" spans="1:106" s="1057" customFormat="1" ht="29.25" customHeight="1">
      <c r="A155" s="769"/>
      <c r="B155" s="718"/>
      <c r="C155" s="1016"/>
      <c r="D155" s="1016"/>
      <c r="E155" s="623">
        <v>30</v>
      </c>
      <c r="F155" s="714" t="str">
        <f t="shared" ca="1" si="78"/>
        <v>1</v>
      </c>
      <c r="G155" s="750"/>
      <c r="H155" s="750"/>
      <c r="I155" s="750"/>
      <c r="J155" s="750"/>
      <c r="K155" s="750"/>
      <c r="L155" s="750"/>
      <c r="M155" s="750"/>
      <c r="N155" s="750"/>
      <c r="O155" s="750"/>
      <c r="P155" s="750"/>
      <c r="Q155" s="750"/>
      <c r="R155" s="1016"/>
      <c r="S155" s="98" t="b">
        <f t="shared" ca="1" si="79"/>
        <v>1</v>
      </c>
      <c r="T155" s="1016"/>
      <c r="U155" s="645" t="b">
        <f t="shared" ca="1" si="45"/>
        <v>1</v>
      </c>
      <c r="V155" s="1016"/>
      <c r="W155" s="1016"/>
      <c r="X155" s="1016"/>
      <c r="Y155" s="1382"/>
      <c r="Z155" s="1382"/>
      <c r="AA155" s="646"/>
      <c r="AB155" s="1469"/>
      <c r="AD155" s="99">
        <v>9</v>
      </c>
      <c r="AE155" s="1443" t="s">
        <v>605</v>
      </c>
      <c r="AF155" s="1444"/>
      <c r="AG155" s="684" t="s">
        <v>598</v>
      </c>
      <c r="AH155" s="672">
        <f t="shared" ref="AH155:BM155" si="94">AH152-AH153</f>
        <v>0</v>
      </c>
      <c r="AI155" s="674">
        <f t="shared" si="94"/>
        <v>0</v>
      </c>
      <c r="AJ155" s="674">
        <f t="shared" si="94"/>
        <v>0</v>
      </c>
      <c r="AK155" s="674">
        <f t="shared" si="94"/>
        <v>0</v>
      </c>
      <c r="AL155" s="674">
        <f t="shared" si="94"/>
        <v>0</v>
      </c>
      <c r="AM155" s="674">
        <f t="shared" si="94"/>
        <v>0</v>
      </c>
      <c r="AN155" s="674">
        <f t="shared" si="94"/>
        <v>0</v>
      </c>
      <c r="AO155" s="674">
        <f t="shared" si="94"/>
        <v>0</v>
      </c>
      <c r="AP155" s="674">
        <f t="shared" si="94"/>
        <v>0</v>
      </c>
      <c r="AQ155" s="674">
        <f t="shared" si="94"/>
        <v>0</v>
      </c>
      <c r="AR155" s="674">
        <f t="shared" si="94"/>
        <v>0</v>
      </c>
      <c r="AS155" s="674">
        <f t="shared" si="94"/>
        <v>0</v>
      </c>
      <c r="AT155" s="674">
        <f t="shared" si="94"/>
        <v>0</v>
      </c>
      <c r="AU155" s="674">
        <f t="shared" si="94"/>
        <v>0</v>
      </c>
      <c r="AV155" s="674">
        <f t="shared" si="94"/>
        <v>0</v>
      </c>
      <c r="AW155" s="674">
        <f t="shared" si="94"/>
        <v>0</v>
      </c>
      <c r="AX155" s="674">
        <f t="shared" si="94"/>
        <v>0</v>
      </c>
      <c r="AY155" s="674">
        <f t="shared" si="94"/>
        <v>0</v>
      </c>
      <c r="AZ155" s="674">
        <f t="shared" si="94"/>
        <v>0</v>
      </c>
      <c r="BA155" s="674">
        <f t="shared" si="94"/>
        <v>0</v>
      </c>
      <c r="BB155" s="674">
        <f t="shared" si="94"/>
        <v>0</v>
      </c>
      <c r="BC155" s="674">
        <f t="shared" si="94"/>
        <v>0</v>
      </c>
      <c r="BD155" s="674">
        <f t="shared" si="94"/>
        <v>0</v>
      </c>
      <c r="BE155" s="674">
        <f t="shared" si="94"/>
        <v>0</v>
      </c>
      <c r="BF155" s="674">
        <f t="shared" si="94"/>
        <v>0</v>
      </c>
      <c r="BG155" s="674">
        <f t="shared" si="94"/>
        <v>0</v>
      </c>
      <c r="BH155" s="674">
        <f t="shared" si="94"/>
        <v>0</v>
      </c>
      <c r="BI155" s="674">
        <f t="shared" si="94"/>
        <v>0</v>
      </c>
      <c r="BJ155" s="674">
        <f t="shared" si="94"/>
        <v>0</v>
      </c>
      <c r="BK155" s="674">
        <f t="shared" si="94"/>
        <v>0</v>
      </c>
      <c r="BL155" s="674">
        <f t="shared" si="94"/>
        <v>0</v>
      </c>
      <c r="BM155" s="674">
        <f t="shared" si="94"/>
        <v>0</v>
      </c>
      <c r="BN155" s="674">
        <f t="shared" ref="BN155:CS155" si="95">BN152-BN153</f>
        <v>0</v>
      </c>
      <c r="BO155" s="674">
        <f t="shared" si="95"/>
        <v>0</v>
      </c>
      <c r="BP155" s="674">
        <f t="shared" si="95"/>
        <v>0</v>
      </c>
      <c r="BQ155" s="674">
        <f t="shared" si="95"/>
        <v>0</v>
      </c>
      <c r="BR155" s="674">
        <f t="shared" si="95"/>
        <v>0</v>
      </c>
      <c r="BS155" s="674">
        <f t="shared" si="95"/>
        <v>0</v>
      </c>
      <c r="BT155" s="674">
        <f t="shared" si="95"/>
        <v>0</v>
      </c>
      <c r="BU155" s="674">
        <f t="shared" si="95"/>
        <v>0</v>
      </c>
      <c r="BV155" s="674">
        <f t="shared" si="95"/>
        <v>0</v>
      </c>
      <c r="BW155" s="674">
        <f t="shared" si="95"/>
        <v>0</v>
      </c>
      <c r="BX155" s="674">
        <f t="shared" si="95"/>
        <v>0</v>
      </c>
      <c r="BY155" s="674">
        <f t="shared" si="95"/>
        <v>0</v>
      </c>
      <c r="BZ155" s="674">
        <f t="shared" si="95"/>
        <v>0</v>
      </c>
      <c r="CA155" s="674">
        <f t="shared" si="95"/>
        <v>0</v>
      </c>
      <c r="CB155" s="674">
        <f t="shared" si="95"/>
        <v>0</v>
      </c>
      <c r="CC155" s="674">
        <f t="shared" si="95"/>
        <v>0</v>
      </c>
      <c r="CD155" s="674">
        <f t="shared" si="95"/>
        <v>0</v>
      </c>
      <c r="CE155" s="674">
        <f t="shared" si="95"/>
        <v>0</v>
      </c>
      <c r="CF155" s="674">
        <f t="shared" si="95"/>
        <v>0</v>
      </c>
      <c r="CG155" s="674">
        <f t="shared" si="95"/>
        <v>0</v>
      </c>
      <c r="CH155" s="674">
        <f t="shared" si="95"/>
        <v>0</v>
      </c>
      <c r="CI155" s="674">
        <f t="shared" si="95"/>
        <v>0</v>
      </c>
      <c r="CJ155" s="674">
        <f t="shared" si="95"/>
        <v>0</v>
      </c>
      <c r="CK155" s="674">
        <f t="shared" si="95"/>
        <v>0</v>
      </c>
      <c r="CL155" s="674">
        <f t="shared" si="95"/>
        <v>0</v>
      </c>
      <c r="CM155" s="674">
        <f t="shared" si="95"/>
        <v>0</v>
      </c>
      <c r="CN155" s="674">
        <f t="shared" si="95"/>
        <v>0</v>
      </c>
      <c r="CO155" s="674">
        <f t="shared" si="95"/>
        <v>0</v>
      </c>
      <c r="CP155" s="674">
        <f t="shared" si="95"/>
        <v>0</v>
      </c>
      <c r="CQ155" s="674">
        <f t="shared" si="95"/>
        <v>0</v>
      </c>
      <c r="CR155" s="674">
        <f t="shared" si="95"/>
        <v>0</v>
      </c>
      <c r="CS155" s="674">
        <f t="shared" si="95"/>
        <v>0</v>
      </c>
      <c r="CT155" s="1106"/>
      <c r="CW155" s="902" t="s">
        <v>606</v>
      </c>
      <c r="CX155" s="907"/>
      <c r="CY155" s="907"/>
      <c r="CZ155" s="907"/>
      <c r="DA155" s="908"/>
      <c r="DB155" s="908"/>
    </row>
    <row r="156" spans="1:106" s="1057" customFormat="1" ht="16.5" customHeight="1">
      <c r="A156" s="769"/>
      <c r="B156" s="718"/>
      <c r="C156" s="1016"/>
      <c r="D156" s="1016"/>
      <c r="E156" s="623">
        <v>17.100000000000001</v>
      </c>
      <c r="F156" s="714" t="str">
        <f t="shared" ca="1" si="78"/>
        <v>1</v>
      </c>
      <c r="G156" s="750"/>
      <c r="H156" s="750"/>
      <c r="I156" s="750"/>
      <c r="J156" s="750"/>
      <c r="K156" s="750"/>
      <c r="L156" s="750"/>
      <c r="M156" s="750"/>
      <c r="N156" s="750"/>
      <c r="O156" s="750"/>
      <c r="P156" s="750"/>
      <c r="Q156" s="750"/>
      <c r="R156" s="714" t="s">
        <v>569</v>
      </c>
      <c r="S156" s="98" t="b">
        <f t="shared" ca="1" si="79"/>
        <v>1</v>
      </c>
      <c r="T156" s="1016"/>
      <c r="U156" s="645" t="b">
        <f t="shared" ref="U156:U219" ca="1" si="96">AND(S156,IF(ISBLANK(T156),TRUE,T156))</f>
        <v>1</v>
      </c>
      <c r="V156" s="1016"/>
      <c r="W156" s="1016"/>
      <c r="X156" s="1016"/>
      <c r="Y156" s="1382"/>
      <c r="Z156" s="1382"/>
      <c r="AA156" s="646"/>
      <c r="AB156" s="1469"/>
      <c r="AD156" s="99">
        <v>10</v>
      </c>
      <c r="AE156" s="1443" t="s">
        <v>586</v>
      </c>
      <c r="AF156" s="1444"/>
      <c r="AG156" s="497" t="s">
        <v>572</v>
      </c>
      <c r="AH156" s="1117"/>
      <c r="AI156" s="1118"/>
      <c r="AJ156" s="1118"/>
      <c r="AK156" s="1118"/>
      <c r="AL156" s="674">
        <f>AM156+AN156</f>
        <v>0</v>
      </c>
      <c r="AM156" s="1118"/>
      <c r="AN156" s="1118"/>
      <c r="AO156" s="674">
        <f>AP156+AQ156</f>
        <v>0</v>
      </c>
      <c r="AP156" s="1111"/>
      <c r="AQ156" s="1111"/>
      <c r="AR156" s="674">
        <f>AS156+AT156</f>
        <v>0</v>
      </c>
      <c r="AS156" s="1111"/>
      <c r="AT156" s="1111"/>
      <c r="AU156" s="674">
        <f>AV156+AW156</f>
        <v>0</v>
      </c>
      <c r="AV156" s="1118"/>
      <c r="AW156" s="1118"/>
      <c r="AX156" s="674">
        <f>AY156+AZ156</f>
        <v>0</v>
      </c>
      <c r="AY156" s="1118"/>
      <c r="AZ156" s="1118"/>
      <c r="BA156" s="674">
        <f>BB156+BC156</f>
        <v>0</v>
      </c>
      <c r="BB156" s="1118"/>
      <c r="BC156" s="1118"/>
      <c r="BD156" s="674">
        <f>BE156+BF156</f>
        <v>0</v>
      </c>
      <c r="BE156" s="1118"/>
      <c r="BF156" s="1118"/>
      <c r="BG156" s="674">
        <f>BH156+BI156</f>
        <v>0</v>
      </c>
      <c r="BH156" s="1118"/>
      <c r="BI156" s="1118"/>
      <c r="BJ156" s="674">
        <f>BK156+BL156</f>
        <v>0</v>
      </c>
      <c r="BK156" s="1118"/>
      <c r="BL156" s="1118"/>
      <c r="BM156" s="674">
        <f>BN156+BO156</f>
        <v>0</v>
      </c>
      <c r="BN156" s="1118"/>
      <c r="BO156" s="1118"/>
      <c r="BP156" s="674">
        <f>BQ156+BR156</f>
        <v>0</v>
      </c>
      <c r="BQ156" s="762"/>
      <c r="BR156" s="762"/>
      <c r="BS156" s="674">
        <f>BT156+BU156</f>
        <v>0</v>
      </c>
      <c r="BT156" s="1111"/>
      <c r="BU156" s="1111"/>
      <c r="BV156" s="674">
        <f>BW156+BX156</f>
        <v>0</v>
      </c>
      <c r="BW156" s="1111"/>
      <c r="BX156" s="1111"/>
      <c r="BY156" s="674">
        <f>BZ156+CA156</f>
        <v>0</v>
      </c>
      <c r="BZ156" s="1118"/>
      <c r="CA156" s="1118"/>
      <c r="CB156" s="674">
        <f>CC156+CD156</f>
        <v>0</v>
      </c>
      <c r="CC156" s="1118"/>
      <c r="CD156" s="1118"/>
      <c r="CE156" s="674">
        <f>CF156+CG156</f>
        <v>0</v>
      </c>
      <c r="CF156" s="1118"/>
      <c r="CG156" s="1118"/>
      <c r="CH156" s="674">
        <f>CI156+CJ156</f>
        <v>0</v>
      </c>
      <c r="CI156" s="1118"/>
      <c r="CJ156" s="1118"/>
      <c r="CK156" s="674">
        <f>CL156+CM156</f>
        <v>0</v>
      </c>
      <c r="CL156" s="1118"/>
      <c r="CM156" s="1118"/>
      <c r="CN156" s="674">
        <f>CO156+CP156</f>
        <v>0</v>
      </c>
      <c r="CO156" s="1118"/>
      <c r="CP156" s="1118"/>
      <c r="CQ156" s="674">
        <f>CR156+CS156</f>
        <v>0</v>
      </c>
      <c r="CR156" s="1118"/>
      <c r="CS156" s="1118"/>
      <c r="CT156" s="1106"/>
      <c r="CW156" s="902" t="s">
        <v>607</v>
      </c>
      <c r="CX156" s="907"/>
      <c r="CY156" s="907"/>
      <c r="CZ156" s="907"/>
      <c r="DA156" s="908"/>
      <c r="DB156" s="908"/>
    </row>
    <row r="157" spans="1:106" s="1057" customFormat="1" ht="29.25" customHeight="1">
      <c r="A157" s="769"/>
      <c r="B157" s="718"/>
      <c r="C157" s="1016"/>
      <c r="D157" s="1016"/>
      <c r="E157" s="623">
        <v>30</v>
      </c>
      <c r="F157" s="714" t="str">
        <f t="shared" ca="1" si="78"/>
        <v>1</v>
      </c>
      <c r="G157" s="750"/>
      <c r="H157" s="750"/>
      <c r="I157" s="750"/>
      <c r="J157" s="750"/>
      <c r="K157" s="750"/>
      <c r="L157" s="750"/>
      <c r="M157" s="750"/>
      <c r="N157" s="750"/>
      <c r="O157" s="750"/>
      <c r="P157" s="750"/>
      <c r="Q157" s="750"/>
      <c r="R157" s="714" t="s">
        <v>569</v>
      </c>
      <c r="S157" s="98" t="b">
        <f t="shared" ca="1" si="79"/>
        <v>1</v>
      </c>
      <c r="T157" s="1016"/>
      <c r="U157" s="645" t="b">
        <f t="shared" ca="1" si="96"/>
        <v>1</v>
      </c>
      <c r="V157" s="1016"/>
      <c r="W157" s="1016"/>
      <c r="X157" s="1016"/>
      <c r="Y157" s="1382"/>
      <c r="Z157" s="1382"/>
      <c r="AA157" s="646"/>
      <c r="AB157" s="1469"/>
      <c r="AD157" s="99">
        <v>11</v>
      </c>
      <c r="AE157" s="1443" t="s">
        <v>608</v>
      </c>
      <c r="AF157" s="1444"/>
      <c r="AG157" s="497" t="s">
        <v>609</v>
      </c>
      <c r="AH157" s="1117"/>
      <c r="AI157" s="1118"/>
      <c r="AJ157" s="1118"/>
      <c r="AK157" s="1118"/>
      <c r="AL157" s="674">
        <f>IFERROR(AL158*1000/AL156,0)</f>
        <v>0</v>
      </c>
      <c r="AM157" s="1118"/>
      <c r="AN157" s="1118">
        <f>AM157</f>
        <v>0</v>
      </c>
      <c r="AO157" s="674">
        <f>IFERROR(AO158*1000/AO156,0)</f>
        <v>0</v>
      </c>
      <c r="AP157" s="1111"/>
      <c r="AQ157" s="1111">
        <f>AP157</f>
        <v>0</v>
      </c>
      <c r="AR157" s="674">
        <f>IFERROR(AR158*1000/AR156,0)</f>
        <v>0</v>
      </c>
      <c r="AS157" s="1111"/>
      <c r="AT157" s="1111">
        <f>AS157</f>
        <v>0</v>
      </c>
      <c r="AU157" s="674">
        <f>IFERROR(AU158*1000/AU156,0)</f>
        <v>0</v>
      </c>
      <c r="AV157" s="1118"/>
      <c r="AW157" s="1118">
        <f>AV157</f>
        <v>0</v>
      </c>
      <c r="AX157" s="674">
        <f>IFERROR(AX158*1000/AX156,0)</f>
        <v>0</v>
      </c>
      <c r="AY157" s="1118"/>
      <c r="AZ157" s="1118">
        <f>AY157</f>
        <v>0</v>
      </c>
      <c r="BA157" s="674">
        <f>IFERROR(BA158*1000/BA156,0)</f>
        <v>0</v>
      </c>
      <c r="BB157" s="1118"/>
      <c r="BC157" s="1118">
        <f>BB157</f>
        <v>0</v>
      </c>
      <c r="BD157" s="674">
        <f>IFERROR(BD158*1000/BD156,0)</f>
        <v>0</v>
      </c>
      <c r="BE157" s="1118"/>
      <c r="BF157" s="1118">
        <f>BE157</f>
        <v>0</v>
      </c>
      <c r="BG157" s="674">
        <f>IFERROR(BG158*1000/BG156,0)</f>
        <v>0</v>
      </c>
      <c r="BH157" s="1118"/>
      <c r="BI157" s="1118">
        <f>BH157</f>
        <v>0</v>
      </c>
      <c r="BJ157" s="674">
        <f>IFERROR(BJ158*1000/BJ156,0)</f>
        <v>0</v>
      </c>
      <c r="BK157" s="1118"/>
      <c r="BL157" s="1118">
        <f>BK157</f>
        <v>0</v>
      </c>
      <c r="BM157" s="674">
        <f>IFERROR(BM158*1000/BM156,0)</f>
        <v>0</v>
      </c>
      <c r="BN157" s="1118"/>
      <c r="BO157" s="1118">
        <f>BN157</f>
        <v>0</v>
      </c>
      <c r="BP157" s="674">
        <f>IFERROR(BP158*1000/BP156,0)</f>
        <v>0</v>
      </c>
      <c r="BQ157" s="762"/>
      <c r="BR157" s="762">
        <f>BQ157</f>
        <v>0</v>
      </c>
      <c r="BS157" s="674">
        <f>IFERROR(BS158*1000/BS156,0)</f>
        <v>0</v>
      </c>
      <c r="BT157" s="1111"/>
      <c r="BU157" s="1111">
        <f>BT157</f>
        <v>0</v>
      </c>
      <c r="BV157" s="674">
        <f>IFERROR(BV158*1000/BV156,0)</f>
        <v>0</v>
      </c>
      <c r="BW157" s="1111"/>
      <c r="BX157" s="1111">
        <f>BW157</f>
        <v>0</v>
      </c>
      <c r="BY157" s="674">
        <f>IFERROR(BY158*1000/BY156,0)</f>
        <v>0</v>
      </c>
      <c r="BZ157" s="1118"/>
      <c r="CA157" s="1118">
        <f>BZ157</f>
        <v>0</v>
      </c>
      <c r="CB157" s="674">
        <f>IFERROR(CB158*1000/CB156,0)</f>
        <v>0</v>
      </c>
      <c r="CC157" s="1118"/>
      <c r="CD157" s="1118">
        <f>CC157</f>
        <v>0</v>
      </c>
      <c r="CE157" s="674">
        <f>IFERROR(CE158*1000/CE156,0)</f>
        <v>0</v>
      </c>
      <c r="CF157" s="1118"/>
      <c r="CG157" s="1118">
        <f>CF157</f>
        <v>0</v>
      </c>
      <c r="CH157" s="674">
        <f>IFERROR(CH158*1000/CH156,0)</f>
        <v>0</v>
      </c>
      <c r="CI157" s="1118"/>
      <c r="CJ157" s="1118">
        <f>CI157</f>
        <v>0</v>
      </c>
      <c r="CK157" s="674">
        <f>IFERROR(CK158*1000/CK156,0)</f>
        <v>0</v>
      </c>
      <c r="CL157" s="1118"/>
      <c r="CM157" s="1118">
        <f>CL157</f>
        <v>0</v>
      </c>
      <c r="CN157" s="674">
        <f>IFERROR(CN158*1000/CN156,0)</f>
        <v>0</v>
      </c>
      <c r="CO157" s="1118"/>
      <c r="CP157" s="1118">
        <f>CO157</f>
        <v>0</v>
      </c>
      <c r="CQ157" s="674">
        <f>IFERROR(CQ158*1000/CQ156,0)</f>
        <v>0</v>
      </c>
      <c r="CR157" s="1118"/>
      <c r="CS157" s="1118">
        <f>CR157</f>
        <v>0</v>
      </c>
      <c r="CT157" s="1106"/>
      <c r="CW157" s="902" t="s">
        <v>610</v>
      </c>
      <c r="CX157" s="907"/>
      <c r="CY157" s="907"/>
      <c r="CZ157" s="907"/>
      <c r="DA157" s="908"/>
      <c r="DB157" s="908"/>
    </row>
    <row r="158" spans="1:106" s="1057" customFormat="1" ht="16.5" customHeight="1">
      <c r="A158" s="769"/>
      <c r="B158" s="718"/>
      <c r="C158" s="1016"/>
      <c r="D158" s="1016"/>
      <c r="E158" s="623">
        <v>17.100000000000001</v>
      </c>
      <c r="F158" s="714" t="str">
        <f t="shared" ca="1" si="78"/>
        <v>1</v>
      </c>
      <c r="G158" s="750"/>
      <c r="H158" s="750"/>
      <c r="I158" s="750"/>
      <c r="J158" s="750"/>
      <c r="K158" s="750"/>
      <c r="L158" s="750"/>
      <c r="M158" s="750"/>
      <c r="N158" s="750"/>
      <c r="O158" s="750"/>
      <c r="P158" s="750"/>
      <c r="Q158" s="750"/>
      <c r="R158" s="714" t="s">
        <v>569</v>
      </c>
      <c r="S158" s="98" t="b">
        <f t="shared" ca="1" si="79"/>
        <v>1</v>
      </c>
      <c r="T158" s="1016"/>
      <c r="U158" s="645" t="b">
        <f t="shared" ca="1" si="96"/>
        <v>1</v>
      </c>
      <c r="V158" s="1016"/>
      <c r="W158" s="1016"/>
      <c r="X158" s="1016"/>
      <c r="Y158" s="1382"/>
      <c r="Z158" s="1382"/>
      <c r="AA158" s="646"/>
      <c r="AB158" s="1469"/>
      <c r="AD158" s="99">
        <v>12</v>
      </c>
      <c r="AE158" s="1443" t="s">
        <v>611</v>
      </c>
      <c r="AF158" s="1444"/>
      <c r="AG158" s="497" t="s">
        <v>612</v>
      </c>
      <c r="AH158" s="680">
        <f>AH156*AH157/1000</f>
        <v>0</v>
      </c>
      <c r="AI158" s="288">
        <f>AI156*AI157/1000</f>
        <v>0</v>
      </c>
      <c r="AJ158" s="288">
        <f>AJ156*AJ157/1000</f>
        <v>0</v>
      </c>
      <c r="AK158" s="288">
        <f>AK156*AK157/1000</f>
        <v>0</v>
      </c>
      <c r="AL158" s="674">
        <f>AM158+AN158</f>
        <v>0</v>
      </c>
      <c r="AM158" s="288">
        <f>AM156*AM157/1000</f>
        <v>0</v>
      </c>
      <c r="AN158" s="288">
        <f>AN156*AN157/1000</f>
        <v>0</v>
      </c>
      <c r="AO158" s="674">
        <f>AP158+AQ158</f>
        <v>0</v>
      </c>
      <c r="AP158" s="288">
        <f>AP156*AP157/1000</f>
        <v>0</v>
      </c>
      <c r="AQ158" s="288">
        <f>AQ156*AQ157/1000</f>
        <v>0</v>
      </c>
      <c r="AR158" s="674">
        <f>AS158+AT158</f>
        <v>0</v>
      </c>
      <c r="AS158" s="288">
        <f>AS156*AS157/1000</f>
        <v>0</v>
      </c>
      <c r="AT158" s="288">
        <f>AT156*AT157/1000</f>
        <v>0</v>
      </c>
      <c r="AU158" s="674">
        <f>AV158+AW158</f>
        <v>0</v>
      </c>
      <c r="AV158" s="288">
        <f>AV156*AV157/1000</f>
        <v>0</v>
      </c>
      <c r="AW158" s="288">
        <f>AW156*AW157/1000</f>
        <v>0</v>
      </c>
      <c r="AX158" s="674">
        <f>AY158+AZ158</f>
        <v>0</v>
      </c>
      <c r="AY158" s="288">
        <f>AY156*AY157/1000</f>
        <v>0</v>
      </c>
      <c r="AZ158" s="288">
        <f>AZ156*AZ157/1000</f>
        <v>0</v>
      </c>
      <c r="BA158" s="674">
        <f>BB158+BC158</f>
        <v>0</v>
      </c>
      <c r="BB158" s="288">
        <f>BB156*BB157/1000</f>
        <v>0</v>
      </c>
      <c r="BC158" s="288">
        <f>BC156*BC157/1000</f>
        <v>0</v>
      </c>
      <c r="BD158" s="674">
        <f>BE158+BF158</f>
        <v>0</v>
      </c>
      <c r="BE158" s="288">
        <f>BE156*BE157/1000</f>
        <v>0</v>
      </c>
      <c r="BF158" s="288">
        <f>BF156*BF157/1000</f>
        <v>0</v>
      </c>
      <c r="BG158" s="674">
        <f>BH158+BI158</f>
        <v>0</v>
      </c>
      <c r="BH158" s="288">
        <f>BH156*BH157/1000</f>
        <v>0</v>
      </c>
      <c r="BI158" s="288">
        <f>BI156*BI157/1000</f>
        <v>0</v>
      </c>
      <c r="BJ158" s="674">
        <f>BK158+BL158</f>
        <v>0</v>
      </c>
      <c r="BK158" s="288">
        <f>BK156*BK157/1000</f>
        <v>0</v>
      </c>
      <c r="BL158" s="288">
        <f>BL156*BL157/1000</f>
        <v>0</v>
      </c>
      <c r="BM158" s="674">
        <f>BN158+BO158</f>
        <v>0</v>
      </c>
      <c r="BN158" s="288">
        <f>BN156*BN157/1000</f>
        <v>0</v>
      </c>
      <c r="BO158" s="288">
        <f>BO156*BO157/1000</f>
        <v>0</v>
      </c>
      <c r="BP158" s="674">
        <f>BQ158+BR158</f>
        <v>0</v>
      </c>
      <c r="BQ158" s="288">
        <f>BQ156*BQ157/1000</f>
        <v>0</v>
      </c>
      <c r="BR158" s="288">
        <f>BR156*BR157/1000</f>
        <v>0</v>
      </c>
      <c r="BS158" s="674">
        <f>BT158+BU158</f>
        <v>0</v>
      </c>
      <c r="BT158" s="288">
        <f>BT156*BT157/1000</f>
        <v>0</v>
      </c>
      <c r="BU158" s="288">
        <f>BU156*BU157/1000</f>
        <v>0</v>
      </c>
      <c r="BV158" s="674">
        <f>BW158+BX158</f>
        <v>0</v>
      </c>
      <c r="BW158" s="288">
        <f>BW156*BW157/1000</f>
        <v>0</v>
      </c>
      <c r="BX158" s="288">
        <f>BX156*BX157/1000</f>
        <v>0</v>
      </c>
      <c r="BY158" s="674">
        <f>BZ158+CA158</f>
        <v>0</v>
      </c>
      <c r="BZ158" s="288">
        <f>BZ156*BZ157/1000</f>
        <v>0</v>
      </c>
      <c r="CA158" s="288">
        <f>CA156*CA157/1000</f>
        <v>0</v>
      </c>
      <c r="CB158" s="674">
        <f>CC158+CD158</f>
        <v>0</v>
      </c>
      <c r="CC158" s="288">
        <f>CC156*CC157/1000</f>
        <v>0</v>
      </c>
      <c r="CD158" s="288">
        <f>CD156*CD157/1000</f>
        <v>0</v>
      </c>
      <c r="CE158" s="674">
        <f>CF158+CG158</f>
        <v>0</v>
      </c>
      <c r="CF158" s="288">
        <f>CF156*CF157/1000</f>
        <v>0</v>
      </c>
      <c r="CG158" s="288">
        <f>CG156*CG157/1000</f>
        <v>0</v>
      </c>
      <c r="CH158" s="674">
        <f>CI158+CJ158</f>
        <v>0</v>
      </c>
      <c r="CI158" s="288">
        <f>CI156*CI157/1000</f>
        <v>0</v>
      </c>
      <c r="CJ158" s="288">
        <f>CJ156*CJ157/1000</f>
        <v>0</v>
      </c>
      <c r="CK158" s="674">
        <f>CL158+CM158</f>
        <v>0</v>
      </c>
      <c r="CL158" s="288">
        <f>CL156*CL157/1000</f>
        <v>0</v>
      </c>
      <c r="CM158" s="288">
        <f>CM156*CM157/1000</f>
        <v>0</v>
      </c>
      <c r="CN158" s="674">
        <f>CO158+CP158</f>
        <v>0</v>
      </c>
      <c r="CO158" s="288">
        <f>CO156*CO157/1000</f>
        <v>0</v>
      </c>
      <c r="CP158" s="288">
        <f>CP156*CP157/1000</f>
        <v>0</v>
      </c>
      <c r="CQ158" s="674">
        <f>CR158+CS158</f>
        <v>0</v>
      </c>
      <c r="CR158" s="288">
        <f>CR156*CR157/1000</f>
        <v>0</v>
      </c>
      <c r="CS158" s="288">
        <f>CS156*CS157/1000</f>
        <v>0</v>
      </c>
      <c r="CT158" s="1106"/>
      <c r="CW158" s="902" t="s">
        <v>613</v>
      </c>
      <c r="CX158" s="907"/>
      <c r="CY158" s="907"/>
      <c r="CZ158" s="907"/>
      <c r="DA158" s="908"/>
      <c r="DB158" s="908"/>
    </row>
    <row r="159" spans="1:106" s="1057" customFormat="1" ht="29.25" customHeight="1">
      <c r="A159" s="769"/>
      <c r="B159" s="718"/>
      <c r="C159" s="1016"/>
      <c r="D159" s="1016"/>
      <c r="E159" s="623">
        <v>30</v>
      </c>
      <c r="F159" s="714" t="str">
        <f t="shared" ca="1" si="78"/>
        <v>1</v>
      </c>
      <c r="G159" s="750"/>
      <c r="H159" s="750"/>
      <c r="I159" s="750"/>
      <c r="J159" s="750"/>
      <c r="K159" s="750"/>
      <c r="L159" s="750"/>
      <c r="M159" s="750"/>
      <c r="N159" s="750"/>
      <c r="O159" s="750"/>
      <c r="P159" s="750"/>
      <c r="Q159" s="750"/>
      <c r="R159" s="1016"/>
      <c r="S159" s="98" t="b">
        <f t="shared" ca="1" si="79"/>
        <v>1</v>
      </c>
      <c r="T159" s="1016"/>
      <c r="U159" s="645" t="b">
        <f t="shared" ca="1" si="96"/>
        <v>1</v>
      </c>
      <c r="V159" s="1016"/>
      <c r="W159" s="1016"/>
      <c r="X159" s="1016"/>
      <c r="Y159" s="1382"/>
      <c r="Z159" s="1382"/>
      <c r="AA159" s="646"/>
      <c r="AB159" s="1469"/>
      <c r="AD159" s="99">
        <v>13</v>
      </c>
      <c r="AE159" s="1443" t="s">
        <v>597</v>
      </c>
      <c r="AF159" s="1444"/>
      <c r="AG159" s="497" t="s">
        <v>598</v>
      </c>
      <c r="AH159" s="1117">
        <f t="shared" ref="AH159:BM159" si="97">AH152</f>
        <v>0</v>
      </c>
      <c r="AI159" s="1117">
        <f t="shared" si="97"/>
        <v>0</v>
      </c>
      <c r="AJ159" s="1117">
        <f t="shared" si="97"/>
        <v>0</v>
      </c>
      <c r="AK159" s="1117">
        <f t="shared" si="97"/>
        <v>0</v>
      </c>
      <c r="AL159" s="1117">
        <f t="shared" si="97"/>
        <v>0</v>
      </c>
      <c r="AM159" s="1117">
        <f t="shared" si="97"/>
        <v>0</v>
      </c>
      <c r="AN159" s="1117">
        <f t="shared" si="97"/>
        <v>0</v>
      </c>
      <c r="AO159" s="1112">
        <f t="shared" si="97"/>
        <v>0</v>
      </c>
      <c r="AP159" s="1112">
        <f t="shared" si="97"/>
        <v>0</v>
      </c>
      <c r="AQ159" s="1112">
        <f t="shared" si="97"/>
        <v>0</v>
      </c>
      <c r="AR159" s="1112">
        <f t="shared" si="97"/>
        <v>0</v>
      </c>
      <c r="AS159" s="1112">
        <f t="shared" si="97"/>
        <v>0</v>
      </c>
      <c r="AT159" s="1112">
        <f t="shared" si="97"/>
        <v>0</v>
      </c>
      <c r="AU159" s="1117">
        <f t="shared" si="97"/>
        <v>0</v>
      </c>
      <c r="AV159" s="1117">
        <f t="shared" si="97"/>
        <v>0</v>
      </c>
      <c r="AW159" s="1117">
        <f t="shared" si="97"/>
        <v>0</v>
      </c>
      <c r="AX159" s="1117">
        <f t="shared" si="97"/>
        <v>0</v>
      </c>
      <c r="AY159" s="1117">
        <f t="shared" si="97"/>
        <v>0</v>
      </c>
      <c r="AZ159" s="1117">
        <f t="shared" si="97"/>
        <v>0</v>
      </c>
      <c r="BA159" s="1117">
        <f t="shared" si="97"/>
        <v>0</v>
      </c>
      <c r="BB159" s="1117">
        <f t="shared" si="97"/>
        <v>0</v>
      </c>
      <c r="BC159" s="1117">
        <f t="shared" si="97"/>
        <v>0</v>
      </c>
      <c r="BD159" s="1117">
        <f t="shared" si="97"/>
        <v>0</v>
      </c>
      <c r="BE159" s="1117">
        <f t="shared" si="97"/>
        <v>0</v>
      </c>
      <c r="BF159" s="1117">
        <f t="shared" si="97"/>
        <v>0</v>
      </c>
      <c r="BG159" s="1117">
        <f t="shared" si="97"/>
        <v>0</v>
      </c>
      <c r="BH159" s="1117">
        <f t="shared" si="97"/>
        <v>0</v>
      </c>
      <c r="BI159" s="1117">
        <f t="shared" si="97"/>
        <v>0</v>
      </c>
      <c r="BJ159" s="1117">
        <f t="shared" si="97"/>
        <v>0</v>
      </c>
      <c r="BK159" s="1117">
        <f t="shared" si="97"/>
        <v>0</v>
      </c>
      <c r="BL159" s="1117">
        <f t="shared" si="97"/>
        <v>0</v>
      </c>
      <c r="BM159" s="1117">
        <f t="shared" si="97"/>
        <v>0</v>
      </c>
      <c r="BN159" s="1117">
        <f t="shared" ref="BN159:CS159" si="98">BN152</f>
        <v>0</v>
      </c>
      <c r="BO159" s="1117">
        <f t="shared" si="98"/>
        <v>0</v>
      </c>
      <c r="BP159" s="763">
        <f t="shared" si="98"/>
        <v>0</v>
      </c>
      <c r="BQ159" s="763">
        <f t="shared" si="98"/>
        <v>0</v>
      </c>
      <c r="BR159" s="763">
        <f t="shared" si="98"/>
        <v>0</v>
      </c>
      <c r="BS159" s="1112">
        <f t="shared" si="98"/>
        <v>0</v>
      </c>
      <c r="BT159" s="1112">
        <f t="shared" si="98"/>
        <v>0</v>
      </c>
      <c r="BU159" s="1112">
        <f t="shared" si="98"/>
        <v>0</v>
      </c>
      <c r="BV159" s="1112">
        <f t="shared" si="98"/>
        <v>0</v>
      </c>
      <c r="BW159" s="1112">
        <f t="shared" si="98"/>
        <v>0</v>
      </c>
      <c r="BX159" s="1112">
        <f t="shared" si="98"/>
        <v>0</v>
      </c>
      <c r="BY159" s="1117">
        <f t="shared" si="98"/>
        <v>0</v>
      </c>
      <c r="BZ159" s="1117">
        <f t="shared" si="98"/>
        <v>0</v>
      </c>
      <c r="CA159" s="1117">
        <f t="shared" si="98"/>
        <v>0</v>
      </c>
      <c r="CB159" s="1117">
        <f t="shared" si="98"/>
        <v>0</v>
      </c>
      <c r="CC159" s="1117">
        <f t="shared" si="98"/>
        <v>0</v>
      </c>
      <c r="CD159" s="1117">
        <f t="shared" si="98"/>
        <v>0</v>
      </c>
      <c r="CE159" s="1117">
        <f t="shared" si="98"/>
        <v>0</v>
      </c>
      <c r="CF159" s="1117">
        <f t="shared" si="98"/>
        <v>0</v>
      </c>
      <c r="CG159" s="1117">
        <f t="shared" si="98"/>
        <v>0</v>
      </c>
      <c r="CH159" s="1117">
        <f t="shared" si="98"/>
        <v>0</v>
      </c>
      <c r="CI159" s="1117">
        <f t="shared" si="98"/>
        <v>0</v>
      </c>
      <c r="CJ159" s="1117">
        <f t="shared" si="98"/>
        <v>0</v>
      </c>
      <c r="CK159" s="1117">
        <f t="shared" si="98"/>
        <v>0</v>
      </c>
      <c r="CL159" s="1117">
        <f t="shared" si="98"/>
        <v>0</v>
      </c>
      <c r="CM159" s="1117">
        <f t="shared" si="98"/>
        <v>0</v>
      </c>
      <c r="CN159" s="1117">
        <f t="shared" si="98"/>
        <v>0</v>
      </c>
      <c r="CO159" s="1117">
        <f t="shared" si="98"/>
        <v>0</v>
      </c>
      <c r="CP159" s="1117">
        <f t="shared" si="98"/>
        <v>0</v>
      </c>
      <c r="CQ159" s="1117">
        <f t="shared" si="98"/>
        <v>0</v>
      </c>
      <c r="CR159" s="1117">
        <f t="shared" si="98"/>
        <v>0</v>
      </c>
      <c r="CS159" s="1117">
        <f t="shared" si="98"/>
        <v>0</v>
      </c>
      <c r="CT159" s="1106"/>
      <c r="CW159" s="902" t="s">
        <v>614</v>
      </c>
      <c r="CX159" s="907"/>
      <c r="CY159" s="907"/>
      <c r="CZ159" s="907"/>
      <c r="DA159" s="908"/>
      <c r="DB159" s="908"/>
    </row>
    <row r="160" spans="1:106" s="1057" customFormat="1" ht="29.25" customHeight="1">
      <c r="A160" s="769"/>
      <c r="B160" s="718"/>
      <c r="C160" s="1016"/>
      <c r="D160" s="1016"/>
      <c r="E160" s="623">
        <v>30</v>
      </c>
      <c r="F160" s="714" t="str">
        <f t="shared" ca="1" si="78"/>
        <v>1</v>
      </c>
      <c r="G160" s="750"/>
      <c r="H160" s="750"/>
      <c r="I160" s="750"/>
      <c r="J160" s="750"/>
      <c r="K160" s="750"/>
      <c r="L160" s="750"/>
      <c r="M160" s="750"/>
      <c r="N160" s="750"/>
      <c r="O160" s="750"/>
      <c r="P160" s="750"/>
      <c r="Q160" s="750"/>
      <c r="R160" s="1016"/>
      <c r="S160" s="98" t="b">
        <f t="shared" ca="1" si="79"/>
        <v>1</v>
      </c>
      <c r="T160" s="1016"/>
      <c r="U160" s="645" t="b">
        <f t="shared" ca="1" si="96"/>
        <v>1</v>
      </c>
      <c r="V160" s="1016"/>
      <c r="W160" s="1016"/>
      <c r="X160" s="1016"/>
      <c r="Y160" s="1382"/>
      <c r="Z160" s="1382"/>
      <c r="AA160" s="646"/>
      <c r="AB160" s="1469"/>
      <c r="AD160" s="99">
        <v>14</v>
      </c>
      <c r="AE160" s="1443" t="s">
        <v>615</v>
      </c>
      <c r="AF160" s="1444"/>
      <c r="AG160" s="99" t="s">
        <v>616</v>
      </c>
      <c r="AH160" s="1117">
        <f>IFERROR(AH161/AH159*1000,0)</f>
        <v>0</v>
      </c>
      <c r="AI160" s="1117">
        <f>IFERROR(AI161/AI159*1000,0)</f>
        <v>0</v>
      </c>
      <c r="AJ160" s="1117">
        <f>IFERROR(AJ161/AJ159*1000,0)</f>
        <v>0</v>
      </c>
      <c r="AK160" s="1117">
        <f>IFERROR(AK161/AK159*1000,0)</f>
        <v>0</v>
      </c>
      <c r="AL160" s="1117"/>
      <c r="AM160" s="1117">
        <f>AL160</f>
        <v>0</v>
      </c>
      <c r="AN160" s="1117">
        <f>AL160</f>
        <v>0</v>
      </c>
      <c r="AO160" s="1112"/>
      <c r="AP160" s="1112">
        <f>AO160</f>
        <v>0</v>
      </c>
      <c r="AQ160" s="1112">
        <f>AO160</f>
        <v>0</v>
      </c>
      <c r="AR160" s="1112"/>
      <c r="AS160" s="1112">
        <f>AR160</f>
        <v>0</v>
      </c>
      <c r="AT160" s="1112">
        <f>AR160</f>
        <v>0</v>
      </c>
      <c r="AU160" s="1117"/>
      <c r="AV160" s="1117">
        <f>AU160</f>
        <v>0</v>
      </c>
      <c r="AW160" s="1117">
        <f>AU160</f>
        <v>0</v>
      </c>
      <c r="AX160" s="1117"/>
      <c r="AY160" s="1117">
        <f>AX160</f>
        <v>0</v>
      </c>
      <c r="AZ160" s="1117">
        <f>AX160</f>
        <v>0</v>
      </c>
      <c r="BA160" s="1117"/>
      <c r="BB160" s="1117">
        <f>BA160</f>
        <v>0</v>
      </c>
      <c r="BC160" s="1117">
        <f>BA160</f>
        <v>0</v>
      </c>
      <c r="BD160" s="1117"/>
      <c r="BE160" s="1117">
        <f>BD160</f>
        <v>0</v>
      </c>
      <c r="BF160" s="1117">
        <f>BD160</f>
        <v>0</v>
      </c>
      <c r="BG160" s="1117"/>
      <c r="BH160" s="1117">
        <f>BG160</f>
        <v>0</v>
      </c>
      <c r="BI160" s="1117">
        <f>BG160</f>
        <v>0</v>
      </c>
      <c r="BJ160" s="1117"/>
      <c r="BK160" s="1117">
        <f>BJ160</f>
        <v>0</v>
      </c>
      <c r="BL160" s="1117">
        <f>BJ160</f>
        <v>0</v>
      </c>
      <c r="BM160" s="1117"/>
      <c r="BN160" s="1117">
        <f>BM160</f>
        <v>0</v>
      </c>
      <c r="BO160" s="1117">
        <f>BM160</f>
        <v>0</v>
      </c>
      <c r="BP160" s="763"/>
      <c r="BQ160" s="763">
        <f>BP160</f>
        <v>0</v>
      </c>
      <c r="BR160" s="763">
        <f>BP160</f>
        <v>0</v>
      </c>
      <c r="BS160" s="1112"/>
      <c r="BT160" s="1112">
        <f>BS160</f>
        <v>0</v>
      </c>
      <c r="BU160" s="1112">
        <f>BS160</f>
        <v>0</v>
      </c>
      <c r="BV160" s="1112"/>
      <c r="BW160" s="1112">
        <f>BV160</f>
        <v>0</v>
      </c>
      <c r="BX160" s="1112">
        <f>BV160</f>
        <v>0</v>
      </c>
      <c r="BY160" s="1117"/>
      <c r="BZ160" s="1117">
        <f>BY160</f>
        <v>0</v>
      </c>
      <c r="CA160" s="1117">
        <f>BY160</f>
        <v>0</v>
      </c>
      <c r="CB160" s="1117"/>
      <c r="CC160" s="1117">
        <f>CB160</f>
        <v>0</v>
      </c>
      <c r="CD160" s="1117">
        <f>CB160</f>
        <v>0</v>
      </c>
      <c r="CE160" s="1117"/>
      <c r="CF160" s="1117">
        <f>CE160</f>
        <v>0</v>
      </c>
      <c r="CG160" s="1117">
        <f>CE160</f>
        <v>0</v>
      </c>
      <c r="CH160" s="1117"/>
      <c r="CI160" s="1117">
        <f>CH160</f>
        <v>0</v>
      </c>
      <c r="CJ160" s="1117">
        <f>CH160</f>
        <v>0</v>
      </c>
      <c r="CK160" s="1117"/>
      <c r="CL160" s="1117">
        <f>CK160</f>
        <v>0</v>
      </c>
      <c r="CM160" s="1117">
        <f>CK160</f>
        <v>0</v>
      </c>
      <c r="CN160" s="1117"/>
      <c r="CO160" s="1117">
        <f>CN160</f>
        <v>0</v>
      </c>
      <c r="CP160" s="1117">
        <f>CN160</f>
        <v>0</v>
      </c>
      <c r="CQ160" s="1117"/>
      <c r="CR160" s="1117">
        <f>CQ160</f>
        <v>0</v>
      </c>
      <c r="CS160" s="1117">
        <f>CQ160</f>
        <v>0</v>
      </c>
      <c r="CT160" s="1106"/>
      <c r="CW160" s="902" t="s">
        <v>617</v>
      </c>
      <c r="CX160" s="907"/>
      <c r="CY160" s="907"/>
      <c r="CZ160" s="907"/>
      <c r="DA160" s="908"/>
      <c r="DB160" s="908"/>
    </row>
    <row r="161" spans="1:106" s="1057" customFormat="1" ht="16.5" customHeight="1">
      <c r="A161" s="769"/>
      <c r="B161" s="718"/>
      <c r="C161" s="1016"/>
      <c r="D161" s="1016"/>
      <c r="E161" s="623">
        <v>17.100000000000001</v>
      </c>
      <c r="F161" s="714" t="str">
        <f t="shared" ca="1" si="78"/>
        <v>1</v>
      </c>
      <c r="G161" s="750"/>
      <c r="H161" s="750"/>
      <c r="I161" s="750"/>
      <c r="J161" s="750"/>
      <c r="K161" s="750"/>
      <c r="L161" s="750"/>
      <c r="M161" s="750"/>
      <c r="N161" s="750"/>
      <c r="O161" s="750"/>
      <c r="P161" s="750"/>
      <c r="Q161" s="750"/>
      <c r="R161" s="1016"/>
      <c r="S161" s="98" t="b">
        <f t="shared" ca="1" si="79"/>
        <v>1</v>
      </c>
      <c r="T161" s="1016"/>
      <c r="U161" s="645" t="b">
        <f t="shared" ca="1" si="96"/>
        <v>1</v>
      </c>
      <c r="V161" s="1016"/>
      <c r="W161" s="1016"/>
      <c r="X161" s="1016"/>
      <c r="Y161" s="1382"/>
      <c r="Z161" s="1382"/>
      <c r="AA161" s="646"/>
      <c r="AB161" s="1433" t="s">
        <v>618</v>
      </c>
      <c r="AD161" s="99">
        <v>15</v>
      </c>
      <c r="AE161" s="1443" t="s">
        <v>619</v>
      </c>
      <c r="AF161" s="1444"/>
      <c r="AG161" s="99" t="s">
        <v>612</v>
      </c>
      <c r="AH161" s="1117"/>
      <c r="AI161" s="1117"/>
      <c r="AJ161" s="1117"/>
      <c r="AK161" s="1117"/>
      <c r="AL161" s="672">
        <f>AM161+AN161</f>
        <v>0</v>
      </c>
      <c r="AM161" s="1117">
        <f>AM160*AM159/1000</f>
        <v>0</v>
      </c>
      <c r="AN161" s="1117">
        <f>AN160*AN159/1000</f>
        <v>0</v>
      </c>
      <c r="AO161" s="672">
        <f>AP161+AQ161</f>
        <v>0</v>
      </c>
      <c r="AP161" s="1112">
        <f>AP160*AP159/1000</f>
        <v>0</v>
      </c>
      <c r="AQ161" s="1112">
        <f>AQ160*AQ159/1000</f>
        <v>0</v>
      </c>
      <c r="AR161" s="672">
        <f>AS161+AT161</f>
        <v>0</v>
      </c>
      <c r="AS161" s="1112">
        <f>AS160*AS159/1000</f>
        <v>0</v>
      </c>
      <c r="AT161" s="1112">
        <f>AT160*AT159/1000</f>
        <v>0</v>
      </c>
      <c r="AU161" s="672">
        <f>AV161+AW161</f>
        <v>0</v>
      </c>
      <c r="AV161" s="1117">
        <f>AV160*AV159/1000</f>
        <v>0</v>
      </c>
      <c r="AW161" s="1117">
        <f>AW160*AW159/1000</f>
        <v>0</v>
      </c>
      <c r="AX161" s="672">
        <f>AY161+AZ161</f>
        <v>0</v>
      </c>
      <c r="AY161" s="1117">
        <f>AY160*AY159/1000</f>
        <v>0</v>
      </c>
      <c r="AZ161" s="1117">
        <f>AZ160*AZ159/1000</f>
        <v>0</v>
      </c>
      <c r="BA161" s="672">
        <f>BB161+BC161</f>
        <v>0</v>
      </c>
      <c r="BB161" s="1117">
        <f>BB160*BB159/1000</f>
        <v>0</v>
      </c>
      <c r="BC161" s="1117">
        <f>BC160*BC159/1000</f>
        <v>0</v>
      </c>
      <c r="BD161" s="672">
        <f>BE161+BF161</f>
        <v>0</v>
      </c>
      <c r="BE161" s="1117">
        <f>BE160*BE159/1000</f>
        <v>0</v>
      </c>
      <c r="BF161" s="1117">
        <f>BF160*BF159/1000</f>
        <v>0</v>
      </c>
      <c r="BG161" s="672">
        <f>BH161+BI161</f>
        <v>0</v>
      </c>
      <c r="BH161" s="1117">
        <f>BH160*BH159/1000</f>
        <v>0</v>
      </c>
      <c r="BI161" s="1117">
        <f>BI160*BI159/1000</f>
        <v>0</v>
      </c>
      <c r="BJ161" s="672">
        <f>BK161+BL161</f>
        <v>0</v>
      </c>
      <c r="BK161" s="1117">
        <f>BK160*BK159/1000</f>
        <v>0</v>
      </c>
      <c r="BL161" s="1117">
        <f>BL160*BL159/1000</f>
        <v>0</v>
      </c>
      <c r="BM161" s="672">
        <f>BN161+BO161</f>
        <v>0</v>
      </c>
      <c r="BN161" s="1117">
        <f>BN160*BN159/1000</f>
        <v>0</v>
      </c>
      <c r="BO161" s="1117">
        <f>BO160*BO159/1000</f>
        <v>0</v>
      </c>
      <c r="BP161" s="672">
        <f>BQ161+BR161</f>
        <v>0</v>
      </c>
      <c r="BQ161" s="763">
        <f>BQ160*BQ159/1000</f>
        <v>0</v>
      </c>
      <c r="BR161" s="763">
        <f>BR160*BR159/1000</f>
        <v>0</v>
      </c>
      <c r="BS161" s="672">
        <f>BT161+BU161</f>
        <v>0</v>
      </c>
      <c r="BT161" s="1112">
        <f>BT160*BT159/1000</f>
        <v>0</v>
      </c>
      <c r="BU161" s="1112">
        <f>BU160*BU159/1000</f>
        <v>0</v>
      </c>
      <c r="BV161" s="672">
        <f>BW161+BX161</f>
        <v>0</v>
      </c>
      <c r="BW161" s="1112">
        <f>BW160*BW159/1000</f>
        <v>0</v>
      </c>
      <c r="BX161" s="1112">
        <f>BX160*BX159/1000</f>
        <v>0</v>
      </c>
      <c r="BY161" s="672">
        <f>BZ161+CA161</f>
        <v>0</v>
      </c>
      <c r="BZ161" s="1117">
        <f>BZ160*BZ159/1000</f>
        <v>0</v>
      </c>
      <c r="CA161" s="1117">
        <f>CA160*CA159/1000</f>
        <v>0</v>
      </c>
      <c r="CB161" s="672">
        <f>CC161+CD161</f>
        <v>0</v>
      </c>
      <c r="CC161" s="1117">
        <f>CC160*CC159/1000</f>
        <v>0</v>
      </c>
      <c r="CD161" s="1117">
        <f>CD160*CD159/1000</f>
        <v>0</v>
      </c>
      <c r="CE161" s="672">
        <f>CF161+CG161</f>
        <v>0</v>
      </c>
      <c r="CF161" s="1117">
        <f>CF160*CF159/1000</f>
        <v>0</v>
      </c>
      <c r="CG161" s="1117">
        <f>CG160*CG159/1000</f>
        <v>0</v>
      </c>
      <c r="CH161" s="672">
        <f>CI161+CJ161</f>
        <v>0</v>
      </c>
      <c r="CI161" s="1117">
        <f>CI160*CI159/1000</f>
        <v>0</v>
      </c>
      <c r="CJ161" s="1117">
        <f>CJ160*CJ159/1000</f>
        <v>0</v>
      </c>
      <c r="CK161" s="672">
        <f>CL161+CM161</f>
        <v>0</v>
      </c>
      <c r="CL161" s="1117">
        <f>CL160*CL159/1000</f>
        <v>0</v>
      </c>
      <c r="CM161" s="1117">
        <f>CM160*CM159/1000</f>
        <v>0</v>
      </c>
      <c r="CN161" s="672">
        <f>CO161+CP161</f>
        <v>0</v>
      </c>
      <c r="CO161" s="1117">
        <f>CO160*CO159/1000</f>
        <v>0</v>
      </c>
      <c r="CP161" s="1117">
        <f>CP160*CP159/1000</f>
        <v>0</v>
      </c>
      <c r="CQ161" s="672">
        <f>CR161+CS161</f>
        <v>0</v>
      </c>
      <c r="CR161" s="1117">
        <f>CR160*CR159/1000</f>
        <v>0</v>
      </c>
      <c r="CS161" s="1117">
        <f>CS160*CS159/1000</f>
        <v>0</v>
      </c>
      <c r="CT161" s="1106"/>
      <c r="CW161" s="902" t="s">
        <v>620</v>
      </c>
      <c r="CX161" s="907"/>
      <c r="CY161" s="907"/>
      <c r="CZ161" s="907"/>
      <c r="DA161" s="908"/>
      <c r="DB161" s="908"/>
    </row>
    <row r="162" spans="1:106" s="1057" customFormat="1" ht="16.5" customHeight="1">
      <c r="A162" s="769"/>
      <c r="B162" s="718"/>
      <c r="C162" s="1016"/>
      <c r="D162" s="1016"/>
      <c r="E162" s="623">
        <v>17.100000000000001</v>
      </c>
      <c r="F162" s="714" t="str">
        <f t="shared" ca="1" si="78"/>
        <v>1</v>
      </c>
      <c r="G162" s="750"/>
      <c r="H162" s="750"/>
      <c r="I162" s="750"/>
      <c r="J162" s="750"/>
      <c r="K162" s="750"/>
      <c r="L162" s="750"/>
      <c r="M162" s="750"/>
      <c r="N162" s="750"/>
      <c r="O162" s="750"/>
      <c r="P162" s="750"/>
      <c r="Q162" s="750"/>
      <c r="R162" s="1016"/>
      <c r="S162" s="98" t="b">
        <f t="shared" ca="1" si="79"/>
        <v>1</v>
      </c>
      <c r="T162" s="1016"/>
      <c r="U162" s="645" t="b">
        <f t="shared" ca="1" si="96"/>
        <v>1</v>
      </c>
      <c r="V162" s="1016"/>
      <c r="W162" s="1016"/>
      <c r="X162" s="1016"/>
      <c r="Y162" s="1382"/>
      <c r="Z162" s="1382"/>
      <c r="AA162" s="646"/>
      <c r="AB162" s="1434"/>
      <c r="AD162" s="99">
        <v>16</v>
      </c>
      <c r="AE162" s="1443" t="s">
        <v>621</v>
      </c>
      <c r="AF162" s="1444"/>
      <c r="AG162" s="99" t="s">
        <v>612</v>
      </c>
      <c r="AH162" s="672">
        <f>AH161+AH158</f>
        <v>0</v>
      </c>
      <c r="AI162" s="672">
        <f>AI161+AI158</f>
        <v>0</v>
      </c>
      <c r="AJ162" s="672">
        <f>AJ161+AJ158</f>
        <v>0</v>
      </c>
      <c r="AK162" s="672">
        <f>AK161+AK158</f>
        <v>0</v>
      </c>
      <c r="AL162" s="672">
        <f>AM162+AN162</f>
        <v>0</v>
      </c>
      <c r="AM162" s="672">
        <f>AM161+AM158</f>
        <v>0</v>
      </c>
      <c r="AN162" s="672">
        <f>AN161+AN158</f>
        <v>0</v>
      </c>
      <c r="AO162" s="672">
        <f>AP162+AQ162</f>
        <v>0</v>
      </c>
      <c r="AP162" s="672">
        <f>AP161+AP158</f>
        <v>0</v>
      </c>
      <c r="AQ162" s="672">
        <f>AQ161+AQ158</f>
        <v>0</v>
      </c>
      <c r="AR162" s="672">
        <f>AS162+AT162</f>
        <v>0</v>
      </c>
      <c r="AS162" s="672">
        <f>AS161+AS158</f>
        <v>0</v>
      </c>
      <c r="AT162" s="672">
        <f>AT161+AT158</f>
        <v>0</v>
      </c>
      <c r="AU162" s="672">
        <f>AV162+AW162</f>
        <v>0</v>
      </c>
      <c r="AV162" s="672">
        <f>AV161+AV158</f>
        <v>0</v>
      </c>
      <c r="AW162" s="672">
        <f>AW161+AW158</f>
        <v>0</v>
      </c>
      <c r="AX162" s="672">
        <f>AY162+AZ162</f>
        <v>0</v>
      </c>
      <c r="AY162" s="672">
        <f>AY161+AY158</f>
        <v>0</v>
      </c>
      <c r="AZ162" s="672">
        <f>AZ161+AZ158</f>
        <v>0</v>
      </c>
      <c r="BA162" s="672">
        <f>BB162+BC162</f>
        <v>0</v>
      </c>
      <c r="BB162" s="672">
        <f>BB161+BB158</f>
        <v>0</v>
      </c>
      <c r="BC162" s="672">
        <f>BC161+BC158</f>
        <v>0</v>
      </c>
      <c r="BD162" s="672">
        <f>BE162+BF162</f>
        <v>0</v>
      </c>
      <c r="BE162" s="672">
        <f>BE161+BE158</f>
        <v>0</v>
      </c>
      <c r="BF162" s="672">
        <f>BF161+BF158</f>
        <v>0</v>
      </c>
      <c r="BG162" s="672">
        <f>BH162+BI162</f>
        <v>0</v>
      </c>
      <c r="BH162" s="672">
        <f>BH161+BH158</f>
        <v>0</v>
      </c>
      <c r="BI162" s="672">
        <f>BI161+BI158</f>
        <v>0</v>
      </c>
      <c r="BJ162" s="672">
        <f>BK162+BL162</f>
        <v>0</v>
      </c>
      <c r="BK162" s="672">
        <f>BK161+BK158</f>
        <v>0</v>
      </c>
      <c r="BL162" s="672">
        <f>BL161+BL158</f>
        <v>0</v>
      </c>
      <c r="BM162" s="672">
        <f>BN162+BO162</f>
        <v>0</v>
      </c>
      <c r="BN162" s="672">
        <f>BN161+BN158</f>
        <v>0</v>
      </c>
      <c r="BO162" s="672">
        <f>BO161+BO158</f>
        <v>0</v>
      </c>
      <c r="BP162" s="672">
        <f>BQ162+BR162</f>
        <v>0</v>
      </c>
      <c r="BQ162" s="672">
        <f>BQ161+BQ158</f>
        <v>0</v>
      </c>
      <c r="BR162" s="672">
        <f>BR161+BR158</f>
        <v>0</v>
      </c>
      <c r="BS162" s="672">
        <f>BT162+BU162</f>
        <v>0</v>
      </c>
      <c r="BT162" s="672">
        <f>BT161+BT158</f>
        <v>0</v>
      </c>
      <c r="BU162" s="672">
        <f>BU161+BU158</f>
        <v>0</v>
      </c>
      <c r="BV162" s="672">
        <f>BW162+BX162</f>
        <v>0</v>
      </c>
      <c r="BW162" s="672">
        <f>BW161+BW158</f>
        <v>0</v>
      </c>
      <c r="BX162" s="672">
        <f>BX161+BX158</f>
        <v>0</v>
      </c>
      <c r="BY162" s="672">
        <f>BZ162+CA162</f>
        <v>0</v>
      </c>
      <c r="BZ162" s="672">
        <f>BZ161+BZ158</f>
        <v>0</v>
      </c>
      <c r="CA162" s="672">
        <f>CA161+CA158</f>
        <v>0</v>
      </c>
      <c r="CB162" s="672">
        <f>CC162+CD162</f>
        <v>0</v>
      </c>
      <c r="CC162" s="672">
        <f>CC161+CC158</f>
        <v>0</v>
      </c>
      <c r="CD162" s="672">
        <f>CD161+CD158</f>
        <v>0</v>
      </c>
      <c r="CE162" s="672">
        <f>CF162+CG162</f>
        <v>0</v>
      </c>
      <c r="CF162" s="672">
        <f>CF161+CF158</f>
        <v>0</v>
      </c>
      <c r="CG162" s="672">
        <f>CG161+CG158</f>
        <v>0</v>
      </c>
      <c r="CH162" s="672">
        <f>CI162+CJ162</f>
        <v>0</v>
      </c>
      <c r="CI162" s="672">
        <f>CI161+CI158</f>
        <v>0</v>
      </c>
      <c r="CJ162" s="672">
        <f>CJ161+CJ158</f>
        <v>0</v>
      </c>
      <c r="CK162" s="672">
        <f>CL162+CM162</f>
        <v>0</v>
      </c>
      <c r="CL162" s="672">
        <f>CL161+CL158</f>
        <v>0</v>
      </c>
      <c r="CM162" s="672">
        <f>CM161+CM158</f>
        <v>0</v>
      </c>
      <c r="CN162" s="672">
        <f>CO162+CP162</f>
        <v>0</v>
      </c>
      <c r="CO162" s="672">
        <f>CO161+CO158</f>
        <v>0</v>
      </c>
      <c r="CP162" s="672">
        <f>CP161+CP158</f>
        <v>0</v>
      </c>
      <c r="CQ162" s="672">
        <f>CR162+CS162</f>
        <v>0</v>
      </c>
      <c r="CR162" s="672">
        <f>CR161+CR158</f>
        <v>0</v>
      </c>
      <c r="CS162" s="672">
        <f>CS161+CS158</f>
        <v>0</v>
      </c>
      <c r="CT162" s="1106"/>
      <c r="CW162" s="902" t="s">
        <v>622</v>
      </c>
      <c r="CX162" s="907"/>
      <c r="CY162" s="907"/>
      <c r="CZ162" s="907"/>
      <c r="DA162" s="908"/>
      <c r="DB162" s="908"/>
    </row>
    <row r="163" spans="1:106" s="1057" customFormat="1" ht="16.5" customHeight="1">
      <c r="A163" s="769"/>
      <c r="B163" s="718"/>
      <c r="C163" s="1016"/>
      <c r="D163" s="1016"/>
      <c r="E163" s="623">
        <v>17.100000000000001</v>
      </c>
      <c r="F163" s="714" t="str">
        <f t="shared" ca="1" si="78"/>
        <v>1</v>
      </c>
      <c r="G163" s="750"/>
      <c r="H163" s="750"/>
      <c r="I163" s="750"/>
      <c r="J163" s="750"/>
      <c r="K163" s="750"/>
      <c r="L163" s="750"/>
      <c r="M163" s="750"/>
      <c r="N163" s="750"/>
      <c r="O163" s="750"/>
      <c r="P163" s="750"/>
      <c r="Q163" s="750"/>
      <c r="R163" s="714" t="s">
        <v>569</v>
      </c>
      <c r="S163" s="98" t="b">
        <f t="shared" ca="1" si="79"/>
        <v>1</v>
      </c>
      <c r="T163" s="1016"/>
      <c r="U163" s="645" t="b">
        <f t="shared" ca="1" si="96"/>
        <v>1</v>
      </c>
      <c r="V163" s="1016"/>
      <c r="W163" s="1016"/>
      <c r="X163" s="1016"/>
      <c r="Y163" s="1382"/>
      <c r="Z163" s="1382"/>
      <c r="AA163" s="646"/>
      <c r="AB163" s="1434"/>
      <c r="AD163" s="99">
        <v>17</v>
      </c>
      <c r="AE163" s="1443" t="s">
        <v>623</v>
      </c>
      <c r="AF163" s="1444"/>
      <c r="AG163" s="99" t="s">
        <v>388</v>
      </c>
      <c r="AH163" s="678">
        <f t="shared" ref="AH163:BM163" si="99">IFERROR(AH161/AH162,0)</f>
        <v>0</v>
      </c>
      <c r="AI163" s="679">
        <f t="shared" si="99"/>
        <v>0</v>
      </c>
      <c r="AJ163" s="679">
        <f t="shared" si="99"/>
        <v>0</v>
      </c>
      <c r="AK163" s="679">
        <f t="shared" si="99"/>
        <v>0</v>
      </c>
      <c r="AL163" s="679">
        <f t="shared" si="99"/>
        <v>0</v>
      </c>
      <c r="AM163" s="679">
        <f t="shared" si="99"/>
        <v>0</v>
      </c>
      <c r="AN163" s="679">
        <f t="shared" si="99"/>
        <v>0</v>
      </c>
      <c r="AO163" s="679">
        <f t="shared" si="99"/>
        <v>0</v>
      </c>
      <c r="AP163" s="679">
        <f t="shared" si="99"/>
        <v>0</v>
      </c>
      <c r="AQ163" s="679">
        <f t="shared" si="99"/>
        <v>0</v>
      </c>
      <c r="AR163" s="679">
        <f t="shared" si="99"/>
        <v>0</v>
      </c>
      <c r="AS163" s="679">
        <f t="shared" si="99"/>
        <v>0</v>
      </c>
      <c r="AT163" s="679">
        <f t="shared" si="99"/>
        <v>0</v>
      </c>
      <c r="AU163" s="679">
        <f t="shared" si="99"/>
        <v>0</v>
      </c>
      <c r="AV163" s="679">
        <f t="shared" si="99"/>
        <v>0</v>
      </c>
      <c r="AW163" s="679">
        <f t="shared" si="99"/>
        <v>0</v>
      </c>
      <c r="AX163" s="679">
        <f t="shared" si="99"/>
        <v>0</v>
      </c>
      <c r="AY163" s="679">
        <f t="shared" si="99"/>
        <v>0</v>
      </c>
      <c r="AZ163" s="679">
        <f t="shared" si="99"/>
        <v>0</v>
      </c>
      <c r="BA163" s="679">
        <f t="shared" si="99"/>
        <v>0</v>
      </c>
      <c r="BB163" s="679">
        <f t="shared" si="99"/>
        <v>0</v>
      </c>
      <c r="BC163" s="679">
        <f t="shared" si="99"/>
        <v>0</v>
      </c>
      <c r="BD163" s="679">
        <f t="shared" si="99"/>
        <v>0</v>
      </c>
      <c r="BE163" s="679">
        <f t="shared" si="99"/>
        <v>0</v>
      </c>
      <c r="BF163" s="679">
        <f t="shared" si="99"/>
        <v>0</v>
      </c>
      <c r="BG163" s="679">
        <f t="shared" si="99"/>
        <v>0</v>
      </c>
      <c r="BH163" s="679">
        <f t="shared" si="99"/>
        <v>0</v>
      </c>
      <c r="BI163" s="679">
        <f t="shared" si="99"/>
        <v>0</v>
      </c>
      <c r="BJ163" s="679">
        <f t="shared" si="99"/>
        <v>0</v>
      </c>
      <c r="BK163" s="679">
        <f t="shared" si="99"/>
        <v>0</v>
      </c>
      <c r="BL163" s="679">
        <f t="shared" si="99"/>
        <v>0</v>
      </c>
      <c r="BM163" s="679">
        <f t="shared" si="99"/>
        <v>0</v>
      </c>
      <c r="BN163" s="679">
        <f t="shared" ref="BN163:CS163" si="100">IFERROR(BN161/BN162,0)</f>
        <v>0</v>
      </c>
      <c r="BO163" s="679">
        <f t="shared" si="100"/>
        <v>0</v>
      </c>
      <c r="BP163" s="679">
        <f t="shared" si="100"/>
        <v>0</v>
      </c>
      <c r="BQ163" s="679">
        <f t="shared" si="100"/>
        <v>0</v>
      </c>
      <c r="BR163" s="679">
        <f t="shared" si="100"/>
        <v>0</v>
      </c>
      <c r="BS163" s="679">
        <f t="shared" si="100"/>
        <v>0</v>
      </c>
      <c r="BT163" s="679">
        <f t="shared" si="100"/>
        <v>0</v>
      </c>
      <c r="BU163" s="679">
        <f t="shared" si="100"/>
        <v>0</v>
      </c>
      <c r="BV163" s="679">
        <f t="shared" si="100"/>
        <v>0</v>
      </c>
      <c r="BW163" s="679">
        <f t="shared" si="100"/>
        <v>0</v>
      </c>
      <c r="BX163" s="679">
        <f t="shared" si="100"/>
        <v>0</v>
      </c>
      <c r="BY163" s="679">
        <f t="shared" si="100"/>
        <v>0</v>
      </c>
      <c r="BZ163" s="679">
        <f t="shared" si="100"/>
        <v>0</v>
      </c>
      <c r="CA163" s="679">
        <f t="shared" si="100"/>
        <v>0</v>
      </c>
      <c r="CB163" s="679">
        <f t="shared" si="100"/>
        <v>0</v>
      </c>
      <c r="CC163" s="679">
        <f t="shared" si="100"/>
        <v>0</v>
      </c>
      <c r="CD163" s="679">
        <f t="shared" si="100"/>
        <v>0</v>
      </c>
      <c r="CE163" s="679">
        <f t="shared" si="100"/>
        <v>0</v>
      </c>
      <c r="CF163" s="679">
        <f t="shared" si="100"/>
        <v>0</v>
      </c>
      <c r="CG163" s="679">
        <f t="shared" si="100"/>
        <v>0</v>
      </c>
      <c r="CH163" s="679">
        <f t="shared" si="100"/>
        <v>0</v>
      </c>
      <c r="CI163" s="679">
        <f t="shared" si="100"/>
        <v>0</v>
      </c>
      <c r="CJ163" s="679">
        <f t="shared" si="100"/>
        <v>0</v>
      </c>
      <c r="CK163" s="679">
        <f t="shared" si="100"/>
        <v>0</v>
      </c>
      <c r="CL163" s="679">
        <f t="shared" si="100"/>
        <v>0</v>
      </c>
      <c r="CM163" s="679">
        <f t="shared" si="100"/>
        <v>0</v>
      </c>
      <c r="CN163" s="679">
        <f t="shared" si="100"/>
        <v>0</v>
      </c>
      <c r="CO163" s="679">
        <f t="shared" si="100"/>
        <v>0</v>
      </c>
      <c r="CP163" s="679">
        <f t="shared" si="100"/>
        <v>0</v>
      </c>
      <c r="CQ163" s="679">
        <f t="shared" si="100"/>
        <v>0</v>
      </c>
      <c r="CR163" s="679">
        <f t="shared" si="100"/>
        <v>0</v>
      </c>
      <c r="CS163" s="679">
        <f t="shared" si="100"/>
        <v>0</v>
      </c>
      <c r="CT163" s="1106"/>
      <c r="CW163" s="902" t="s">
        <v>624</v>
      </c>
      <c r="CX163" s="907"/>
      <c r="CY163" s="907"/>
      <c r="CZ163" s="907"/>
      <c r="DA163" s="908"/>
      <c r="DB163" s="908"/>
    </row>
    <row r="164" spans="1:106" s="1057" customFormat="1" ht="16.5" customHeight="1">
      <c r="A164" s="769"/>
      <c r="B164" s="718"/>
      <c r="C164" s="1016"/>
      <c r="D164" s="1016"/>
      <c r="E164" s="623">
        <v>17.100000000000001</v>
      </c>
      <c r="F164" s="714" t="str">
        <f t="shared" ca="1" si="78"/>
        <v>1</v>
      </c>
      <c r="G164" s="750"/>
      <c r="H164" s="750"/>
      <c r="I164" s="750"/>
      <c r="J164" s="750"/>
      <c r="K164" s="750"/>
      <c r="L164" s="750"/>
      <c r="M164" s="750"/>
      <c r="N164" s="750"/>
      <c r="O164" s="750"/>
      <c r="P164" s="750"/>
      <c r="Q164" s="750"/>
      <c r="R164" s="1016"/>
      <c r="S164" s="98" t="b">
        <f t="shared" ca="1" si="79"/>
        <v>1</v>
      </c>
      <c r="T164" s="1016"/>
      <c r="U164" s="645" t="b">
        <f t="shared" ca="1" si="96"/>
        <v>1</v>
      </c>
      <c r="V164" s="1016"/>
      <c r="W164" s="1016"/>
      <c r="X164" s="1016"/>
      <c r="Y164" s="1382"/>
      <c r="Z164" s="1382"/>
      <c r="AA164" s="646"/>
      <c r="AB164" s="1434"/>
      <c r="AD164" s="99">
        <v>18</v>
      </c>
      <c r="AE164" s="1443" t="s">
        <v>625</v>
      </c>
      <c r="AF164" s="1444"/>
      <c r="AG164" s="99" t="s">
        <v>612</v>
      </c>
      <c r="AH164" s="672">
        <f t="shared" ref="AH164:BM164" si="101">SUM(AH166:AH167)</f>
        <v>0</v>
      </c>
      <c r="AI164" s="672">
        <f t="shared" si="101"/>
        <v>0</v>
      </c>
      <c r="AJ164" s="672">
        <f t="shared" si="101"/>
        <v>0</v>
      </c>
      <c r="AK164" s="672">
        <f t="shared" si="101"/>
        <v>0</v>
      </c>
      <c r="AL164" s="672">
        <f t="shared" si="101"/>
        <v>0</v>
      </c>
      <c r="AM164" s="672">
        <f t="shared" si="101"/>
        <v>0</v>
      </c>
      <c r="AN164" s="672">
        <f t="shared" si="101"/>
        <v>0</v>
      </c>
      <c r="AO164" s="672">
        <f t="shared" si="101"/>
        <v>0</v>
      </c>
      <c r="AP164" s="672">
        <f t="shared" si="101"/>
        <v>0</v>
      </c>
      <c r="AQ164" s="672">
        <f t="shared" si="101"/>
        <v>0</v>
      </c>
      <c r="AR164" s="672">
        <f t="shared" si="101"/>
        <v>0</v>
      </c>
      <c r="AS164" s="672">
        <f t="shared" si="101"/>
        <v>0</v>
      </c>
      <c r="AT164" s="672">
        <f t="shared" si="101"/>
        <v>0</v>
      </c>
      <c r="AU164" s="672">
        <f t="shared" si="101"/>
        <v>0</v>
      </c>
      <c r="AV164" s="672">
        <f t="shared" si="101"/>
        <v>0</v>
      </c>
      <c r="AW164" s="672">
        <f t="shared" si="101"/>
        <v>0</v>
      </c>
      <c r="AX164" s="672">
        <f t="shared" si="101"/>
        <v>0</v>
      </c>
      <c r="AY164" s="672">
        <f t="shared" si="101"/>
        <v>0</v>
      </c>
      <c r="AZ164" s="672">
        <f t="shared" si="101"/>
        <v>0</v>
      </c>
      <c r="BA164" s="672">
        <f t="shared" si="101"/>
        <v>0</v>
      </c>
      <c r="BB164" s="672">
        <f t="shared" si="101"/>
        <v>0</v>
      </c>
      <c r="BC164" s="672">
        <f t="shared" si="101"/>
        <v>0</v>
      </c>
      <c r="BD164" s="672">
        <f t="shared" si="101"/>
        <v>0</v>
      </c>
      <c r="BE164" s="672">
        <f t="shared" si="101"/>
        <v>0</v>
      </c>
      <c r="BF164" s="672">
        <f t="shared" si="101"/>
        <v>0</v>
      </c>
      <c r="BG164" s="672">
        <f t="shared" si="101"/>
        <v>0</v>
      </c>
      <c r="BH164" s="672">
        <f t="shared" si="101"/>
        <v>0</v>
      </c>
      <c r="BI164" s="672">
        <f t="shared" si="101"/>
        <v>0</v>
      </c>
      <c r="BJ164" s="672">
        <f t="shared" si="101"/>
        <v>0</v>
      </c>
      <c r="BK164" s="672">
        <f t="shared" si="101"/>
        <v>0</v>
      </c>
      <c r="BL164" s="672">
        <f t="shared" si="101"/>
        <v>0</v>
      </c>
      <c r="BM164" s="672">
        <f t="shared" si="101"/>
        <v>0</v>
      </c>
      <c r="BN164" s="672">
        <f t="shared" ref="BN164:CS164" si="102">SUM(BN166:BN167)</f>
        <v>0</v>
      </c>
      <c r="BO164" s="672">
        <f t="shared" si="102"/>
        <v>0</v>
      </c>
      <c r="BP164" s="672">
        <f t="shared" si="102"/>
        <v>0</v>
      </c>
      <c r="BQ164" s="672">
        <f t="shared" si="102"/>
        <v>0</v>
      </c>
      <c r="BR164" s="672">
        <f t="shared" si="102"/>
        <v>0</v>
      </c>
      <c r="BS164" s="672">
        <f t="shared" si="102"/>
        <v>0</v>
      </c>
      <c r="BT164" s="672">
        <f t="shared" si="102"/>
        <v>0</v>
      </c>
      <c r="BU164" s="672">
        <f t="shared" si="102"/>
        <v>0</v>
      </c>
      <c r="BV164" s="672">
        <f t="shared" si="102"/>
        <v>0</v>
      </c>
      <c r="BW164" s="672">
        <f t="shared" si="102"/>
        <v>0</v>
      </c>
      <c r="BX164" s="672">
        <f t="shared" si="102"/>
        <v>0</v>
      </c>
      <c r="BY164" s="672">
        <f t="shared" si="102"/>
        <v>0</v>
      </c>
      <c r="BZ164" s="672">
        <f t="shared" si="102"/>
        <v>0</v>
      </c>
      <c r="CA164" s="672">
        <f t="shared" si="102"/>
        <v>0</v>
      </c>
      <c r="CB164" s="672">
        <f t="shared" si="102"/>
        <v>0</v>
      </c>
      <c r="CC164" s="672">
        <f t="shared" si="102"/>
        <v>0</v>
      </c>
      <c r="CD164" s="672">
        <f t="shared" si="102"/>
        <v>0</v>
      </c>
      <c r="CE164" s="672">
        <f t="shared" si="102"/>
        <v>0</v>
      </c>
      <c r="CF164" s="672">
        <f t="shared" si="102"/>
        <v>0</v>
      </c>
      <c r="CG164" s="672">
        <f t="shared" si="102"/>
        <v>0</v>
      </c>
      <c r="CH164" s="672">
        <f t="shared" si="102"/>
        <v>0</v>
      </c>
      <c r="CI164" s="672">
        <f t="shared" si="102"/>
        <v>0</v>
      </c>
      <c r="CJ164" s="672">
        <f t="shared" si="102"/>
        <v>0</v>
      </c>
      <c r="CK164" s="672">
        <f t="shared" si="102"/>
        <v>0</v>
      </c>
      <c r="CL164" s="672">
        <f t="shared" si="102"/>
        <v>0</v>
      </c>
      <c r="CM164" s="672">
        <f t="shared" si="102"/>
        <v>0</v>
      </c>
      <c r="CN164" s="672">
        <f t="shared" si="102"/>
        <v>0</v>
      </c>
      <c r="CO164" s="672">
        <f t="shared" si="102"/>
        <v>0</v>
      </c>
      <c r="CP164" s="672">
        <f t="shared" si="102"/>
        <v>0</v>
      </c>
      <c r="CQ164" s="672">
        <f t="shared" si="102"/>
        <v>0</v>
      </c>
      <c r="CR164" s="672">
        <f t="shared" si="102"/>
        <v>0</v>
      </c>
      <c r="CS164" s="672">
        <f t="shared" si="102"/>
        <v>0</v>
      </c>
      <c r="CT164" s="1106"/>
      <c r="CW164" s="902" t="s">
        <v>626</v>
      </c>
      <c r="CX164" s="907"/>
      <c r="CY164" s="907"/>
      <c r="CZ164" s="907"/>
      <c r="DA164" s="908"/>
      <c r="DB164" s="908"/>
    </row>
    <row r="165" spans="1:106" s="1057" customFormat="1" ht="16.5" customHeight="1">
      <c r="A165" s="769"/>
      <c r="B165" s="718"/>
      <c r="C165" s="1016"/>
      <c r="D165" s="1016"/>
      <c r="E165" s="623">
        <v>17.100000000000001</v>
      </c>
      <c r="F165" s="714" t="str">
        <f t="shared" ca="1" si="78"/>
        <v>1</v>
      </c>
      <c r="G165" s="750"/>
      <c r="H165" s="750"/>
      <c r="I165" s="750"/>
      <c r="J165" s="750"/>
      <c r="K165" s="750"/>
      <c r="L165" s="750"/>
      <c r="M165" s="750"/>
      <c r="N165" s="750"/>
      <c r="O165" s="750"/>
      <c r="P165" s="750"/>
      <c r="Q165" s="750"/>
      <c r="R165" s="714" t="s">
        <v>569</v>
      </c>
      <c r="S165" s="98" t="b">
        <f t="shared" ca="1" si="79"/>
        <v>1</v>
      </c>
      <c r="T165" s="1016"/>
      <c r="U165" s="645" t="b">
        <f t="shared" ca="1" si="96"/>
        <v>1</v>
      </c>
      <c r="V165" s="1016"/>
      <c r="W165" s="1016"/>
      <c r="X165" s="1016"/>
      <c r="Y165" s="1382"/>
      <c r="Z165" s="1382"/>
      <c r="AA165" s="646"/>
      <c r="AB165" s="1434"/>
      <c r="AD165" s="99" t="s">
        <v>627</v>
      </c>
      <c r="AE165" s="1443" t="s">
        <v>580</v>
      </c>
      <c r="AF165" s="1444"/>
      <c r="AG165" s="99" t="s">
        <v>612</v>
      </c>
      <c r="AH165" s="1117">
        <f>AH$163*AH164</f>
        <v>0</v>
      </c>
      <c r="AI165" s="1118">
        <f>AI$163*AI164</f>
        <v>0</v>
      </c>
      <c r="AJ165" s="1118">
        <f>AJ$163*AJ164</f>
        <v>0</v>
      </c>
      <c r="AK165" s="1118">
        <f>AK$163*AK164</f>
        <v>0</v>
      </c>
      <c r="AL165" s="672">
        <f>AM165+AN165</f>
        <v>0</v>
      </c>
      <c r="AM165" s="1118">
        <f>AM$163*AM164</f>
        <v>0</v>
      </c>
      <c r="AN165" s="1118">
        <f>AN$163*AN164</f>
        <v>0</v>
      </c>
      <c r="AO165" s="672">
        <f>AP165+AQ165</f>
        <v>0</v>
      </c>
      <c r="AP165" s="1111">
        <f>AP$163*AP164</f>
        <v>0</v>
      </c>
      <c r="AQ165" s="1111">
        <f>AQ$163*AQ164</f>
        <v>0</v>
      </c>
      <c r="AR165" s="672">
        <f>AS165+AT165</f>
        <v>0</v>
      </c>
      <c r="AS165" s="1111">
        <f>AS$163*AS164</f>
        <v>0</v>
      </c>
      <c r="AT165" s="1111">
        <f>AT$163*AT164</f>
        <v>0</v>
      </c>
      <c r="AU165" s="672">
        <f>AV165+AW165</f>
        <v>0</v>
      </c>
      <c r="AV165" s="1118">
        <f>AV$163*AV164</f>
        <v>0</v>
      </c>
      <c r="AW165" s="1118">
        <f>AW$163*AW164</f>
        <v>0</v>
      </c>
      <c r="AX165" s="672">
        <f>AY165+AZ165</f>
        <v>0</v>
      </c>
      <c r="AY165" s="1118">
        <f>AY$163*AY164</f>
        <v>0</v>
      </c>
      <c r="AZ165" s="1118">
        <f>AZ$163*AZ164</f>
        <v>0</v>
      </c>
      <c r="BA165" s="672">
        <f>BB165+BC165</f>
        <v>0</v>
      </c>
      <c r="BB165" s="1118">
        <f>BB$163*BB164</f>
        <v>0</v>
      </c>
      <c r="BC165" s="1118">
        <f>BC$163*BC164</f>
        <v>0</v>
      </c>
      <c r="BD165" s="672">
        <f>BE165+BF165</f>
        <v>0</v>
      </c>
      <c r="BE165" s="1118">
        <f>BE$163*BE164</f>
        <v>0</v>
      </c>
      <c r="BF165" s="1118">
        <f>BF$163*BF164</f>
        <v>0</v>
      </c>
      <c r="BG165" s="672">
        <f>BH165+BI165</f>
        <v>0</v>
      </c>
      <c r="BH165" s="1118">
        <f>BH$163*BH164</f>
        <v>0</v>
      </c>
      <c r="BI165" s="1118">
        <f>BI$163*BI164</f>
        <v>0</v>
      </c>
      <c r="BJ165" s="672">
        <f>BK165+BL165</f>
        <v>0</v>
      </c>
      <c r="BK165" s="1118">
        <f>BK$163*BK164</f>
        <v>0</v>
      </c>
      <c r="BL165" s="1118">
        <f>BL$163*BL164</f>
        <v>0</v>
      </c>
      <c r="BM165" s="672">
        <f>BN165+BO165</f>
        <v>0</v>
      </c>
      <c r="BN165" s="1118">
        <f>BN$163*BN164</f>
        <v>0</v>
      </c>
      <c r="BO165" s="1118">
        <f>BO$163*BO164</f>
        <v>0</v>
      </c>
      <c r="BP165" s="672">
        <f>BQ165+BR165</f>
        <v>0</v>
      </c>
      <c r="BQ165" s="762">
        <f>BQ$163*BQ164</f>
        <v>0</v>
      </c>
      <c r="BR165" s="762">
        <f>BR$163*BR164</f>
        <v>0</v>
      </c>
      <c r="BS165" s="672">
        <f>BT165+BU165</f>
        <v>0</v>
      </c>
      <c r="BT165" s="1111">
        <f>BT$163*BT164</f>
        <v>0</v>
      </c>
      <c r="BU165" s="1111">
        <f>BU$163*BU164</f>
        <v>0</v>
      </c>
      <c r="BV165" s="672">
        <f>BW165+BX165</f>
        <v>0</v>
      </c>
      <c r="BW165" s="1111">
        <f>BW$163*BW164</f>
        <v>0</v>
      </c>
      <c r="BX165" s="1111">
        <f>BX$163*BX164</f>
        <v>0</v>
      </c>
      <c r="BY165" s="672">
        <f>BZ165+CA165</f>
        <v>0</v>
      </c>
      <c r="BZ165" s="1118">
        <f>BZ$163*BZ164</f>
        <v>0</v>
      </c>
      <c r="CA165" s="1118">
        <f>CA$163*CA164</f>
        <v>0</v>
      </c>
      <c r="CB165" s="672">
        <f>CC165+CD165</f>
        <v>0</v>
      </c>
      <c r="CC165" s="1118">
        <f>CC$163*CC164</f>
        <v>0</v>
      </c>
      <c r="CD165" s="1118">
        <f>CD$163*CD164</f>
        <v>0</v>
      </c>
      <c r="CE165" s="672">
        <f>CF165+CG165</f>
        <v>0</v>
      </c>
      <c r="CF165" s="1118">
        <f>CF$163*CF164</f>
        <v>0</v>
      </c>
      <c r="CG165" s="1118">
        <f>CG$163*CG164</f>
        <v>0</v>
      </c>
      <c r="CH165" s="672">
        <f>CI165+CJ165</f>
        <v>0</v>
      </c>
      <c r="CI165" s="1118">
        <f>CI$163*CI164</f>
        <v>0</v>
      </c>
      <c r="CJ165" s="1118">
        <f>CJ$163*CJ164</f>
        <v>0</v>
      </c>
      <c r="CK165" s="672">
        <f>CL165+CM165</f>
        <v>0</v>
      </c>
      <c r="CL165" s="1118">
        <f>CL$163*CL164</f>
        <v>0</v>
      </c>
      <c r="CM165" s="1118">
        <f>CM$163*CM164</f>
        <v>0</v>
      </c>
      <c r="CN165" s="672">
        <f>CO165+CP165</f>
        <v>0</v>
      </c>
      <c r="CO165" s="1118">
        <f>CO$163*CO164</f>
        <v>0</v>
      </c>
      <c r="CP165" s="1118">
        <f>CP$163*CP164</f>
        <v>0</v>
      </c>
      <c r="CQ165" s="672">
        <f>CR165+CS165</f>
        <v>0</v>
      </c>
      <c r="CR165" s="1118">
        <f>CR$163*CR164</f>
        <v>0</v>
      </c>
      <c r="CS165" s="1118">
        <f>CS$163*CS164</f>
        <v>0</v>
      </c>
      <c r="CT165" s="1106"/>
      <c r="CW165" s="902" t="s">
        <v>628</v>
      </c>
      <c r="CX165" s="907"/>
      <c r="CY165" s="907"/>
      <c r="CZ165" s="907"/>
      <c r="DA165" s="908"/>
      <c r="DB165" s="908"/>
    </row>
    <row r="166" spans="1:106" s="1057" customFormat="1" ht="16.5" hidden="1" customHeight="1">
      <c r="A166" s="769"/>
      <c r="B166" s="718"/>
      <c r="C166" s="1016"/>
      <c r="D166" s="1016"/>
      <c r="E166" s="623">
        <v>17.100000000000001</v>
      </c>
      <c r="F166" s="714" t="str">
        <f t="shared" ca="1" si="78"/>
        <v>1</v>
      </c>
      <c r="G166" s="750"/>
      <c r="H166" s="750"/>
      <c r="I166" s="750"/>
      <c r="J166" s="750"/>
      <c r="K166" s="750"/>
      <c r="L166" s="750"/>
      <c r="M166" s="750"/>
      <c r="N166" s="750"/>
      <c r="O166" s="750"/>
      <c r="P166" s="750"/>
      <c r="Q166" s="750"/>
      <c r="R166" s="1016"/>
      <c r="S166" s="98" t="b">
        <f t="shared" ca="1" si="79"/>
        <v>1</v>
      </c>
      <c r="T166" s="98" t="b">
        <f>AD166&lt;&gt;"18.0"</f>
        <v>0</v>
      </c>
      <c r="U166" s="645" t="b">
        <f t="shared" ca="1" si="96"/>
        <v>0</v>
      </c>
      <c r="V166" s="1016"/>
      <c r="W166" s="1016"/>
      <c r="X166" s="98" t="s">
        <v>170</v>
      </c>
      <c r="Y166" s="1382"/>
      <c r="Z166" s="1382"/>
      <c r="AA166" s="646"/>
      <c r="AB166" s="1434"/>
      <c r="AC166" s="709" t="s">
        <v>157</v>
      </c>
      <c r="AD166" s="99" t="s">
        <v>627</v>
      </c>
      <c r="AE166" s="30"/>
      <c r="AF166" s="31"/>
      <c r="AG166" s="99" t="s">
        <v>612</v>
      </c>
      <c r="AH166" s="28">
        <f>AH$162*AH169</f>
        <v>0</v>
      </c>
      <c r="AI166" s="28">
        <f>AI175*AI172</f>
        <v>0</v>
      </c>
      <c r="AJ166" s="28">
        <f>AJ175*AJ172</f>
        <v>0</v>
      </c>
      <c r="AK166" s="28">
        <f>AK$162*AK169</f>
        <v>0</v>
      </c>
      <c r="AL166" s="672">
        <f>AM166+AN166</f>
        <v>0</v>
      </c>
      <c r="AM166" s="28">
        <f>AM$162*AM169</f>
        <v>0</v>
      </c>
      <c r="AN166" s="28">
        <f>AN$162*AN169</f>
        <v>0</v>
      </c>
      <c r="AO166" s="672">
        <f>AP166+AQ166</f>
        <v>0</v>
      </c>
      <c r="AP166" s="1112">
        <f>AP$162*AP169</f>
        <v>0</v>
      </c>
      <c r="AQ166" s="1112">
        <f>AQ$162*AQ169</f>
        <v>0</v>
      </c>
      <c r="AR166" s="672">
        <f>AS166+AT166</f>
        <v>0</v>
      </c>
      <c r="AS166" s="1112">
        <f>AS$162*AS169</f>
        <v>0</v>
      </c>
      <c r="AT166" s="1112">
        <f>AT$162*AT169</f>
        <v>0</v>
      </c>
      <c r="AU166" s="672">
        <f>AV166+AW166</f>
        <v>0</v>
      </c>
      <c r="AV166" s="28">
        <f>AV$162*AV169</f>
        <v>0</v>
      </c>
      <c r="AW166" s="28">
        <f>AW$162*AW169</f>
        <v>0</v>
      </c>
      <c r="AX166" s="672">
        <f>AY166+AZ166</f>
        <v>0</v>
      </c>
      <c r="AY166" s="28">
        <f>AY$162*AY169</f>
        <v>0</v>
      </c>
      <c r="AZ166" s="28">
        <f>AZ$162*AZ169</f>
        <v>0</v>
      </c>
      <c r="BA166" s="672">
        <f>BB166+BC166</f>
        <v>0</v>
      </c>
      <c r="BB166" s="28">
        <f>BB$162*BB169</f>
        <v>0</v>
      </c>
      <c r="BC166" s="28">
        <f>BC$162*BC169</f>
        <v>0</v>
      </c>
      <c r="BD166" s="672">
        <f>BE166+BF166</f>
        <v>0</v>
      </c>
      <c r="BE166" s="28">
        <f>BE$162*BE169</f>
        <v>0</v>
      </c>
      <c r="BF166" s="28">
        <f>BF$162*BF169</f>
        <v>0</v>
      </c>
      <c r="BG166" s="672">
        <f>BH166+BI166</f>
        <v>0</v>
      </c>
      <c r="BH166" s="28">
        <f>BH$162*BH169</f>
        <v>0</v>
      </c>
      <c r="BI166" s="28">
        <f>BI$162*BI169</f>
        <v>0</v>
      </c>
      <c r="BJ166" s="672">
        <f>BK166+BL166</f>
        <v>0</v>
      </c>
      <c r="BK166" s="28">
        <f>BK$162*BK169</f>
        <v>0</v>
      </c>
      <c r="BL166" s="28">
        <f>BL$162*BL169</f>
        <v>0</v>
      </c>
      <c r="BM166" s="672">
        <f>BN166+BO166</f>
        <v>0</v>
      </c>
      <c r="BN166" s="28">
        <f>BN$162*BN169</f>
        <v>0</v>
      </c>
      <c r="BO166" s="28">
        <f>BO$162*BO169</f>
        <v>0</v>
      </c>
      <c r="BP166" s="672">
        <f>BQ166+BR166</f>
        <v>0</v>
      </c>
      <c r="BQ166" s="763">
        <f>BQ$162*BQ169</f>
        <v>0</v>
      </c>
      <c r="BR166" s="763">
        <f>BR$162*BR169</f>
        <v>0</v>
      </c>
      <c r="BS166" s="672">
        <f>BT166+BU166</f>
        <v>0</v>
      </c>
      <c r="BT166" s="1112">
        <f>BT$162*BT169</f>
        <v>0</v>
      </c>
      <c r="BU166" s="1112">
        <f>BU$162*BU169</f>
        <v>0</v>
      </c>
      <c r="BV166" s="672">
        <f>BW166+BX166</f>
        <v>0</v>
      </c>
      <c r="BW166" s="1112">
        <f>BW$162*BW169</f>
        <v>0</v>
      </c>
      <c r="BX166" s="1112">
        <f>BX$162*BX169</f>
        <v>0</v>
      </c>
      <c r="BY166" s="672">
        <f>BZ166+CA166</f>
        <v>0</v>
      </c>
      <c r="BZ166" s="28">
        <f>BZ$162*BZ169</f>
        <v>0</v>
      </c>
      <c r="CA166" s="28">
        <f>CA$162*CA169</f>
        <v>0</v>
      </c>
      <c r="CB166" s="672">
        <f>CC166+CD166</f>
        <v>0</v>
      </c>
      <c r="CC166" s="28">
        <f>CC$162*CC169</f>
        <v>0</v>
      </c>
      <c r="CD166" s="28">
        <f>CD$162*CD169</f>
        <v>0</v>
      </c>
      <c r="CE166" s="672">
        <f>CF166+CG166</f>
        <v>0</v>
      </c>
      <c r="CF166" s="28">
        <f>CF$162*CF169</f>
        <v>0</v>
      </c>
      <c r="CG166" s="28">
        <f>CG$162*CG169</f>
        <v>0</v>
      </c>
      <c r="CH166" s="672">
        <f>CI166+CJ166</f>
        <v>0</v>
      </c>
      <c r="CI166" s="28">
        <f>CI$162*CI169</f>
        <v>0</v>
      </c>
      <c r="CJ166" s="28">
        <f>CJ$162*CJ169</f>
        <v>0</v>
      </c>
      <c r="CK166" s="672">
        <f>CL166+CM166</f>
        <v>0</v>
      </c>
      <c r="CL166" s="28">
        <f>CL$162*CL169</f>
        <v>0</v>
      </c>
      <c r="CM166" s="28">
        <f>CM$162*CM169</f>
        <v>0</v>
      </c>
      <c r="CN166" s="672">
        <f>CO166+CP166</f>
        <v>0</v>
      </c>
      <c r="CO166" s="28">
        <f>CO$162*CO169</f>
        <v>0</v>
      </c>
      <c r="CP166" s="28">
        <f>CP$162*CP169</f>
        <v>0</v>
      </c>
      <c r="CQ166" s="672">
        <f>CR166+CS166</f>
        <v>0</v>
      </c>
      <c r="CR166" s="28">
        <f>CR$162*CR169</f>
        <v>0</v>
      </c>
      <c r="CS166" s="28">
        <f>CS$162*CS169</f>
        <v>0</v>
      </c>
      <c r="CT166" s="22"/>
      <c r="CW166" s="902" t="s">
        <v>629</v>
      </c>
      <c r="CX166" s="907" t="s">
        <v>630</v>
      </c>
      <c r="CY166" s="911">
        <f>AE166</f>
        <v>0</v>
      </c>
      <c r="CZ166" s="911">
        <f>AF166</f>
        <v>0</v>
      </c>
      <c r="DA166" s="908"/>
      <c r="DB166" s="908" t="b">
        <v>1</v>
      </c>
    </row>
    <row r="167" spans="1:106" s="1057" customFormat="1" ht="16.5" customHeight="1">
      <c r="A167" s="769"/>
      <c r="B167" s="718"/>
      <c r="C167" s="1016"/>
      <c r="D167" s="1016"/>
      <c r="E167" s="623">
        <v>17.100000000000001</v>
      </c>
      <c r="F167" s="714" t="str">
        <f t="shared" ca="1" si="78"/>
        <v>1</v>
      </c>
      <c r="G167" s="750"/>
      <c r="H167" s="750"/>
      <c r="I167" s="750"/>
      <c r="J167" s="750"/>
      <c r="K167" s="750"/>
      <c r="L167" s="750"/>
      <c r="M167" s="750"/>
      <c r="N167" s="750"/>
      <c r="O167" s="750"/>
      <c r="P167" s="750"/>
      <c r="Q167" s="750"/>
      <c r="R167" s="1016"/>
      <c r="S167" s="98" t="b">
        <f t="shared" ca="1" si="79"/>
        <v>1</v>
      </c>
      <c r="T167" s="1016"/>
      <c r="U167" s="645" t="b">
        <f t="shared" ca="1" si="96"/>
        <v>1</v>
      </c>
      <c r="V167" s="1016"/>
      <c r="W167" s="1016"/>
      <c r="X167" s="756" t="str">
        <f>"{                  
         funcDyn: 'msg',
         blok: 'blok_2',
         wsCross: 'Топливо 4.4',
         linkFormula: 'AE-AE#AF-AF',
         levelDyn: "&amp;Y139&amp;"
}"</f>
        <v>{                  
         funcDyn: 'msg',
         blok: 'blok_2',
         wsCross: 'Топливо 4.4',
         linkFormula: 'AE-AE#AF-AF',
         levelDyn: 1
}</v>
      </c>
      <c r="Y167" s="1382"/>
      <c r="Z167" s="1382"/>
      <c r="AA167" s="646"/>
      <c r="AB167" s="1434"/>
      <c r="AD167" s="236"/>
      <c r="AE167" s="699" t="s">
        <v>172</v>
      </c>
      <c r="AF167" s="699"/>
      <c r="AG167" s="699"/>
      <c r="AH167" s="699"/>
      <c r="AI167" s="699"/>
      <c r="AJ167" s="699"/>
      <c r="AK167" s="699"/>
      <c r="AL167" s="699"/>
      <c r="AM167" s="699"/>
      <c r="AN167" s="699"/>
      <c r="AO167" s="699"/>
      <c r="AP167" s="699"/>
      <c r="AQ167" s="699"/>
      <c r="AR167" s="699"/>
      <c r="AS167" s="699"/>
      <c r="AT167" s="699"/>
      <c r="AU167" s="699"/>
      <c r="AV167" s="699"/>
      <c r="AW167" s="699"/>
      <c r="AX167" s="699"/>
      <c r="AY167" s="699"/>
      <c r="AZ167" s="699"/>
      <c r="BA167" s="699"/>
      <c r="BB167" s="699"/>
      <c r="BC167" s="699"/>
      <c r="BD167" s="699"/>
      <c r="BE167" s="699"/>
      <c r="BF167" s="699"/>
      <c r="BG167" s="699"/>
      <c r="BH167" s="699"/>
      <c r="BI167" s="699"/>
      <c r="BJ167" s="699"/>
      <c r="BK167" s="699"/>
      <c r="BL167" s="699"/>
      <c r="BM167" s="699"/>
      <c r="BN167" s="699"/>
      <c r="BO167" s="699"/>
      <c r="BP167" s="699"/>
      <c r="BQ167" s="699"/>
      <c r="BR167" s="699"/>
      <c r="BS167" s="699"/>
      <c r="BT167" s="699"/>
      <c r="BU167" s="699"/>
      <c r="BV167" s="699"/>
      <c r="BW167" s="699"/>
      <c r="BX167" s="699"/>
      <c r="BY167" s="699"/>
      <c r="BZ167" s="699"/>
      <c r="CA167" s="699"/>
      <c r="CB167" s="699"/>
      <c r="CC167" s="699"/>
      <c r="CD167" s="699"/>
      <c r="CE167" s="699"/>
      <c r="CF167" s="699"/>
      <c r="CG167" s="699"/>
      <c r="CH167" s="699"/>
      <c r="CI167" s="699"/>
      <c r="CJ167" s="699"/>
      <c r="CK167" s="699"/>
      <c r="CL167" s="699"/>
      <c r="CM167" s="699"/>
      <c r="CN167" s="699"/>
      <c r="CO167" s="699"/>
      <c r="CP167" s="699"/>
      <c r="CQ167" s="699"/>
      <c r="CR167" s="699"/>
      <c r="CS167" s="699"/>
      <c r="CT167" s="845"/>
      <c r="CW167" s="902" t="str">
        <f>IF(AND(ISNUMBER(VALUE(TRIM(SUBSTITUTE(AD167,".","")))),TRIM(SUBSTITUTE(AD167,".",""))&lt;&gt;""),"P"&amp;SUBSTITUTE(AD167,".",""),"")</f>
        <v/>
      </c>
      <c r="CX167" s="907"/>
      <c r="CY167" s="907"/>
      <c r="CZ167" s="907"/>
      <c r="DA167" s="908" t="s">
        <v>630</v>
      </c>
      <c r="DB167" s="908"/>
    </row>
    <row r="168" spans="1:106" s="1057" customFormat="1" ht="16.5" customHeight="1">
      <c r="A168" s="769"/>
      <c r="B168" s="718"/>
      <c r="C168" s="1016"/>
      <c r="D168" s="1016"/>
      <c r="E168" s="623">
        <v>17.100000000000001</v>
      </c>
      <c r="F168" s="714" t="str">
        <f t="shared" ca="1" si="78"/>
        <v>1</v>
      </c>
      <c r="G168" s="750"/>
      <c r="H168" s="750"/>
      <c r="I168" s="750"/>
      <c r="J168" s="750"/>
      <c r="K168" s="750"/>
      <c r="L168" s="750"/>
      <c r="M168" s="750"/>
      <c r="N168" s="750"/>
      <c r="O168" s="750"/>
      <c r="P168" s="750"/>
      <c r="Q168" s="750"/>
      <c r="R168" s="1016"/>
      <c r="S168" s="98" t="b">
        <f t="shared" ca="1" si="79"/>
        <v>1</v>
      </c>
      <c r="T168" s="1016"/>
      <c r="U168" s="645" t="b">
        <f t="shared" ca="1" si="96"/>
        <v>1</v>
      </c>
      <c r="V168" s="1016"/>
      <c r="W168" s="1016"/>
      <c r="X168" s="1016"/>
      <c r="Y168" s="1382"/>
      <c r="Z168" s="1382"/>
      <c r="AA168" s="646"/>
      <c r="AB168" s="1434"/>
      <c r="AD168" s="99">
        <v>19</v>
      </c>
      <c r="AE168" s="1470" t="s">
        <v>631</v>
      </c>
      <c r="AF168" s="1471"/>
      <c r="AG168" s="490" t="s">
        <v>388</v>
      </c>
      <c r="AH168" s="698">
        <f t="shared" ref="AH168:BM168" si="103">SUM(AH169:AH170)</f>
        <v>0</v>
      </c>
      <c r="AI168" s="698">
        <f t="shared" si="103"/>
        <v>0</v>
      </c>
      <c r="AJ168" s="698">
        <f t="shared" si="103"/>
        <v>0</v>
      </c>
      <c r="AK168" s="698">
        <f t="shared" si="103"/>
        <v>0</v>
      </c>
      <c r="AL168" s="698">
        <f t="shared" si="103"/>
        <v>0</v>
      </c>
      <c r="AM168" s="698">
        <f t="shared" si="103"/>
        <v>0</v>
      </c>
      <c r="AN168" s="698">
        <f t="shared" si="103"/>
        <v>0</v>
      </c>
      <c r="AO168" s="698">
        <f t="shared" si="103"/>
        <v>0</v>
      </c>
      <c r="AP168" s="698">
        <f t="shared" si="103"/>
        <v>0</v>
      </c>
      <c r="AQ168" s="698">
        <f t="shared" si="103"/>
        <v>0</v>
      </c>
      <c r="AR168" s="698">
        <f t="shared" si="103"/>
        <v>0</v>
      </c>
      <c r="AS168" s="698">
        <f t="shared" si="103"/>
        <v>0</v>
      </c>
      <c r="AT168" s="698">
        <f t="shared" si="103"/>
        <v>0</v>
      </c>
      <c r="AU168" s="698">
        <f t="shared" si="103"/>
        <v>0</v>
      </c>
      <c r="AV168" s="698">
        <f t="shared" si="103"/>
        <v>0</v>
      </c>
      <c r="AW168" s="698">
        <f t="shared" si="103"/>
        <v>0</v>
      </c>
      <c r="AX168" s="698">
        <f t="shared" si="103"/>
        <v>0</v>
      </c>
      <c r="AY168" s="698">
        <f t="shared" si="103"/>
        <v>0</v>
      </c>
      <c r="AZ168" s="698">
        <f t="shared" si="103"/>
        <v>0</v>
      </c>
      <c r="BA168" s="698">
        <f t="shared" si="103"/>
        <v>0</v>
      </c>
      <c r="BB168" s="698">
        <f t="shared" si="103"/>
        <v>0</v>
      </c>
      <c r="BC168" s="698">
        <f t="shared" si="103"/>
        <v>0</v>
      </c>
      <c r="BD168" s="698">
        <f t="shared" si="103"/>
        <v>0</v>
      </c>
      <c r="BE168" s="698">
        <f t="shared" si="103"/>
        <v>0</v>
      </c>
      <c r="BF168" s="698">
        <f t="shared" si="103"/>
        <v>0</v>
      </c>
      <c r="BG168" s="698">
        <f t="shared" si="103"/>
        <v>0</v>
      </c>
      <c r="BH168" s="698">
        <f t="shared" si="103"/>
        <v>0</v>
      </c>
      <c r="BI168" s="698">
        <f t="shared" si="103"/>
        <v>0</v>
      </c>
      <c r="BJ168" s="698">
        <f t="shared" si="103"/>
        <v>0</v>
      </c>
      <c r="BK168" s="698">
        <f t="shared" si="103"/>
        <v>0</v>
      </c>
      <c r="BL168" s="698">
        <f t="shared" si="103"/>
        <v>0</v>
      </c>
      <c r="BM168" s="698">
        <f t="shared" si="103"/>
        <v>0</v>
      </c>
      <c r="BN168" s="698">
        <f t="shared" ref="BN168:CS168" si="104">SUM(BN169:BN170)</f>
        <v>0</v>
      </c>
      <c r="BO168" s="698">
        <f t="shared" si="104"/>
        <v>0</v>
      </c>
      <c r="BP168" s="698">
        <f t="shared" si="104"/>
        <v>0</v>
      </c>
      <c r="BQ168" s="698">
        <f t="shared" si="104"/>
        <v>0</v>
      </c>
      <c r="BR168" s="698">
        <f t="shared" si="104"/>
        <v>0</v>
      </c>
      <c r="BS168" s="698">
        <f t="shared" si="104"/>
        <v>0</v>
      </c>
      <c r="BT168" s="698">
        <f t="shared" si="104"/>
        <v>0</v>
      </c>
      <c r="BU168" s="698">
        <f t="shared" si="104"/>
        <v>0</v>
      </c>
      <c r="BV168" s="698">
        <f t="shared" si="104"/>
        <v>0</v>
      </c>
      <c r="BW168" s="698">
        <f t="shared" si="104"/>
        <v>0</v>
      </c>
      <c r="BX168" s="698">
        <f t="shared" si="104"/>
        <v>0</v>
      </c>
      <c r="BY168" s="698">
        <f t="shared" si="104"/>
        <v>0</v>
      </c>
      <c r="BZ168" s="698">
        <f t="shared" si="104"/>
        <v>0</v>
      </c>
      <c r="CA168" s="698">
        <f t="shared" si="104"/>
        <v>0</v>
      </c>
      <c r="CB168" s="698">
        <f t="shared" si="104"/>
        <v>0</v>
      </c>
      <c r="CC168" s="698">
        <f t="shared" si="104"/>
        <v>0</v>
      </c>
      <c r="CD168" s="698">
        <f t="shared" si="104"/>
        <v>0</v>
      </c>
      <c r="CE168" s="698">
        <f t="shared" si="104"/>
        <v>0</v>
      </c>
      <c r="CF168" s="698">
        <f t="shared" si="104"/>
        <v>0</v>
      </c>
      <c r="CG168" s="698">
        <f t="shared" si="104"/>
        <v>0</v>
      </c>
      <c r="CH168" s="698">
        <f t="shared" si="104"/>
        <v>0</v>
      </c>
      <c r="CI168" s="698">
        <f t="shared" si="104"/>
        <v>0</v>
      </c>
      <c r="CJ168" s="698">
        <f t="shared" si="104"/>
        <v>0</v>
      </c>
      <c r="CK168" s="698">
        <f t="shared" si="104"/>
        <v>0</v>
      </c>
      <c r="CL168" s="698">
        <f t="shared" si="104"/>
        <v>0</v>
      </c>
      <c r="CM168" s="698">
        <f t="shared" si="104"/>
        <v>0</v>
      </c>
      <c r="CN168" s="698">
        <f t="shared" si="104"/>
        <v>0</v>
      </c>
      <c r="CO168" s="698">
        <f t="shared" si="104"/>
        <v>0</v>
      </c>
      <c r="CP168" s="698">
        <f t="shared" si="104"/>
        <v>0</v>
      </c>
      <c r="CQ168" s="698">
        <f t="shared" si="104"/>
        <v>0</v>
      </c>
      <c r="CR168" s="698">
        <f t="shared" si="104"/>
        <v>0</v>
      </c>
      <c r="CS168" s="698">
        <f t="shared" si="104"/>
        <v>0</v>
      </c>
      <c r="CT168" s="1108"/>
      <c r="CW168" s="902" t="s">
        <v>632</v>
      </c>
      <c r="CX168" s="907"/>
      <c r="CY168" s="907"/>
      <c r="CZ168" s="907"/>
      <c r="DA168" s="908"/>
      <c r="DB168" s="908"/>
    </row>
    <row r="169" spans="1:106" s="1057" customFormat="1" ht="16.5" hidden="1" customHeight="1">
      <c r="A169" s="769"/>
      <c r="B169" s="718"/>
      <c r="C169" s="1016"/>
      <c r="D169" s="1016"/>
      <c r="E169" s="623">
        <v>17.100000000000001</v>
      </c>
      <c r="F169" s="714" t="str">
        <f t="shared" ca="1" si="78"/>
        <v>1</v>
      </c>
      <c r="G169" s="750"/>
      <c r="H169" s="750"/>
      <c r="I169" s="750"/>
      <c r="J169" s="750"/>
      <c r="K169" s="750"/>
      <c r="L169" s="750"/>
      <c r="M169" s="750"/>
      <c r="N169" s="750"/>
      <c r="O169" s="750"/>
      <c r="P169" s="750"/>
      <c r="Q169" s="750"/>
      <c r="R169" s="1016"/>
      <c r="S169" s="98" t="b">
        <f t="shared" ca="1" si="79"/>
        <v>1</v>
      </c>
      <c r="T169" s="98" t="b">
        <f>AD169&lt;&gt;"19.0"</f>
        <v>0</v>
      </c>
      <c r="U169" s="645" t="b">
        <f t="shared" ca="1" si="96"/>
        <v>0</v>
      </c>
      <c r="V169" s="1016"/>
      <c r="W169" s="1016"/>
      <c r="X169" s="98" t="s">
        <v>170</v>
      </c>
      <c r="Y169" s="1382"/>
      <c r="Z169" s="1382"/>
      <c r="AA169" s="646"/>
      <c r="AB169" s="1434"/>
      <c r="AD169" s="99" t="s">
        <v>633</v>
      </c>
      <c r="AE169" s="757"/>
      <c r="AF169" s="475"/>
      <c r="AG169" s="99" t="s">
        <v>388</v>
      </c>
      <c r="AH169" s="32"/>
      <c r="AI169" s="32">
        <f>IFERROR(AI166/AI$164,0)</f>
        <v>0</v>
      </c>
      <c r="AJ169" s="32">
        <f>IFERROR(AJ166/AJ$164,0)</f>
        <v>0</v>
      </c>
      <c r="AK169" s="32"/>
      <c r="AL169" s="678">
        <f>IFERROR(AL166/AL$162,0)</f>
        <v>0</v>
      </c>
      <c r="AM169" s="32"/>
      <c r="AN169" s="32"/>
      <c r="AO169" s="678">
        <f>IFERROR(AO166/AO$162,0)</f>
        <v>0</v>
      </c>
      <c r="AP169" s="1113"/>
      <c r="AQ169" s="1113"/>
      <c r="AR169" s="678">
        <f>IFERROR(AR166/AR$162,0)</f>
        <v>0</v>
      </c>
      <c r="AS169" s="1113"/>
      <c r="AT169" s="1113"/>
      <c r="AU169" s="678">
        <f>IFERROR(AU166/AU$162,0)</f>
        <v>0</v>
      </c>
      <c r="AV169" s="32"/>
      <c r="AW169" s="32"/>
      <c r="AX169" s="678">
        <f>IFERROR(AX166/AX$162,0)</f>
        <v>0</v>
      </c>
      <c r="AY169" s="32"/>
      <c r="AZ169" s="32"/>
      <c r="BA169" s="678">
        <f>IFERROR(BA166/BA$162,0)</f>
        <v>0</v>
      </c>
      <c r="BB169" s="32"/>
      <c r="BC169" s="32"/>
      <c r="BD169" s="678">
        <f>IFERROR(BD166/BD$162,0)</f>
        <v>0</v>
      </c>
      <c r="BE169" s="32"/>
      <c r="BF169" s="32"/>
      <c r="BG169" s="678">
        <f>IFERROR(BG166/BG$162,0)</f>
        <v>0</v>
      </c>
      <c r="BH169" s="32"/>
      <c r="BI169" s="32"/>
      <c r="BJ169" s="678">
        <f>IFERROR(BJ166/BJ$162,0)</f>
        <v>0</v>
      </c>
      <c r="BK169" s="32"/>
      <c r="BL169" s="32"/>
      <c r="BM169" s="678">
        <f>IFERROR(BM166/BM$162,0)</f>
        <v>0</v>
      </c>
      <c r="BN169" s="32"/>
      <c r="BO169" s="32"/>
      <c r="BP169" s="678">
        <f>IFERROR(BP166/BP$162,0)</f>
        <v>0</v>
      </c>
      <c r="BQ169" s="764"/>
      <c r="BR169" s="764"/>
      <c r="BS169" s="678">
        <f>IFERROR(BS166/BS$162,0)</f>
        <v>0</v>
      </c>
      <c r="BT169" s="1113"/>
      <c r="BU169" s="1113"/>
      <c r="BV169" s="678">
        <f>IFERROR(BV166/BV$162,0)</f>
        <v>0</v>
      </c>
      <c r="BW169" s="1113"/>
      <c r="BX169" s="1113"/>
      <c r="BY169" s="678">
        <f>IFERROR(BY166/BY$162,0)</f>
        <v>0</v>
      </c>
      <c r="BZ169" s="32"/>
      <c r="CA169" s="32"/>
      <c r="CB169" s="678">
        <f>IFERROR(CB166/CB$162,0)</f>
        <v>0</v>
      </c>
      <c r="CC169" s="32"/>
      <c r="CD169" s="32"/>
      <c r="CE169" s="678">
        <f>IFERROR(CE166/CE$162,0)</f>
        <v>0</v>
      </c>
      <c r="CF169" s="32"/>
      <c r="CG169" s="32"/>
      <c r="CH169" s="678">
        <f>IFERROR(CH166/CH$162,0)</f>
        <v>0</v>
      </c>
      <c r="CI169" s="32"/>
      <c r="CJ169" s="32"/>
      <c r="CK169" s="678">
        <f>IFERROR(CK166/CK$162,0)</f>
        <v>0</v>
      </c>
      <c r="CL169" s="32"/>
      <c r="CM169" s="32"/>
      <c r="CN169" s="678">
        <f>IFERROR(CN166/CN$162,0)</f>
        <v>0</v>
      </c>
      <c r="CO169" s="32"/>
      <c r="CP169" s="32"/>
      <c r="CQ169" s="678">
        <f>IFERROR(CQ166/CQ$162,0)</f>
        <v>0</v>
      </c>
      <c r="CR169" s="32"/>
      <c r="CS169" s="32"/>
      <c r="CT169" s="22"/>
      <c r="CW169" s="902" t="s">
        <v>632</v>
      </c>
      <c r="CX169" s="907" t="s">
        <v>630</v>
      </c>
      <c r="CY169" s="911">
        <f>AE169</f>
        <v>0</v>
      </c>
      <c r="CZ169" s="911">
        <f>AF169</f>
        <v>0</v>
      </c>
      <c r="DA169" s="908"/>
      <c r="DB169" s="908"/>
    </row>
    <row r="170" spans="1:106" s="1057" customFormat="1" ht="17.25" hidden="1" customHeight="1">
      <c r="A170" s="769"/>
      <c r="B170" s="718"/>
      <c r="C170" s="1016"/>
      <c r="D170" s="1016"/>
      <c r="E170" s="623">
        <v>0</v>
      </c>
      <c r="F170" s="714" t="str">
        <f t="shared" ca="1" si="78"/>
        <v>1</v>
      </c>
      <c r="G170" s="750"/>
      <c r="H170" s="750"/>
      <c r="I170" s="750"/>
      <c r="J170" s="750"/>
      <c r="K170" s="750"/>
      <c r="L170" s="750"/>
      <c r="M170" s="750"/>
      <c r="N170" s="750"/>
      <c r="O170" s="750"/>
      <c r="P170" s="750"/>
      <c r="Q170" s="750"/>
      <c r="R170" s="1016"/>
      <c r="S170" s="98" t="b">
        <f t="shared" ca="1" si="79"/>
        <v>1</v>
      </c>
      <c r="T170" s="1016"/>
      <c r="U170" s="645" t="b">
        <f t="shared" ca="1" si="96"/>
        <v>1</v>
      </c>
      <c r="V170" s="1016"/>
      <c r="W170" s="1016"/>
      <c r="X170" s="756" t="str">
        <f>"{                  
         funcDyn: 'msg1',
         blok: 'blok_2',
         wsCross: 'Топливо 4.4',
         linkFormula: 'AE-AE#AF-AF',
         levelDyn: "&amp;Y139&amp;"
}"</f>
        <v>{                  
         funcDyn: 'msg1',
         blok: 'blok_2',
         wsCross: 'Топливо 4.4',
         linkFormula: 'AE-AE#AF-AF',
         levelDyn: 1
}</v>
      </c>
      <c r="Y170" s="1382"/>
      <c r="Z170" s="1382"/>
      <c r="AA170" s="646"/>
      <c r="AB170" s="1434"/>
      <c r="AD170" s="759"/>
      <c r="AE170" s="758" t="s">
        <v>172</v>
      </c>
      <c r="AF170" s="685"/>
      <c r="AG170" s="497"/>
      <c r="AH170" s="686"/>
      <c r="AI170" s="686"/>
      <c r="AJ170" s="686"/>
      <c r="AK170" s="686"/>
      <c r="AL170" s="686"/>
      <c r="AM170" s="686"/>
      <c r="AN170" s="686"/>
      <c r="AO170" s="686"/>
      <c r="AP170" s="686"/>
      <c r="AQ170" s="686"/>
      <c r="AR170" s="686"/>
      <c r="AS170" s="686"/>
      <c r="AT170" s="686"/>
      <c r="AU170" s="686"/>
      <c r="AV170" s="686"/>
      <c r="AW170" s="686"/>
      <c r="AX170" s="686"/>
      <c r="AY170" s="686"/>
      <c r="AZ170" s="686"/>
      <c r="BA170" s="686"/>
      <c r="BB170" s="686"/>
      <c r="BC170" s="686"/>
      <c r="BD170" s="686"/>
      <c r="BE170" s="686"/>
      <c r="BF170" s="686"/>
      <c r="BG170" s="686"/>
      <c r="BH170" s="686"/>
      <c r="BI170" s="686"/>
      <c r="BJ170" s="686"/>
      <c r="BK170" s="686"/>
      <c r="BL170" s="686"/>
      <c r="BM170" s="686"/>
      <c r="BN170" s="686"/>
      <c r="BO170" s="686"/>
      <c r="BP170" s="686"/>
      <c r="BQ170" s="686"/>
      <c r="BR170" s="686"/>
      <c r="BS170" s="686"/>
      <c r="BT170" s="686"/>
      <c r="BU170" s="686"/>
      <c r="BV170" s="686"/>
      <c r="BW170" s="686"/>
      <c r="BX170" s="686"/>
      <c r="BY170" s="686"/>
      <c r="BZ170" s="686"/>
      <c r="CA170" s="686"/>
      <c r="CB170" s="686"/>
      <c r="CC170" s="686"/>
      <c r="CD170" s="686"/>
      <c r="CE170" s="686"/>
      <c r="CF170" s="686"/>
      <c r="CG170" s="686"/>
      <c r="CH170" s="686"/>
      <c r="CI170" s="686"/>
      <c r="CJ170" s="686"/>
      <c r="CK170" s="686"/>
      <c r="CL170" s="686"/>
      <c r="CM170" s="686"/>
      <c r="CN170" s="686"/>
      <c r="CO170" s="686"/>
      <c r="CP170" s="686"/>
      <c r="CQ170" s="686"/>
      <c r="CR170" s="686"/>
      <c r="CS170" s="686"/>
      <c r="CT170" s="33"/>
      <c r="CW170" s="902" t="str">
        <f>IF(AND(ISNUMBER(VALUE(TRIM(SUBSTITUTE(AD170,".","")))),TRIM(SUBSTITUTE(AD170,".",""))&lt;&gt;""),"P"&amp;SUBSTITUTE(AD170,".",""),"")</f>
        <v/>
      </c>
      <c r="CX170" s="907"/>
      <c r="CY170" s="907"/>
      <c r="CZ170" s="907"/>
      <c r="DA170" s="908"/>
      <c r="DB170" s="908"/>
    </row>
    <row r="171" spans="1:106" s="1057" customFormat="1" ht="16.5" customHeight="1">
      <c r="A171" s="769"/>
      <c r="B171" s="718"/>
      <c r="C171" s="1016"/>
      <c r="D171" s="1016"/>
      <c r="E171" s="623">
        <v>17.100000000000001</v>
      </c>
      <c r="F171" s="714" t="str">
        <f t="shared" ca="1" si="78"/>
        <v>1</v>
      </c>
      <c r="G171" s="750"/>
      <c r="H171" s="750"/>
      <c r="I171" s="750"/>
      <c r="J171" s="750"/>
      <c r="K171" s="750"/>
      <c r="L171" s="750"/>
      <c r="M171" s="750"/>
      <c r="N171" s="750"/>
      <c r="O171" s="750"/>
      <c r="P171" s="750"/>
      <c r="Q171" s="750"/>
      <c r="R171" s="1016"/>
      <c r="S171" s="98" t="b">
        <f t="shared" ca="1" si="79"/>
        <v>1</v>
      </c>
      <c r="T171" s="1016"/>
      <c r="U171" s="645" t="b">
        <f t="shared" ca="1" si="96"/>
        <v>1</v>
      </c>
      <c r="V171" s="1016"/>
      <c r="W171" s="1016"/>
      <c r="X171" s="1016"/>
      <c r="Y171" s="1382"/>
      <c r="Z171" s="1382"/>
      <c r="AA171" s="646"/>
      <c r="AB171" s="1434"/>
      <c r="AD171" s="99">
        <v>20</v>
      </c>
      <c r="AE171" s="1443" t="s">
        <v>634</v>
      </c>
      <c r="AF171" s="1444"/>
      <c r="AG171" s="467"/>
      <c r="AH171" s="673"/>
      <c r="AI171" s="675"/>
      <c r="AJ171" s="675"/>
      <c r="AK171" s="675"/>
      <c r="AL171" s="675"/>
      <c r="AM171" s="675"/>
      <c r="AN171" s="675"/>
      <c r="AO171" s="675"/>
      <c r="AP171" s="675"/>
      <c r="AQ171" s="675"/>
      <c r="AR171" s="675"/>
      <c r="AS171" s="675"/>
      <c r="AT171" s="675"/>
      <c r="AU171" s="675"/>
      <c r="AV171" s="675"/>
      <c r="AW171" s="675"/>
      <c r="AX171" s="675"/>
      <c r="AY171" s="675"/>
      <c r="AZ171" s="675"/>
      <c r="BA171" s="675"/>
      <c r="BB171" s="675"/>
      <c r="BC171" s="675"/>
      <c r="BD171" s="675"/>
      <c r="BE171" s="675"/>
      <c r="BF171" s="675"/>
      <c r="BG171" s="675"/>
      <c r="BH171" s="675"/>
      <c r="BI171" s="675"/>
      <c r="BJ171" s="675"/>
      <c r="BK171" s="675"/>
      <c r="BL171" s="675"/>
      <c r="BM171" s="675"/>
      <c r="BN171" s="675"/>
      <c r="BO171" s="675"/>
      <c r="BP171" s="675"/>
      <c r="BQ171" s="675"/>
      <c r="BR171" s="675"/>
      <c r="BS171" s="675"/>
      <c r="BT171" s="675"/>
      <c r="BU171" s="675"/>
      <c r="BV171" s="675"/>
      <c r="BW171" s="675"/>
      <c r="BX171" s="675"/>
      <c r="BY171" s="675"/>
      <c r="BZ171" s="675"/>
      <c r="CA171" s="675"/>
      <c r="CB171" s="675"/>
      <c r="CC171" s="675"/>
      <c r="CD171" s="675"/>
      <c r="CE171" s="675"/>
      <c r="CF171" s="675"/>
      <c r="CG171" s="675"/>
      <c r="CH171" s="675"/>
      <c r="CI171" s="675"/>
      <c r="CJ171" s="675"/>
      <c r="CK171" s="675"/>
      <c r="CL171" s="675"/>
      <c r="CM171" s="675"/>
      <c r="CN171" s="675"/>
      <c r="CO171" s="675"/>
      <c r="CP171" s="675"/>
      <c r="CQ171" s="675"/>
      <c r="CR171" s="675"/>
      <c r="CS171" s="675"/>
      <c r="CT171" s="1106"/>
      <c r="CW171" s="902" t="s">
        <v>635</v>
      </c>
      <c r="CX171" s="907"/>
      <c r="CY171" s="907"/>
      <c r="CZ171" s="907"/>
      <c r="DA171" s="908"/>
      <c r="DB171" s="908"/>
    </row>
    <row r="172" spans="1:106" s="1057" customFormat="1" ht="16.5" hidden="1" customHeight="1">
      <c r="A172" s="769"/>
      <c r="B172" s="718"/>
      <c r="C172" s="1016"/>
      <c r="D172" s="1016"/>
      <c r="E172" s="623">
        <v>17.100000000000001</v>
      </c>
      <c r="F172" s="714" t="str">
        <f t="shared" ref="F172:F203" ca="1" si="105">OFFSET(G172,-1,-1)</f>
        <v>1</v>
      </c>
      <c r="G172" s="750"/>
      <c r="H172" s="750"/>
      <c r="I172" s="750"/>
      <c r="J172" s="750"/>
      <c r="K172" s="750"/>
      <c r="L172" s="750"/>
      <c r="M172" s="750"/>
      <c r="N172" s="750"/>
      <c r="O172" s="750"/>
      <c r="P172" s="750"/>
      <c r="Q172" s="750"/>
      <c r="R172" s="1016"/>
      <c r="S172" s="98" t="b">
        <f t="shared" ref="S172:S203" ca="1" si="106">OFFSET(T172,-1,-1)</f>
        <v>1</v>
      </c>
      <c r="T172" s="98" t="b">
        <f>AD172&lt;&gt;"20.0"</f>
        <v>0</v>
      </c>
      <c r="U172" s="645" t="b">
        <f t="shared" ca="1" si="96"/>
        <v>0</v>
      </c>
      <c r="V172" s="1016"/>
      <c r="W172" s="1016"/>
      <c r="X172" s="98" t="s">
        <v>170</v>
      </c>
      <c r="Y172" s="1382"/>
      <c r="Z172" s="1382"/>
      <c r="AA172" s="646"/>
      <c r="AB172" s="1434"/>
      <c r="AD172" s="99" t="s">
        <v>636</v>
      </c>
      <c r="AE172" s="757"/>
      <c r="AF172" s="475"/>
      <c r="AG172" s="467"/>
      <c r="AH172" s="28"/>
      <c r="AI172" s="29"/>
      <c r="AJ172" s="29"/>
      <c r="AK172" s="29"/>
      <c r="AL172" s="674">
        <f>IFERROR(AL166/AL175,0)</f>
        <v>0</v>
      </c>
      <c r="AM172" s="29"/>
      <c r="AN172" s="29">
        <f>AM172</f>
        <v>0</v>
      </c>
      <c r="AO172" s="674">
        <f>IFERROR(AO166/AO175,0)</f>
        <v>0</v>
      </c>
      <c r="AP172" s="1111"/>
      <c r="AQ172" s="1111">
        <f>AP172</f>
        <v>0</v>
      </c>
      <c r="AR172" s="674">
        <f>IFERROR(AR166/AR175,0)</f>
        <v>0</v>
      </c>
      <c r="AS172" s="1111"/>
      <c r="AT172" s="1111">
        <f>AS172</f>
        <v>0</v>
      </c>
      <c r="AU172" s="674">
        <f>IFERROR(AU166/AU175,0)</f>
        <v>0</v>
      </c>
      <c r="AV172" s="29"/>
      <c r="AW172" s="29">
        <f>AV172</f>
        <v>0</v>
      </c>
      <c r="AX172" s="674">
        <f>IFERROR(AX166/AX175,0)</f>
        <v>0</v>
      </c>
      <c r="AY172" s="29"/>
      <c r="AZ172" s="29">
        <f>AY172</f>
        <v>0</v>
      </c>
      <c r="BA172" s="674">
        <f>IFERROR(BA166/BA175,0)</f>
        <v>0</v>
      </c>
      <c r="BB172" s="29"/>
      <c r="BC172" s="29">
        <f>BB172</f>
        <v>0</v>
      </c>
      <c r="BD172" s="674">
        <f>IFERROR(BD166/BD175,0)</f>
        <v>0</v>
      </c>
      <c r="BE172" s="29"/>
      <c r="BF172" s="29">
        <f>BE172</f>
        <v>0</v>
      </c>
      <c r="BG172" s="674">
        <f>IFERROR(BG166/BG175,0)</f>
        <v>0</v>
      </c>
      <c r="BH172" s="29"/>
      <c r="BI172" s="29">
        <f>BH172</f>
        <v>0</v>
      </c>
      <c r="BJ172" s="674">
        <f>IFERROR(BJ166/BJ175,0)</f>
        <v>0</v>
      </c>
      <c r="BK172" s="29"/>
      <c r="BL172" s="29">
        <f>BK172</f>
        <v>0</v>
      </c>
      <c r="BM172" s="674">
        <f>IFERROR(BM166/BM175,0)</f>
        <v>0</v>
      </c>
      <c r="BN172" s="29"/>
      <c r="BO172" s="29">
        <f>BN172</f>
        <v>0</v>
      </c>
      <c r="BP172" s="674">
        <f>IFERROR(BP166/BP175,0)</f>
        <v>0</v>
      </c>
      <c r="BQ172" s="762"/>
      <c r="BR172" s="762">
        <f>BQ172</f>
        <v>0</v>
      </c>
      <c r="BS172" s="674">
        <f>IFERROR(BS166/BS175,0)</f>
        <v>0</v>
      </c>
      <c r="BT172" s="1111"/>
      <c r="BU172" s="1111">
        <f>BT172</f>
        <v>0</v>
      </c>
      <c r="BV172" s="674">
        <f>IFERROR(BV166/BV175,0)</f>
        <v>0</v>
      </c>
      <c r="BW172" s="1111"/>
      <c r="BX172" s="1111">
        <f>BW172</f>
        <v>0</v>
      </c>
      <c r="BY172" s="674">
        <f>IFERROR(BY166/BY175,0)</f>
        <v>0</v>
      </c>
      <c r="BZ172" s="29"/>
      <c r="CA172" s="29">
        <f>BZ172</f>
        <v>0</v>
      </c>
      <c r="CB172" s="674">
        <f>IFERROR(CB166/CB175,0)</f>
        <v>0</v>
      </c>
      <c r="CC172" s="29"/>
      <c r="CD172" s="29">
        <f>CC172</f>
        <v>0</v>
      </c>
      <c r="CE172" s="674">
        <f>IFERROR(CE166/CE175,0)</f>
        <v>0</v>
      </c>
      <c r="CF172" s="29"/>
      <c r="CG172" s="29">
        <f>CF172</f>
        <v>0</v>
      </c>
      <c r="CH172" s="674">
        <f>IFERROR(CH166/CH175,0)</f>
        <v>0</v>
      </c>
      <c r="CI172" s="29"/>
      <c r="CJ172" s="29">
        <f>CI172</f>
        <v>0</v>
      </c>
      <c r="CK172" s="674">
        <f>IFERROR(CK166/CK175,0)</f>
        <v>0</v>
      </c>
      <c r="CL172" s="29"/>
      <c r="CM172" s="29">
        <f>CL172</f>
        <v>0</v>
      </c>
      <c r="CN172" s="674">
        <f>IFERROR(CN166/CN175,0)</f>
        <v>0</v>
      </c>
      <c r="CO172" s="29"/>
      <c r="CP172" s="29">
        <f>CO172</f>
        <v>0</v>
      </c>
      <c r="CQ172" s="674">
        <f>IFERROR(CQ166/CQ175,0)</f>
        <v>0</v>
      </c>
      <c r="CR172" s="29"/>
      <c r="CS172" s="29">
        <f>CR172</f>
        <v>0</v>
      </c>
      <c r="CT172" s="22"/>
      <c r="CW172" s="902" t="s">
        <v>635</v>
      </c>
      <c r="CX172" s="907" t="s">
        <v>630</v>
      </c>
      <c r="CY172" s="911">
        <f>AE172</f>
        <v>0</v>
      </c>
      <c r="CZ172" s="911">
        <f>AF172</f>
        <v>0</v>
      </c>
      <c r="DA172" s="908"/>
      <c r="DB172" s="908"/>
    </row>
    <row r="173" spans="1:106" s="1057" customFormat="1" ht="17.25" hidden="1" customHeight="1">
      <c r="A173" s="769"/>
      <c r="B173" s="718"/>
      <c r="C173" s="1016"/>
      <c r="D173" s="1016"/>
      <c r="E173" s="623">
        <v>0</v>
      </c>
      <c r="F173" s="714" t="str">
        <f t="shared" ca="1" si="105"/>
        <v>1</v>
      </c>
      <c r="G173" s="750"/>
      <c r="H173" s="750"/>
      <c r="I173" s="750"/>
      <c r="J173" s="750"/>
      <c r="K173" s="750"/>
      <c r="L173" s="750"/>
      <c r="M173" s="750"/>
      <c r="N173" s="750"/>
      <c r="O173" s="750"/>
      <c r="P173" s="750"/>
      <c r="Q173" s="750"/>
      <c r="R173" s="1016"/>
      <c r="S173" s="98" t="b">
        <f t="shared" ca="1" si="106"/>
        <v>1</v>
      </c>
      <c r="T173" s="1016"/>
      <c r="U173" s="645" t="b">
        <f t="shared" ca="1" si="96"/>
        <v>1</v>
      </c>
      <c r="V173" s="1016"/>
      <c r="W173" s="1016"/>
      <c r="X173" s="756" t="str">
        <f>"{                  
         funcDyn: 'msg1',
         blok: 'blok_2',
         wsCross: 'Топливо 4.4',
         linkFormula: 'AE-AE#AF-AF',
         levelDyn: "&amp;Y139&amp;"
}"</f>
        <v>{                  
         funcDyn: 'msg1',
         blok: 'blok_2',
         wsCross: 'Топливо 4.4',
         linkFormula: 'AE-AE#AF-AF',
         levelDyn: 1
}</v>
      </c>
      <c r="Y173" s="1382"/>
      <c r="Z173" s="1382"/>
      <c r="AA173" s="646"/>
      <c r="AB173" s="1434"/>
      <c r="AD173" s="759"/>
      <c r="AE173" s="758" t="s">
        <v>172</v>
      </c>
      <c r="AF173" s="685"/>
      <c r="AG173" s="497"/>
      <c r="AH173" s="673"/>
      <c r="AI173" s="675"/>
      <c r="AJ173" s="675"/>
      <c r="AK173" s="675"/>
      <c r="AL173" s="675"/>
      <c r="AM173" s="675"/>
      <c r="AN173" s="675"/>
      <c r="AO173" s="675"/>
      <c r="AP173" s="675"/>
      <c r="AQ173" s="675"/>
      <c r="AR173" s="675"/>
      <c r="AS173" s="675"/>
      <c r="AT173" s="675"/>
      <c r="AU173" s="675"/>
      <c r="AV173" s="675"/>
      <c r="AW173" s="675"/>
      <c r="AX173" s="675"/>
      <c r="AY173" s="675"/>
      <c r="AZ173" s="675"/>
      <c r="BA173" s="675"/>
      <c r="BB173" s="675"/>
      <c r="BC173" s="675"/>
      <c r="BD173" s="675"/>
      <c r="BE173" s="675"/>
      <c r="BF173" s="675"/>
      <c r="BG173" s="675"/>
      <c r="BH173" s="675"/>
      <c r="BI173" s="675"/>
      <c r="BJ173" s="675"/>
      <c r="BK173" s="675"/>
      <c r="BL173" s="675"/>
      <c r="BM173" s="675"/>
      <c r="BN173" s="675"/>
      <c r="BO173" s="675"/>
      <c r="BP173" s="675"/>
      <c r="BQ173" s="675"/>
      <c r="BR173" s="675"/>
      <c r="BS173" s="675"/>
      <c r="BT173" s="675"/>
      <c r="BU173" s="675"/>
      <c r="BV173" s="675"/>
      <c r="BW173" s="675"/>
      <c r="BX173" s="675"/>
      <c r="BY173" s="675"/>
      <c r="BZ173" s="675"/>
      <c r="CA173" s="675"/>
      <c r="CB173" s="675"/>
      <c r="CC173" s="675"/>
      <c r="CD173" s="675"/>
      <c r="CE173" s="675"/>
      <c r="CF173" s="675"/>
      <c r="CG173" s="675"/>
      <c r="CH173" s="675"/>
      <c r="CI173" s="675"/>
      <c r="CJ173" s="675"/>
      <c r="CK173" s="675"/>
      <c r="CL173" s="675"/>
      <c r="CM173" s="675"/>
      <c r="CN173" s="675"/>
      <c r="CO173" s="675"/>
      <c r="CP173" s="675"/>
      <c r="CQ173" s="675"/>
      <c r="CR173" s="675"/>
      <c r="CS173" s="675"/>
      <c r="CT173" s="33"/>
      <c r="CW173" s="902" t="str">
        <f>IF(AND(ISNUMBER(VALUE(TRIM(SUBSTITUTE(AD173,".","")))),TRIM(SUBSTITUTE(AD173,".",""))&lt;&gt;""),"P"&amp;SUBSTITUTE(AD173,".",""),"")</f>
        <v/>
      </c>
      <c r="CX173" s="907"/>
      <c r="CY173" s="907"/>
      <c r="CZ173" s="907"/>
      <c r="DA173" s="908"/>
      <c r="DB173" s="908"/>
    </row>
    <row r="174" spans="1:106" s="1057" customFormat="1" ht="16.5" customHeight="1">
      <c r="A174" s="769"/>
      <c r="B174" s="718"/>
      <c r="C174" s="1016"/>
      <c r="D174" s="1016"/>
      <c r="E174" s="623">
        <v>17.100000000000001</v>
      </c>
      <c r="F174" s="714" t="str">
        <f t="shared" ca="1" si="105"/>
        <v>1</v>
      </c>
      <c r="G174" s="750"/>
      <c r="H174" s="750"/>
      <c r="I174" s="750"/>
      <c r="J174" s="750"/>
      <c r="K174" s="750"/>
      <c r="L174" s="750"/>
      <c r="M174" s="750"/>
      <c r="N174" s="750"/>
      <c r="O174" s="750"/>
      <c r="P174" s="750"/>
      <c r="Q174" s="750"/>
      <c r="R174" s="1016"/>
      <c r="S174" s="98" t="b">
        <f t="shared" ca="1" si="106"/>
        <v>1</v>
      </c>
      <c r="T174" s="1016"/>
      <c r="U174" s="645" t="b">
        <f t="shared" ca="1" si="96"/>
        <v>1</v>
      </c>
      <c r="V174" s="1016"/>
      <c r="W174" s="1016"/>
      <c r="X174" s="1016"/>
      <c r="Y174" s="1382"/>
      <c r="Z174" s="1382"/>
      <c r="AA174" s="646"/>
      <c r="AB174" s="1434"/>
      <c r="AD174" s="99">
        <v>21</v>
      </c>
      <c r="AE174" s="1453" t="s">
        <v>637</v>
      </c>
      <c r="AF174" s="1454"/>
      <c r="AG174" s="491"/>
      <c r="AH174" s="673"/>
      <c r="AI174" s="675"/>
      <c r="AJ174" s="675"/>
      <c r="AK174" s="675"/>
      <c r="AL174" s="675"/>
      <c r="AM174" s="675"/>
      <c r="AN174" s="675"/>
      <c r="AO174" s="675"/>
      <c r="AP174" s="675"/>
      <c r="AQ174" s="675"/>
      <c r="AR174" s="675"/>
      <c r="AS174" s="675"/>
      <c r="AT174" s="675"/>
      <c r="AU174" s="675"/>
      <c r="AV174" s="675"/>
      <c r="AW174" s="675"/>
      <c r="AX174" s="675"/>
      <c r="AY174" s="675"/>
      <c r="AZ174" s="675"/>
      <c r="BA174" s="675"/>
      <c r="BB174" s="675"/>
      <c r="BC174" s="675"/>
      <c r="BD174" s="675"/>
      <c r="BE174" s="675"/>
      <c r="BF174" s="675"/>
      <c r="BG174" s="675"/>
      <c r="BH174" s="675"/>
      <c r="BI174" s="675"/>
      <c r="BJ174" s="675"/>
      <c r="BK174" s="675"/>
      <c r="BL174" s="675"/>
      <c r="BM174" s="675"/>
      <c r="BN174" s="675"/>
      <c r="BO174" s="675"/>
      <c r="BP174" s="675"/>
      <c r="BQ174" s="675"/>
      <c r="BR174" s="675"/>
      <c r="BS174" s="675"/>
      <c r="BT174" s="675"/>
      <c r="BU174" s="675"/>
      <c r="BV174" s="675"/>
      <c r="BW174" s="675"/>
      <c r="BX174" s="675"/>
      <c r="BY174" s="675"/>
      <c r="BZ174" s="675"/>
      <c r="CA174" s="675"/>
      <c r="CB174" s="675"/>
      <c r="CC174" s="675"/>
      <c r="CD174" s="675"/>
      <c r="CE174" s="675"/>
      <c r="CF174" s="675"/>
      <c r="CG174" s="675"/>
      <c r="CH174" s="675"/>
      <c r="CI174" s="675"/>
      <c r="CJ174" s="675"/>
      <c r="CK174" s="675"/>
      <c r="CL174" s="675"/>
      <c r="CM174" s="675"/>
      <c r="CN174" s="675"/>
      <c r="CO174" s="675"/>
      <c r="CP174" s="675"/>
      <c r="CQ174" s="675"/>
      <c r="CR174" s="675"/>
      <c r="CS174" s="675"/>
      <c r="CT174" s="1106"/>
      <c r="CW174" s="902" t="s">
        <v>638</v>
      </c>
      <c r="CX174" s="907"/>
      <c r="CY174" s="907"/>
      <c r="CZ174" s="907"/>
      <c r="DA174" s="908"/>
      <c r="DB174" s="908"/>
    </row>
    <row r="175" spans="1:106" s="1057" customFormat="1" ht="16.5" hidden="1" customHeight="1">
      <c r="A175" s="769"/>
      <c r="B175" s="718"/>
      <c r="C175" s="1016"/>
      <c r="D175" s="1016"/>
      <c r="E175" s="623">
        <v>17.100000000000001</v>
      </c>
      <c r="F175" s="714" t="str">
        <f t="shared" ca="1" si="105"/>
        <v>1</v>
      </c>
      <c r="G175" s="750"/>
      <c r="H175" s="750"/>
      <c r="I175" s="750"/>
      <c r="J175" s="750"/>
      <c r="K175" s="750"/>
      <c r="L175" s="750"/>
      <c r="M175" s="750"/>
      <c r="N175" s="750"/>
      <c r="O175" s="750"/>
      <c r="P175" s="750"/>
      <c r="Q175" s="750"/>
      <c r="R175" s="1016"/>
      <c r="S175" s="98" t="b">
        <f t="shared" ca="1" si="106"/>
        <v>1</v>
      </c>
      <c r="T175" s="98" t="b">
        <f>AD175&lt;&gt;"21.0"</f>
        <v>0</v>
      </c>
      <c r="U175" s="645" t="b">
        <f t="shared" ca="1" si="96"/>
        <v>0</v>
      </c>
      <c r="V175" s="1016"/>
      <c r="W175" s="1016"/>
      <c r="X175" s="98" t="s">
        <v>170</v>
      </c>
      <c r="Y175" s="1382"/>
      <c r="Z175" s="1382"/>
      <c r="AA175" s="646"/>
      <c r="AB175" s="1434"/>
      <c r="AD175" s="99" t="s">
        <v>639</v>
      </c>
      <c r="AE175" s="757"/>
      <c r="AF175" s="833"/>
      <c r="AG175" s="835" t="str">
        <f>IFERROR(INDEX(fuel_ed_izm_list,MATCH(AE175,fuel_list,0)),"тнт")</f>
        <v>тнт</v>
      </c>
      <c r="AH175" s="28">
        <f>IFERROR(AH166/AH172,0)</f>
        <v>0</v>
      </c>
      <c r="AI175" s="29"/>
      <c r="AJ175" s="29"/>
      <c r="AK175" s="29">
        <f>IFERROR(AK166/AK172,0)</f>
        <v>0</v>
      </c>
      <c r="AL175" s="672">
        <f>AM175+AN175</f>
        <v>0</v>
      </c>
      <c r="AM175" s="29">
        <f>IFERROR(AM166/AM172,0)</f>
        <v>0</v>
      </c>
      <c r="AN175" s="29">
        <f>IFERROR(AN166/AN172,0)</f>
        <v>0</v>
      </c>
      <c r="AO175" s="672">
        <f>AP175+AQ175</f>
        <v>0</v>
      </c>
      <c r="AP175" s="1111">
        <f>IFERROR(AP166/AP172,0)</f>
        <v>0</v>
      </c>
      <c r="AQ175" s="1111">
        <f>IFERROR(AQ166/AQ172,0)</f>
        <v>0</v>
      </c>
      <c r="AR175" s="672">
        <f>AS175+AT175</f>
        <v>0</v>
      </c>
      <c r="AS175" s="1111">
        <f>IFERROR(AS166/AS172,0)</f>
        <v>0</v>
      </c>
      <c r="AT175" s="1111">
        <f>IFERROR(AT166/AT172,0)</f>
        <v>0</v>
      </c>
      <c r="AU175" s="672">
        <f>AV175+AW175</f>
        <v>0</v>
      </c>
      <c r="AV175" s="29">
        <f>IFERROR(AV166/AV172,0)</f>
        <v>0</v>
      </c>
      <c r="AW175" s="29">
        <f>IFERROR(AW166/AW172,0)</f>
        <v>0</v>
      </c>
      <c r="AX175" s="672">
        <f>AY175+AZ175</f>
        <v>0</v>
      </c>
      <c r="AY175" s="29">
        <f>IFERROR(AY166/AY172,0)</f>
        <v>0</v>
      </c>
      <c r="AZ175" s="29">
        <f>IFERROR(AZ166/AZ172,0)</f>
        <v>0</v>
      </c>
      <c r="BA175" s="672">
        <f>BB175+BC175</f>
        <v>0</v>
      </c>
      <c r="BB175" s="29">
        <f>IFERROR(BB166/BB172,0)</f>
        <v>0</v>
      </c>
      <c r="BC175" s="29">
        <f>IFERROR(BC166/BC172,0)</f>
        <v>0</v>
      </c>
      <c r="BD175" s="672">
        <f>BE175+BF175</f>
        <v>0</v>
      </c>
      <c r="BE175" s="29">
        <f>IFERROR(BE166/BE172,0)</f>
        <v>0</v>
      </c>
      <c r="BF175" s="29">
        <f>IFERROR(BF166/BF172,0)</f>
        <v>0</v>
      </c>
      <c r="BG175" s="672">
        <f>BH175+BI175</f>
        <v>0</v>
      </c>
      <c r="BH175" s="29">
        <f>IFERROR(BH166/BH172,0)</f>
        <v>0</v>
      </c>
      <c r="BI175" s="29">
        <f>IFERROR(BI166/BI172,0)</f>
        <v>0</v>
      </c>
      <c r="BJ175" s="672">
        <f>BK175+BL175</f>
        <v>0</v>
      </c>
      <c r="BK175" s="29">
        <f>IFERROR(BK166/BK172,0)</f>
        <v>0</v>
      </c>
      <c r="BL175" s="29">
        <f>IFERROR(BL166/BL172,0)</f>
        <v>0</v>
      </c>
      <c r="BM175" s="672">
        <f>BN175+BO175</f>
        <v>0</v>
      </c>
      <c r="BN175" s="29">
        <f>IFERROR(BN166/BN172,0)</f>
        <v>0</v>
      </c>
      <c r="BO175" s="29">
        <f>IFERROR(BO166/BO172,0)</f>
        <v>0</v>
      </c>
      <c r="BP175" s="672">
        <f>BQ175+BR175</f>
        <v>0</v>
      </c>
      <c r="BQ175" s="762">
        <f>IFERROR(BQ166/BQ172,0)</f>
        <v>0</v>
      </c>
      <c r="BR175" s="762">
        <f>IFERROR(BR166/BR172,0)</f>
        <v>0</v>
      </c>
      <c r="BS175" s="672">
        <f>BT175+BU175</f>
        <v>0</v>
      </c>
      <c r="BT175" s="1111">
        <f>IFERROR(BT166/BT172,0)</f>
        <v>0</v>
      </c>
      <c r="BU175" s="1111">
        <f>IFERROR(BU166/BU172,0)</f>
        <v>0</v>
      </c>
      <c r="BV175" s="672">
        <f>BW175+BX175</f>
        <v>0</v>
      </c>
      <c r="BW175" s="1111">
        <f>IFERROR(BW166/BW172,0)</f>
        <v>0</v>
      </c>
      <c r="BX175" s="1111">
        <f>IFERROR(BX166/BX172,0)</f>
        <v>0</v>
      </c>
      <c r="BY175" s="672">
        <f>BZ175+CA175</f>
        <v>0</v>
      </c>
      <c r="BZ175" s="29">
        <f>IFERROR(BZ166/BZ172,0)</f>
        <v>0</v>
      </c>
      <c r="CA175" s="29">
        <f>IFERROR(CA166/CA172,0)</f>
        <v>0</v>
      </c>
      <c r="CB175" s="672">
        <f>CC175+CD175</f>
        <v>0</v>
      </c>
      <c r="CC175" s="29">
        <f>IFERROR(CC166/CC172,0)</f>
        <v>0</v>
      </c>
      <c r="CD175" s="29">
        <f>IFERROR(CD166/CD172,0)</f>
        <v>0</v>
      </c>
      <c r="CE175" s="672">
        <f>CF175+CG175</f>
        <v>0</v>
      </c>
      <c r="CF175" s="29">
        <f>IFERROR(CF166/CF172,0)</f>
        <v>0</v>
      </c>
      <c r="CG175" s="29">
        <f>IFERROR(CG166/CG172,0)</f>
        <v>0</v>
      </c>
      <c r="CH175" s="672">
        <f>CI175+CJ175</f>
        <v>0</v>
      </c>
      <c r="CI175" s="29">
        <f>IFERROR(CI166/CI172,0)</f>
        <v>0</v>
      </c>
      <c r="CJ175" s="29">
        <f>IFERROR(CJ166/CJ172,0)</f>
        <v>0</v>
      </c>
      <c r="CK175" s="672">
        <f>CL175+CM175</f>
        <v>0</v>
      </c>
      <c r="CL175" s="29">
        <f>IFERROR(CL166/CL172,0)</f>
        <v>0</v>
      </c>
      <c r="CM175" s="29">
        <f>IFERROR(CM166/CM172,0)</f>
        <v>0</v>
      </c>
      <c r="CN175" s="672">
        <f>CO175+CP175</f>
        <v>0</v>
      </c>
      <c r="CO175" s="29">
        <f>IFERROR(CO166/CO172,0)</f>
        <v>0</v>
      </c>
      <c r="CP175" s="29">
        <f>IFERROR(CP166/CP172,0)</f>
        <v>0</v>
      </c>
      <c r="CQ175" s="672">
        <f>CR175+CS175</f>
        <v>0</v>
      </c>
      <c r="CR175" s="29">
        <f>IFERROR(CR166/CR172,0)</f>
        <v>0</v>
      </c>
      <c r="CS175" s="29">
        <f>IFERROR(CS166/CS172,0)</f>
        <v>0</v>
      </c>
      <c r="CT175" s="22"/>
      <c r="CW175" s="902" t="s">
        <v>638</v>
      </c>
      <c r="CX175" s="907" t="s">
        <v>630</v>
      </c>
      <c r="CY175" s="911">
        <f>AE175</f>
        <v>0</v>
      </c>
      <c r="CZ175" s="911">
        <f>AF175</f>
        <v>0</v>
      </c>
      <c r="DA175" s="908"/>
      <c r="DB175" s="908"/>
    </row>
    <row r="176" spans="1:106" s="1057" customFormat="1" ht="17.25" hidden="1" customHeight="1">
      <c r="A176" s="769"/>
      <c r="B176" s="718"/>
      <c r="C176" s="1016"/>
      <c r="D176" s="1016"/>
      <c r="E176" s="623">
        <v>0</v>
      </c>
      <c r="F176" s="714" t="str">
        <f t="shared" ca="1" si="105"/>
        <v>1</v>
      </c>
      <c r="G176" s="750"/>
      <c r="H176" s="750"/>
      <c r="I176" s="750"/>
      <c r="J176" s="750"/>
      <c r="K176" s="750"/>
      <c r="L176" s="750"/>
      <c r="M176" s="750"/>
      <c r="N176" s="750"/>
      <c r="O176" s="750"/>
      <c r="P176" s="750"/>
      <c r="Q176" s="750"/>
      <c r="R176" s="1016"/>
      <c r="S176" s="98" t="b">
        <f t="shared" ca="1" si="106"/>
        <v>1</v>
      </c>
      <c r="T176" s="1016"/>
      <c r="U176" s="645" t="b">
        <f t="shared" ca="1" si="96"/>
        <v>1</v>
      </c>
      <c r="V176" s="1016"/>
      <c r="W176" s="1016"/>
      <c r="X176" s="756" t="str">
        <f>"{                  
         funcDyn: 'msg1',
         blok: 'blok_2',
         wsCross: 'Топливо 4.4',
         linkFormula: 'AE-AE#AF-AF',
         levelDyn: "&amp;Y139&amp;"
}"</f>
        <v>{                  
         funcDyn: 'msg1',
         blok: 'blok_2',
         wsCross: 'Топливо 4.4',
         linkFormula: 'AE-AE#AF-AF',
         levelDyn: 1
}</v>
      </c>
      <c r="Y176" s="1382"/>
      <c r="Z176" s="1382"/>
      <c r="AA176" s="646"/>
      <c r="AB176" s="1435"/>
      <c r="AD176" s="759"/>
      <c r="AE176" s="758" t="s">
        <v>172</v>
      </c>
      <c r="AF176" s="685"/>
      <c r="AG176" s="834"/>
      <c r="AH176" s="673"/>
      <c r="AI176" s="675"/>
      <c r="AJ176" s="675"/>
      <c r="AK176" s="675"/>
      <c r="AL176" s="673"/>
      <c r="AM176" s="675"/>
      <c r="AN176" s="675"/>
      <c r="AO176" s="673"/>
      <c r="AP176" s="675"/>
      <c r="AQ176" s="675"/>
      <c r="AR176" s="673"/>
      <c r="AS176" s="675"/>
      <c r="AT176" s="675"/>
      <c r="AU176" s="673"/>
      <c r="AV176" s="675"/>
      <c r="AW176" s="675"/>
      <c r="AX176" s="673"/>
      <c r="AY176" s="675"/>
      <c r="AZ176" s="675"/>
      <c r="BA176" s="673"/>
      <c r="BB176" s="675"/>
      <c r="BC176" s="675"/>
      <c r="BD176" s="673"/>
      <c r="BE176" s="675"/>
      <c r="BF176" s="675"/>
      <c r="BG176" s="673"/>
      <c r="BH176" s="675"/>
      <c r="BI176" s="675"/>
      <c r="BJ176" s="673"/>
      <c r="BK176" s="675"/>
      <c r="BL176" s="675"/>
      <c r="BM176" s="673"/>
      <c r="BN176" s="675"/>
      <c r="BO176" s="675"/>
      <c r="BP176" s="673"/>
      <c r="BQ176" s="675"/>
      <c r="BR176" s="675"/>
      <c r="BS176" s="673"/>
      <c r="BT176" s="675"/>
      <c r="BU176" s="675"/>
      <c r="BV176" s="673"/>
      <c r="BW176" s="675"/>
      <c r="BX176" s="675"/>
      <c r="BY176" s="673"/>
      <c r="BZ176" s="675"/>
      <c r="CA176" s="675"/>
      <c r="CB176" s="673"/>
      <c r="CC176" s="675"/>
      <c r="CD176" s="675"/>
      <c r="CE176" s="673"/>
      <c r="CF176" s="675"/>
      <c r="CG176" s="675"/>
      <c r="CH176" s="673"/>
      <c r="CI176" s="675"/>
      <c r="CJ176" s="675"/>
      <c r="CK176" s="673"/>
      <c r="CL176" s="675"/>
      <c r="CM176" s="675"/>
      <c r="CN176" s="673"/>
      <c r="CO176" s="675"/>
      <c r="CP176" s="675"/>
      <c r="CQ176" s="673"/>
      <c r="CR176" s="675"/>
      <c r="CS176" s="675"/>
      <c r="CT176" s="33"/>
      <c r="CW176" s="902" t="str">
        <f>IF(AND(ISNUMBER(VALUE(TRIM(SUBSTITUTE(AD176,".","")))),TRIM(SUBSTITUTE(AD176,".",""))&lt;&gt;""),"P"&amp;SUBSTITUTE(AD176,".",""),"")</f>
        <v/>
      </c>
      <c r="CX176" s="907"/>
      <c r="CY176" s="907"/>
      <c r="CZ176" s="907"/>
      <c r="DA176" s="908"/>
      <c r="DB176" s="908"/>
    </row>
    <row r="177" spans="1:106" s="1057" customFormat="1" ht="16.5" customHeight="1">
      <c r="A177" s="769"/>
      <c r="B177" s="718"/>
      <c r="C177" s="1016"/>
      <c r="D177" s="1016"/>
      <c r="E177" s="623">
        <v>17.100000000000001</v>
      </c>
      <c r="F177" s="714" t="str">
        <f t="shared" ca="1" si="105"/>
        <v>1</v>
      </c>
      <c r="G177" s="750"/>
      <c r="H177" s="750"/>
      <c r="I177" s="750"/>
      <c r="J177" s="750"/>
      <c r="K177" s="750"/>
      <c r="L177" s="750"/>
      <c r="M177" s="750"/>
      <c r="N177" s="750"/>
      <c r="O177" s="750"/>
      <c r="P177" s="750"/>
      <c r="Q177" s="750"/>
      <c r="R177" s="1016"/>
      <c r="S177" s="98" t="b">
        <f t="shared" ca="1" si="106"/>
        <v>1</v>
      </c>
      <c r="T177" s="1016"/>
      <c r="U177" s="645" t="b">
        <f t="shared" ca="1" si="96"/>
        <v>1</v>
      </c>
      <c r="V177" s="1016"/>
      <c r="W177" s="1016"/>
      <c r="X177" s="1016"/>
      <c r="Y177" s="1382"/>
      <c r="Z177" s="1382"/>
      <c r="AA177" s="646"/>
      <c r="AB177" s="1430" t="s">
        <v>640</v>
      </c>
      <c r="AD177" s="99">
        <v>22</v>
      </c>
      <c r="AE177" s="1443" t="s">
        <v>641</v>
      </c>
      <c r="AF177" s="1444"/>
      <c r="AG177" s="467"/>
      <c r="AH177" s="673"/>
      <c r="AI177" s="675"/>
      <c r="AJ177" s="675"/>
      <c r="AK177" s="675"/>
      <c r="AL177" s="675"/>
      <c r="AM177" s="675"/>
      <c r="AN177" s="675"/>
      <c r="AO177" s="675"/>
      <c r="AP177" s="675"/>
      <c r="AQ177" s="675"/>
      <c r="AR177" s="675"/>
      <c r="AS177" s="675"/>
      <c r="AT177" s="675"/>
      <c r="AU177" s="675"/>
      <c r="AV177" s="675"/>
      <c r="AW177" s="675"/>
      <c r="AX177" s="675"/>
      <c r="AY177" s="675"/>
      <c r="AZ177" s="675"/>
      <c r="BA177" s="675"/>
      <c r="BB177" s="675"/>
      <c r="BC177" s="675"/>
      <c r="BD177" s="675"/>
      <c r="BE177" s="675"/>
      <c r="BF177" s="675"/>
      <c r="BG177" s="675"/>
      <c r="BH177" s="675"/>
      <c r="BI177" s="675"/>
      <c r="BJ177" s="675"/>
      <c r="BK177" s="675"/>
      <c r="BL177" s="675"/>
      <c r="BM177" s="675"/>
      <c r="BN177" s="675"/>
      <c r="BO177" s="675"/>
      <c r="BP177" s="675"/>
      <c r="BQ177" s="675"/>
      <c r="BR177" s="675"/>
      <c r="BS177" s="675"/>
      <c r="BT177" s="675"/>
      <c r="BU177" s="675"/>
      <c r="BV177" s="675"/>
      <c r="BW177" s="675"/>
      <c r="BX177" s="675"/>
      <c r="BY177" s="675"/>
      <c r="BZ177" s="675"/>
      <c r="CA177" s="675"/>
      <c r="CB177" s="675"/>
      <c r="CC177" s="675"/>
      <c r="CD177" s="675"/>
      <c r="CE177" s="675"/>
      <c r="CF177" s="675"/>
      <c r="CG177" s="675"/>
      <c r="CH177" s="675"/>
      <c r="CI177" s="675"/>
      <c r="CJ177" s="675"/>
      <c r="CK177" s="675"/>
      <c r="CL177" s="675"/>
      <c r="CM177" s="675"/>
      <c r="CN177" s="675"/>
      <c r="CO177" s="675"/>
      <c r="CP177" s="675"/>
      <c r="CQ177" s="675"/>
      <c r="CR177" s="675"/>
      <c r="CS177" s="675"/>
      <c r="CT177" s="1106"/>
      <c r="CW177" s="902" t="s">
        <v>642</v>
      </c>
      <c r="CX177" s="907"/>
      <c r="CY177" s="907"/>
      <c r="CZ177" s="907"/>
      <c r="DA177" s="908"/>
      <c r="DB177" s="908"/>
    </row>
    <row r="178" spans="1:106" s="1057" customFormat="1" ht="16.5" hidden="1" customHeight="1">
      <c r="A178" s="769"/>
      <c r="B178" s="718"/>
      <c r="C178" s="1016"/>
      <c r="D178" s="1016"/>
      <c r="E178" s="623">
        <v>17.100000000000001</v>
      </c>
      <c r="F178" s="714" t="str">
        <f t="shared" ca="1" si="105"/>
        <v>1</v>
      </c>
      <c r="G178" s="750"/>
      <c r="H178" s="750"/>
      <c r="I178" s="750"/>
      <c r="J178" s="750"/>
      <c r="K178" s="750"/>
      <c r="L178" s="750"/>
      <c r="M178" s="750"/>
      <c r="N178" s="750"/>
      <c r="O178" s="750"/>
      <c r="P178" s="750"/>
      <c r="Q178" s="750"/>
      <c r="R178" s="1016"/>
      <c r="S178" s="98" t="b">
        <f t="shared" ca="1" si="106"/>
        <v>1</v>
      </c>
      <c r="T178" s="98" t="b">
        <f>AD178&lt;&gt;"22.0"</f>
        <v>0</v>
      </c>
      <c r="U178" s="645" t="b">
        <f t="shared" ca="1" si="96"/>
        <v>0</v>
      </c>
      <c r="V178" s="1016"/>
      <c r="W178" s="1016"/>
      <c r="X178" s="98" t="s">
        <v>170</v>
      </c>
      <c r="Y178" s="1382"/>
      <c r="Z178" s="1382"/>
      <c r="AA178" s="646"/>
      <c r="AB178" s="1431"/>
      <c r="AD178" s="99" t="s">
        <v>643</v>
      </c>
      <c r="AE178" s="757"/>
      <c r="AF178" s="475"/>
      <c r="AG178" s="99" t="s">
        <v>388</v>
      </c>
      <c r="AH178" s="34"/>
      <c r="AI178" s="35"/>
      <c r="AJ178" s="35"/>
      <c r="AK178" s="35"/>
      <c r="AL178" s="788"/>
      <c r="AM178" s="35"/>
      <c r="AN178" s="35"/>
      <c r="AO178" s="788"/>
      <c r="AP178" s="1114"/>
      <c r="AQ178" s="1114"/>
      <c r="AR178" s="788"/>
      <c r="AS178" s="1114"/>
      <c r="AT178" s="1114"/>
      <c r="AU178" s="788"/>
      <c r="AV178" s="35"/>
      <c r="AW178" s="35"/>
      <c r="AX178" s="788"/>
      <c r="AY178" s="35"/>
      <c r="AZ178" s="35"/>
      <c r="BA178" s="788"/>
      <c r="BB178" s="35"/>
      <c r="BC178" s="35"/>
      <c r="BD178" s="788"/>
      <c r="BE178" s="35"/>
      <c r="BF178" s="35"/>
      <c r="BG178" s="788"/>
      <c r="BH178" s="35"/>
      <c r="BI178" s="35"/>
      <c r="BJ178" s="788"/>
      <c r="BK178" s="35"/>
      <c r="BL178" s="35"/>
      <c r="BM178" s="788"/>
      <c r="BN178" s="35"/>
      <c r="BO178" s="35"/>
      <c r="BP178" s="788"/>
      <c r="BQ178" s="787"/>
      <c r="BR178" s="787"/>
      <c r="BS178" s="788"/>
      <c r="BT178" s="1114"/>
      <c r="BU178" s="1114"/>
      <c r="BV178" s="788"/>
      <c r="BW178" s="1114"/>
      <c r="BX178" s="1114"/>
      <c r="BY178" s="788"/>
      <c r="BZ178" s="35"/>
      <c r="CA178" s="35"/>
      <c r="CB178" s="788"/>
      <c r="CC178" s="35"/>
      <c r="CD178" s="35"/>
      <c r="CE178" s="788"/>
      <c r="CF178" s="35"/>
      <c r="CG178" s="35"/>
      <c r="CH178" s="788"/>
      <c r="CI178" s="35"/>
      <c r="CJ178" s="35"/>
      <c r="CK178" s="788"/>
      <c r="CL178" s="35"/>
      <c r="CM178" s="35"/>
      <c r="CN178" s="788"/>
      <c r="CO178" s="35"/>
      <c r="CP178" s="35"/>
      <c r="CQ178" s="788"/>
      <c r="CR178" s="35"/>
      <c r="CS178" s="35"/>
      <c r="CT178" s="22"/>
      <c r="CW178" s="902" t="s">
        <v>642</v>
      </c>
      <c r="CX178" s="907" t="s">
        <v>630</v>
      </c>
      <c r="CY178" s="911">
        <f>AE178</f>
        <v>0</v>
      </c>
      <c r="CZ178" s="911">
        <f>AF178</f>
        <v>0</v>
      </c>
      <c r="DA178" s="908"/>
      <c r="DB178" s="908"/>
    </row>
    <row r="179" spans="1:106" s="1057" customFormat="1" ht="17.25" hidden="1" customHeight="1">
      <c r="A179" s="769"/>
      <c r="B179" s="718"/>
      <c r="C179" s="1016"/>
      <c r="D179" s="1016"/>
      <c r="E179" s="623">
        <v>0</v>
      </c>
      <c r="F179" s="714" t="str">
        <f t="shared" ca="1" si="105"/>
        <v>1</v>
      </c>
      <c r="G179" s="750"/>
      <c r="H179" s="750"/>
      <c r="I179" s="750"/>
      <c r="J179" s="750"/>
      <c r="K179" s="750"/>
      <c r="L179" s="750"/>
      <c r="M179" s="750"/>
      <c r="N179" s="750"/>
      <c r="O179" s="750"/>
      <c r="P179" s="750"/>
      <c r="Q179" s="750"/>
      <c r="R179" s="1016"/>
      <c r="S179" s="98" t="b">
        <f t="shared" ca="1" si="106"/>
        <v>1</v>
      </c>
      <c r="T179" s="1016"/>
      <c r="U179" s="645" t="b">
        <f t="shared" ca="1" si="96"/>
        <v>1</v>
      </c>
      <c r="V179" s="1016"/>
      <c r="W179" s="1016"/>
      <c r="X179" s="756" t="str">
        <f>"{                  
         funcDyn: 'msg1',
         blok: 'blok_2',
         wsCross: 'Топливо 4.4',
         linkFormula: 'AE-AE#AF-AF',
         levelDyn: "&amp;Y139&amp;"
}"</f>
        <v>{                  
         funcDyn: 'msg1',
         blok: 'blok_2',
         wsCross: 'Топливо 4.4',
         linkFormula: 'AE-AE#AF-AF',
         levelDyn: 1
}</v>
      </c>
      <c r="Y179" s="1382"/>
      <c r="Z179" s="1382"/>
      <c r="AA179" s="646"/>
      <c r="AB179" s="1431"/>
      <c r="AD179" s="759"/>
      <c r="AE179" s="758" t="s">
        <v>172</v>
      </c>
      <c r="AF179" s="685"/>
      <c r="AG179" s="497"/>
      <c r="AH179" s="673"/>
      <c r="AI179" s="675"/>
      <c r="AJ179" s="675"/>
      <c r="AK179" s="675"/>
      <c r="AL179" s="675"/>
      <c r="AM179" s="675"/>
      <c r="AN179" s="675"/>
      <c r="AO179" s="675"/>
      <c r="AP179" s="675"/>
      <c r="AQ179" s="675"/>
      <c r="AR179" s="675"/>
      <c r="AS179" s="675"/>
      <c r="AT179" s="675"/>
      <c r="AU179" s="675"/>
      <c r="AV179" s="675"/>
      <c r="AW179" s="675"/>
      <c r="AX179" s="675"/>
      <c r="AY179" s="675"/>
      <c r="AZ179" s="675"/>
      <c r="BA179" s="675"/>
      <c r="BB179" s="675"/>
      <c r="BC179" s="675"/>
      <c r="BD179" s="675"/>
      <c r="BE179" s="675"/>
      <c r="BF179" s="675"/>
      <c r="BG179" s="675"/>
      <c r="BH179" s="675"/>
      <c r="BI179" s="675"/>
      <c r="BJ179" s="675"/>
      <c r="BK179" s="675"/>
      <c r="BL179" s="675"/>
      <c r="BM179" s="675"/>
      <c r="BN179" s="675"/>
      <c r="BO179" s="675"/>
      <c r="BP179" s="675"/>
      <c r="BQ179" s="675"/>
      <c r="BR179" s="675"/>
      <c r="BS179" s="675"/>
      <c r="BT179" s="675"/>
      <c r="BU179" s="675"/>
      <c r="BV179" s="675"/>
      <c r="BW179" s="675"/>
      <c r="BX179" s="675"/>
      <c r="BY179" s="675"/>
      <c r="BZ179" s="675"/>
      <c r="CA179" s="675"/>
      <c r="CB179" s="675"/>
      <c r="CC179" s="675"/>
      <c r="CD179" s="675"/>
      <c r="CE179" s="675"/>
      <c r="CF179" s="675"/>
      <c r="CG179" s="675"/>
      <c r="CH179" s="675"/>
      <c r="CI179" s="675"/>
      <c r="CJ179" s="675"/>
      <c r="CK179" s="675"/>
      <c r="CL179" s="675"/>
      <c r="CM179" s="675"/>
      <c r="CN179" s="675"/>
      <c r="CO179" s="675"/>
      <c r="CP179" s="675"/>
      <c r="CQ179" s="675"/>
      <c r="CR179" s="675"/>
      <c r="CS179" s="675"/>
      <c r="CT179" s="33"/>
      <c r="CW179" s="902" t="str">
        <f>IF(AND(ISNUMBER(VALUE(TRIM(SUBSTITUTE(AD179,".","")))),TRIM(SUBSTITUTE(AD179,".",""))&lt;&gt;""),"P"&amp;SUBSTITUTE(AD179,".",""),"")</f>
        <v/>
      </c>
      <c r="CX179" s="907"/>
      <c r="CY179" s="907"/>
      <c r="CZ179" s="907"/>
      <c r="DA179" s="908"/>
      <c r="DB179" s="908"/>
    </row>
    <row r="180" spans="1:106" s="1057" customFormat="1" ht="16.5" customHeight="1">
      <c r="A180" s="769"/>
      <c r="B180" s="718"/>
      <c r="C180" s="1016"/>
      <c r="D180" s="1016"/>
      <c r="E180" s="623">
        <v>17.100000000000001</v>
      </c>
      <c r="F180" s="714" t="str">
        <f t="shared" ca="1" si="105"/>
        <v>1</v>
      </c>
      <c r="G180" s="750"/>
      <c r="H180" s="750"/>
      <c r="I180" s="750"/>
      <c r="J180" s="750"/>
      <c r="K180" s="750"/>
      <c r="L180" s="750"/>
      <c r="M180" s="750"/>
      <c r="N180" s="750"/>
      <c r="O180" s="750"/>
      <c r="P180" s="750"/>
      <c r="Q180" s="750"/>
      <c r="R180" s="1016"/>
      <c r="S180" s="98" t="b">
        <f t="shared" ca="1" si="106"/>
        <v>1</v>
      </c>
      <c r="T180" s="1016"/>
      <c r="U180" s="645" t="b">
        <f t="shared" ca="1" si="96"/>
        <v>1</v>
      </c>
      <c r="V180" s="1016"/>
      <c r="W180" s="1016"/>
      <c r="X180" s="1016"/>
      <c r="Y180" s="1382"/>
      <c r="Z180" s="1382"/>
      <c r="AA180" s="646"/>
      <c r="AB180" s="1431"/>
      <c r="AD180" s="99">
        <v>23</v>
      </c>
      <c r="AE180" s="1443" t="s">
        <v>644</v>
      </c>
      <c r="AF180" s="1444"/>
      <c r="AG180" s="491"/>
      <c r="AH180" s="673"/>
      <c r="AI180" s="675"/>
      <c r="AJ180" s="675"/>
      <c r="AK180" s="675"/>
      <c r="AL180" s="675"/>
      <c r="AM180" s="675"/>
      <c r="AN180" s="675"/>
      <c r="AO180" s="675"/>
      <c r="AP180" s="675"/>
      <c r="AQ180" s="675"/>
      <c r="AR180" s="675"/>
      <c r="AS180" s="675"/>
      <c r="AT180" s="675"/>
      <c r="AU180" s="675"/>
      <c r="AV180" s="675"/>
      <c r="AW180" s="675"/>
      <c r="AX180" s="675"/>
      <c r="AY180" s="675"/>
      <c r="AZ180" s="675"/>
      <c r="BA180" s="675"/>
      <c r="BB180" s="675"/>
      <c r="BC180" s="675"/>
      <c r="BD180" s="675"/>
      <c r="BE180" s="675"/>
      <c r="BF180" s="675"/>
      <c r="BG180" s="675"/>
      <c r="BH180" s="675"/>
      <c r="BI180" s="675"/>
      <c r="BJ180" s="675"/>
      <c r="BK180" s="675"/>
      <c r="BL180" s="675"/>
      <c r="BM180" s="675"/>
      <c r="BN180" s="675"/>
      <c r="BO180" s="675"/>
      <c r="BP180" s="675"/>
      <c r="BQ180" s="675"/>
      <c r="BR180" s="675"/>
      <c r="BS180" s="675"/>
      <c r="BT180" s="675"/>
      <c r="BU180" s="675"/>
      <c r="BV180" s="675"/>
      <c r="BW180" s="675"/>
      <c r="BX180" s="675"/>
      <c r="BY180" s="675"/>
      <c r="BZ180" s="675"/>
      <c r="CA180" s="675"/>
      <c r="CB180" s="675"/>
      <c r="CC180" s="675"/>
      <c r="CD180" s="675"/>
      <c r="CE180" s="675"/>
      <c r="CF180" s="675"/>
      <c r="CG180" s="675"/>
      <c r="CH180" s="675"/>
      <c r="CI180" s="675"/>
      <c r="CJ180" s="675"/>
      <c r="CK180" s="675"/>
      <c r="CL180" s="675"/>
      <c r="CM180" s="675"/>
      <c r="CN180" s="675"/>
      <c r="CO180" s="675"/>
      <c r="CP180" s="675"/>
      <c r="CQ180" s="675"/>
      <c r="CR180" s="675"/>
      <c r="CS180" s="675"/>
      <c r="CT180" s="1106"/>
      <c r="CW180" s="902" t="s">
        <v>645</v>
      </c>
      <c r="CX180" s="907"/>
      <c r="CY180" s="907"/>
      <c r="CZ180" s="907"/>
      <c r="DA180" s="908"/>
      <c r="DB180" s="908"/>
    </row>
    <row r="181" spans="1:106" s="1057" customFormat="1" ht="16.5" hidden="1" customHeight="1">
      <c r="A181" s="769"/>
      <c r="B181" s="718"/>
      <c r="C181" s="1016"/>
      <c r="D181" s="1016"/>
      <c r="E181" s="623">
        <v>17.100000000000001</v>
      </c>
      <c r="F181" s="714" t="str">
        <f t="shared" ca="1" si="105"/>
        <v>1</v>
      </c>
      <c r="G181" s="750"/>
      <c r="H181" s="750"/>
      <c r="I181" s="750"/>
      <c r="J181" s="750"/>
      <c r="K181" s="750"/>
      <c r="L181" s="750"/>
      <c r="M181" s="750"/>
      <c r="N181" s="750"/>
      <c r="O181" s="750"/>
      <c r="P181" s="750"/>
      <c r="Q181" s="750"/>
      <c r="R181" s="1016"/>
      <c r="S181" s="98" t="b">
        <f t="shared" ca="1" si="106"/>
        <v>1</v>
      </c>
      <c r="T181" s="98" t="b">
        <f>AD181&lt;&gt;"23.0"</f>
        <v>0</v>
      </c>
      <c r="U181" s="645" t="b">
        <f t="shared" ca="1" si="96"/>
        <v>0</v>
      </c>
      <c r="V181" s="1016"/>
      <c r="W181" s="1016"/>
      <c r="X181" s="98" t="s">
        <v>170</v>
      </c>
      <c r="Y181" s="1382"/>
      <c r="Z181" s="1382"/>
      <c r="AA181" s="646"/>
      <c r="AB181" s="1431"/>
      <c r="AD181" s="99" t="s">
        <v>646</v>
      </c>
      <c r="AE181" s="757"/>
      <c r="AF181" s="833"/>
      <c r="AG181" s="835" t="str">
        <f>"руб./"&amp;IFERROR(INDEX(fuel_ed_izm_list,MATCH(AE181,fuel_list,0)),"")</f>
        <v>руб./</v>
      </c>
      <c r="AH181" s="28">
        <f>IFERROR(AH185/AH175,0)*1000</f>
        <v>0</v>
      </c>
      <c r="AI181" s="28">
        <f>IFERROR(AI185/AI175,0)*1000</f>
        <v>0</v>
      </c>
      <c r="AJ181" s="28">
        <f>IFERROR(AJ185/AJ175,0)*1000</f>
        <v>0</v>
      </c>
      <c r="AK181" s="28">
        <f>IFERROR(AK185/AK175,0)*1000</f>
        <v>0</v>
      </c>
      <c r="AL181" s="674">
        <f>IFERROR(AL185/AL175,0)*1000</f>
        <v>0</v>
      </c>
      <c r="AM181" s="29"/>
      <c r="AN181" s="29"/>
      <c r="AO181" s="674">
        <f>IFERROR(AO185/AO175,0)*1000</f>
        <v>0</v>
      </c>
      <c r="AP181" s="1111"/>
      <c r="AQ181" s="1111"/>
      <c r="AR181" s="674">
        <f>IFERROR(AR185/AR175,0)*1000</f>
        <v>0</v>
      </c>
      <c r="AS181" s="1111"/>
      <c r="AT181" s="1111"/>
      <c r="AU181" s="674">
        <f>IFERROR(AU185/AU175,0)*1000</f>
        <v>0</v>
      </c>
      <c r="AV181" s="29"/>
      <c r="AW181" s="29"/>
      <c r="AX181" s="674">
        <f>IFERROR(AX185/AX175,0)*1000</f>
        <v>0</v>
      </c>
      <c r="AY181" s="29"/>
      <c r="AZ181" s="29"/>
      <c r="BA181" s="674">
        <f>IFERROR(BA185/BA175,0)*1000</f>
        <v>0</v>
      </c>
      <c r="BB181" s="29"/>
      <c r="BC181" s="29"/>
      <c r="BD181" s="674">
        <f>IFERROR(BD185/BD175,0)*1000</f>
        <v>0</v>
      </c>
      <c r="BE181" s="29"/>
      <c r="BF181" s="29"/>
      <c r="BG181" s="674">
        <f>IFERROR(BG185/BG175,0)*1000</f>
        <v>0</v>
      </c>
      <c r="BH181" s="29"/>
      <c r="BI181" s="29"/>
      <c r="BJ181" s="674">
        <f>IFERROR(BJ185/BJ175,0)*1000</f>
        <v>0</v>
      </c>
      <c r="BK181" s="29"/>
      <c r="BL181" s="29"/>
      <c r="BM181" s="674">
        <f>IFERROR(BM185/BM175,0)*1000</f>
        <v>0</v>
      </c>
      <c r="BN181" s="29"/>
      <c r="BO181" s="29"/>
      <c r="BP181" s="674">
        <f>IFERROR(BP185/BP175,0)*1000</f>
        <v>0</v>
      </c>
      <c r="BQ181" s="762"/>
      <c r="BR181" s="762"/>
      <c r="BS181" s="674">
        <f>IFERROR(BS185/BS175,0)*1000</f>
        <v>0</v>
      </c>
      <c r="BT181" s="1111"/>
      <c r="BU181" s="1111"/>
      <c r="BV181" s="674">
        <f>IFERROR(BV185/BV175,0)*1000</f>
        <v>0</v>
      </c>
      <c r="BW181" s="1111"/>
      <c r="BX181" s="1111"/>
      <c r="BY181" s="674">
        <f>IFERROR(BY185/BY175,0)*1000</f>
        <v>0</v>
      </c>
      <c r="BZ181" s="29"/>
      <c r="CA181" s="29"/>
      <c r="CB181" s="674">
        <f>IFERROR(CB185/CB175,0)*1000</f>
        <v>0</v>
      </c>
      <c r="CC181" s="29"/>
      <c r="CD181" s="29"/>
      <c r="CE181" s="674">
        <f>IFERROR(CE185/CE175,0)*1000</f>
        <v>0</v>
      </c>
      <c r="CF181" s="29"/>
      <c r="CG181" s="29"/>
      <c r="CH181" s="674">
        <f>IFERROR(CH185/CH175,0)*1000</f>
        <v>0</v>
      </c>
      <c r="CI181" s="29"/>
      <c r="CJ181" s="29"/>
      <c r="CK181" s="674">
        <f>IFERROR(CK185/CK175,0)*1000</f>
        <v>0</v>
      </c>
      <c r="CL181" s="29"/>
      <c r="CM181" s="29"/>
      <c r="CN181" s="674">
        <f>IFERROR(CN185/CN175,0)*1000</f>
        <v>0</v>
      </c>
      <c r="CO181" s="29"/>
      <c r="CP181" s="29"/>
      <c r="CQ181" s="674">
        <f>IFERROR(CQ185/CQ175,0)*1000</f>
        <v>0</v>
      </c>
      <c r="CR181" s="29"/>
      <c r="CS181" s="29"/>
      <c r="CT181" s="22"/>
      <c r="CW181" s="902" t="s">
        <v>645</v>
      </c>
      <c r="CX181" s="907" t="s">
        <v>630</v>
      </c>
      <c r="CY181" s="911">
        <f>AE181</f>
        <v>0</v>
      </c>
      <c r="CZ181" s="911">
        <f>AF181</f>
        <v>0</v>
      </c>
      <c r="DA181" s="908"/>
      <c r="DB181" s="908"/>
    </row>
    <row r="182" spans="1:106" s="1057" customFormat="1" ht="17.25" hidden="1" customHeight="1">
      <c r="A182" s="769"/>
      <c r="B182" s="718"/>
      <c r="C182" s="1016"/>
      <c r="D182" s="1016"/>
      <c r="E182" s="623">
        <v>0</v>
      </c>
      <c r="F182" s="714" t="str">
        <f t="shared" ca="1" si="105"/>
        <v>1</v>
      </c>
      <c r="G182" s="750"/>
      <c r="H182" s="750"/>
      <c r="I182" s="750"/>
      <c r="J182" s="750"/>
      <c r="K182" s="750"/>
      <c r="L182" s="750"/>
      <c r="M182" s="750"/>
      <c r="N182" s="750"/>
      <c r="O182" s="750"/>
      <c r="P182" s="750"/>
      <c r="Q182" s="750"/>
      <c r="R182" s="1016"/>
      <c r="S182" s="98" t="b">
        <f t="shared" ca="1" si="106"/>
        <v>1</v>
      </c>
      <c r="T182" s="1016"/>
      <c r="U182" s="645" t="b">
        <f t="shared" ca="1" si="96"/>
        <v>1</v>
      </c>
      <c r="V182" s="1016"/>
      <c r="W182" s="1016"/>
      <c r="X182" s="756" t="str">
        <f>"{                  
         funcDyn: 'msg1',
         blok: 'blok_2',
         wsCross: 'Топливо 4.4',
         linkFormula: 'AE-AE#AF-AF',
         levelDyn: "&amp;Y139&amp;"
}"</f>
        <v>{                  
         funcDyn: 'msg1',
         blok: 'blok_2',
         wsCross: 'Топливо 4.4',
         linkFormula: 'AE-AE#AF-AF',
         levelDyn: 1
}</v>
      </c>
      <c r="Y182" s="1382"/>
      <c r="Z182" s="1382"/>
      <c r="AA182" s="646"/>
      <c r="AB182" s="1431"/>
      <c r="AD182" s="759"/>
      <c r="AE182" s="758" t="s">
        <v>172</v>
      </c>
      <c r="AF182" s="685"/>
      <c r="AG182" s="834"/>
      <c r="AH182" s="673"/>
      <c r="AI182" s="675"/>
      <c r="AJ182" s="675"/>
      <c r="AK182" s="675"/>
      <c r="AL182" s="675"/>
      <c r="AM182" s="675"/>
      <c r="AN182" s="675"/>
      <c r="AO182" s="675"/>
      <c r="AP182" s="675"/>
      <c r="AQ182" s="675"/>
      <c r="AR182" s="675"/>
      <c r="AS182" s="675"/>
      <c r="AT182" s="675"/>
      <c r="AU182" s="675"/>
      <c r="AV182" s="675"/>
      <c r="AW182" s="675"/>
      <c r="AX182" s="675"/>
      <c r="AY182" s="675"/>
      <c r="AZ182" s="675"/>
      <c r="BA182" s="675"/>
      <c r="BB182" s="675"/>
      <c r="BC182" s="675"/>
      <c r="BD182" s="675"/>
      <c r="BE182" s="675"/>
      <c r="BF182" s="675"/>
      <c r="BG182" s="675"/>
      <c r="BH182" s="675"/>
      <c r="BI182" s="675"/>
      <c r="BJ182" s="675"/>
      <c r="BK182" s="675"/>
      <c r="BL182" s="675"/>
      <c r="BM182" s="675"/>
      <c r="BN182" s="675"/>
      <c r="BO182" s="675"/>
      <c r="BP182" s="675"/>
      <c r="BQ182" s="675"/>
      <c r="BR182" s="675"/>
      <c r="BS182" s="675"/>
      <c r="BT182" s="675"/>
      <c r="BU182" s="675"/>
      <c r="BV182" s="675"/>
      <c r="BW182" s="675"/>
      <c r="BX182" s="675"/>
      <c r="BY182" s="675"/>
      <c r="BZ182" s="675"/>
      <c r="CA182" s="675"/>
      <c r="CB182" s="675"/>
      <c r="CC182" s="675"/>
      <c r="CD182" s="675"/>
      <c r="CE182" s="675"/>
      <c r="CF182" s="675"/>
      <c r="CG182" s="675"/>
      <c r="CH182" s="675"/>
      <c r="CI182" s="675"/>
      <c r="CJ182" s="675"/>
      <c r="CK182" s="675"/>
      <c r="CL182" s="675"/>
      <c r="CM182" s="675"/>
      <c r="CN182" s="675"/>
      <c r="CO182" s="675"/>
      <c r="CP182" s="675"/>
      <c r="CQ182" s="675"/>
      <c r="CR182" s="675"/>
      <c r="CS182" s="675"/>
      <c r="CT182" s="33"/>
      <c r="CW182" s="902" t="str">
        <f>IF(AND(ISNUMBER(VALUE(TRIM(SUBSTITUTE(AD182,".","")))),TRIM(SUBSTITUTE(AD182,".",""))&lt;&gt;""),"P"&amp;SUBSTITUTE(AD182,".",""),"")</f>
        <v/>
      </c>
      <c r="CX182" s="907"/>
      <c r="CY182" s="907"/>
      <c r="CZ182" s="907"/>
      <c r="DA182" s="908"/>
      <c r="DB182" s="908"/>
    </row>
    <row r="183" spans="1:106" s="1057" customFormat="1" ht="16.5" customHeight="1">
      <c r="A183" s="769"/>
      <c r="B183" s="718"/>
      <c r="C183" s="1016"/>
      <c r="D183" s="1016"/>
      <c r="E183" s="623">
        <v>17.100000000000001</v>
      </c>
      <c r="F183" s="714" t="str">
        <f t="shared" ca="1" si="105"/>
        <v>1</v>
      </c>
      <c r="G183" s="750"/>
      <c r="H183" s="750"/>
      <c r="I183" s="750"/>
      <c r="J183" s="750"/>
      <c r="K183" s="750"/>
      <c r="L183" s="750"/>
      <c r="M183" s="750"/>
      <c r="N183" s="750"/>
      <c r="O183" s="750"/>
      <c r="P183" s="750"/>
      <c r="Q183" s="750"/>
      <c r="R183" s="1016"/>
      <c r="S183" s="98" t="b">
        <f t="shared" ca="1" si="106"/>
        <v>1</v>
      </c>
      <c r="T183" s="1016"/>
      <c r="U183" s="645" t="b">
        <f t="shared" ca="1" si="96"/>
        <v>1</v>
      </c>
      <c r="V183" s="1016"/>
      <c r="W183" s="1016"/>
      <c r="X183" s="1016"/>
      <c r="Y183" s="1382"/>
      <c r="Z183" s="1382"/>
      <c r="AA183" s="646"/>
      <c r="AB183" s="1431"/>
      <c r="AD183" s="99">
        <v>24</v>
      </c>
      <c r="AE183" s="1443" t="s">
        <v>647</v>
      </c>
      <c r="AF183" s="1444"/>
      <c r="AG183" s="99" t="s">
        <v>648</v>
      </c>
      <c r="AH183" s="672">
        <f t="shared" ref="AH183:BM183" si="107">SUM(AH185:AH186)</f>
        <v>0</v>
      </c>
      <c r="AI183" s="672">
        <f t="shared" si="107"/>
        <v>0</v>
      </c>
      <c r="AJ183" s="672">
        <f t="shared" si="107"/>
        <v>0</v>
      </c>
      <c r="AK183" s="672">
        <f t="shared" si="107"/>
        <v>0</v>
      </c>
      <c r="AL183" s="672">
        <f t="shared" si="107"/>
        <v>0</v>
      </c>
      <c r="AM183" s="672">
        <f t="shared" si="107"/>
        <v>0</v>
      </c>
      <c r="AN183" s="672">
        <f t="shared" si="107"/>
        <v>0</v>
      </c>
      <c r="AO183" s="672">
        <f t="shared" si="107"/>
        <v>0</v>
      </c>
      <c r="AP183" s="672">
        <f t="shared" si="107"/>
        <v>0</v>
      </c>
      <c r="AQ183" s="672">
        <f t="shared" si="107"/>
        <v>0</v>
      </c>
      <c r="AR183" s="672">
        <f t="shared" si="107"/>
        <v>0</v>
      </c>
      <c r="AS183" s="672">
        <f t="shared" si="107"/>
        <v>0</v>
      </c>
      <c r="AT183" s="672">
        <f t="shared" si="107"/>
        <v>0</v>
      </c>
      <c r="AU183" s="672">
        <f t="shared" si="107"/>
        <v>0</v>
      </c>
      <c r="AV183" s="672">
        <f t="shared" si="107"/>
        <v>0</v>
      </c>
      <c r="AW183" s="672">
        <f t="shared" si="107"/>
        <v>0</v>
      </c>
      <c r="AX183" s="672">
        <f t="shared" si="107"/>
        <v>0</v>
      </c>
      <c r="AY183" s="672">
        <f t="shared" si="107"/>
        <v>0</v>
      </c>
      <c r="AZ183" s="672">
        <f t="shared" si="107"/>
        <v>0</v>
      </c>
      <c r="BA183" s="672">
        <f t="shared" si="107"/>
        <v>0</v>
      </c>
      <c r="BB183" s="672">
        <f t="shared" si="107"/>
        <v>0</v>
      </c>
      <c r="BC183" s="672">
        <f t="shared" si="107"/>
        <v>0</v>
      </c>
      <c r="BD183" s="672">
        <f t="shared" si="107"/>
        <v>0</v>
      </c>
      <c r="BE183" s="672">
        <f t="shared" si="107"/>
        <v>0</v>
      </c>
      <c r="BF183" s="672">
        <f t="shared" si="107"/>
        <v>0</v>
      </c>
      <c r="BG183" s="672">
        <f t="shared" si="107"/>
        <v>0</v>
      </c>
      <c r="BH183" s="672">
        <f t="shared" si="107"/>
        <v>0</v>
      </c>
      <c r="BI183" s="672">
        <f t="shared" si="107"/>
        <v>0</v>
      </c>
      <c r="BJ183" s="672">
        <f t="shared" si="107"/>
        <v>0</v>
      </c>
      <c r="BK183" s="672">
        <f t="shared" si="107"/>
        <v>0</v>
      </c>
      <c r="BL183" s="672">
        <f t="shared" si="107"/>
        <v>0</v>
      </c>
      <c r="BM183" s="672">
        <f t="shared" si="107"/>
        <v>0</v>
      </c>
      <c r="BN183" s="672">
        <f t="shared" ref="BN183:CS183" si="108">SUM(BN185:BN186)</f>
        <v>0</v>
      </c>
      <c r="BO183" s="672">
        <f t="shared" si="108"/>
        <v>0</v>
      </c>
      <c r="BP183" s="672">
        <f t="shared" si="108"/>
        <v>0</v>
      </c>
      <c r="BQ183" s="672">
        <f t="shared" si="108"/>
        <v>0</v>
      </c>
      <c r="BR183" s="672">
        <f t="shared" si="108"/>
        <v>0</v>
      </c>
      <c r="BS183" s="672">
        <f t="shared" si="108"/>
        <v>0</v>
      </c>
      <c r="BT183" s="672">
        <f t="shared" si="108"/>
        <v>0</v>
      </c>
      <c r="BU183" s="672">
        <f t="shared" si="108"/>
        <v>0</v>
      </c>
      <c r="BV183" s="672">
        <f t="shared" si="108"/>
        <v>0</v>
      </c>
      <c r="BW183" s="672">
        <f t="shared" si="108"/>
        <v>0</v>
      </c>
      <c r="BX183" s="672">
        <f t="shared" si="108"/>
        <v>0</v>
      </c>
      <c r="BY183" s="672">
        <f t="shared" si="108"/>
        <v>0</v>
      </c>
      <c r="BZ183" s="672">
        <f t="shared" si="108"/>
        <v>0</v>
      </c>
      <c r="CA183" s="672">
        <f t="shared" si="108"/>
        <v>0</v>
      </c>
      <c r="CB183" s="672">
        <f t="shared" si="108"/>
        <v>0</v>
      </c>
      <c r="CC183" s="672">
        <f t="shared" si="108"/>
        <v>0</v>
      </c>
      <c r="CD183" s="672">
        <f t="shared" si="108"/>
        <v>0</v>
      </c>
      <c r="CE183" s="672">
        <f t="shared" si="108"/>
        <v>0</v>
      </c>
      <c r="CF183" s="672">
        <f t="shared" si="108"/>
        <v>0</v>
      </c>
      <c r="CG183" s="672">
        <f t="shared" si="108"/>
        <v>0</v>
      </c>
      <c r="CH183" s="672">
        <f t="shared" si="108"/>
        <v>0</v>
      </c>
      <c r="CI183" s="672">
        <f t="shared" si="108"/>
        <v>0</v>
      </c>
      <c r="CJ183" s="672">
        <f t="shared" si="108"/>
        <v>0</v>
      </c>
      <c r="CK183" s="672">
        <f t="shared" si="108"/>
        <v>0</v>
      </c>
      <c r="CL183" s="672">
        <f t="shared" si="108"/>
        <v>0</v>
      </c>
      <c r="CM183" s="672">
        <f t="shared" si="108"/>
        <v>0</v>
      </c>
      <c r="CN183" s="672">
        <f t="shared" si="108"/>
        <v>0</v>
      </c>
      <c r="CO183" s="672">
        <f t="shared" si="108"/>
        <v>0</v>
      </c>
      <c r="CP183" s="672">
        <f t="shared" si="108"/>
        <v>0</v>
      </c>
      <c r="CQ183" s="672">
        <f t="shared" si="108"/>
        <v>0</v>
      </c>
      <c r="CR183" s="672">
        <f t="shared" si="108"/>
        <v>0</v>
      </c>
      <c r="CS183" s="672">
        <f t="shared" si="108"/>
        <v>0</v>
      </c>
      <c r="CT183" s="1106"/>
      <c r="CW183" s="902" t="s">
        <v>649</v>
      </c>
      <c r="CX183" s="907"/>
      <c r="CY183" s="907"/>
      <c r="CZ183" s="907"/>
      <c r="DA183" s="908"/>
      <c r="DB183" s="908"/>
    </row>
    <row r="184" spans="1:106" s="1057" customFormat="1" ht="16.5" hidden="1" customHeight="1">
      <c r="A184" s="769"/>
      <c r="B184" s="718"/>
      <c r="C184" s="1016"/>
      <c r="D184" s="1016"/>
      <c r="E184" s="623">
        <v>17.100000000000001</v>
      </c>
      <c r="F184" s="714" t="str">
        <f t="shared" ca="1" si="105"/>
        <v>1</v>
      </c>
      <c r="G184" s="750"/>
      <c r="H184" s="750"/>
      <c r="I184" s="750"/>
      <c r="J184" s="750"/>
      <c r="K184" s="750"/>
      <c r="L184" s="750"/>
      <c r="M184" s="750"/>
      <c r="N184" s="750"/>
      <c r="O184" s="750"/>
      <c r="P184" s="750"/>
      <c r="Q184" s="750"/>
      <c r="R184" s="714" t="s">
        <v>569</v>
      </c>
      <c r="S184" s="98" t="b">
        <f t="shared" ca="1" si="106"/>
        <v>1</v>
      </c>
      <c r="T184" s="714" t="b">
        <v>0</v>
      </c>
      <c r="U184" s="645" t="b">
        <f t="shared" ca="1" si="96"/>
        <v>0</v>
      </c>
      <c r="V184" s="1016"/>
      <c r="W184" s="1016"/>
      <c r="X184" s="1016"/>
      <c r="Y184" s="1382"/>
      <c r="Z184" s="1382"/>
      <c r="AA184" s="646"/>
      <c r="AB184" s="1431"/>
      <c r="AD184" s="99" t="str">
        <f>AD183&amp;".0"</f>
        <v>24.0</v>
      </c>
      <c r="AE184" s="1455" t="s">
        <v>580</v>
      </c>
      <c r="AF184" s="1456"/>
      <c r="AG184" s="99" t="s">
        <v>648</v>
      </c>
      <c r="AH184" s="28">
        <f>AH$163*AH183</f>
        <v>0</v>
      </c>
      <c r="AI184" s="29">
        <f>AI$163*AI183</f>
        <v>0</v>
      </c>
      <c r="AJ184" s="29">
        <f>AJ$163*AJ183</f>
        <v>0</v>
      </c>
      <c r="AK184" s="29">
        <f>AK$163*AK183</f>
        <v>0</v>
      </c>
      <c r="AL184" s="674">
        <f>AM184+AN184</f>
        <v>0</v>
      </c>
      <c r="AM184" s="29">
        <f>AM$163*AM183</f>
        <v>0</v>
      </c>
      <c r="AN184" s="29">
        <f>AN$163*AN183</f>
        <v>0</v>
      </c>
      <c r="AO184" s="674">
        <f>AP184+AQ184</f>
        <v>0</v>
      </c>
      <c r="AP184" s="1111">
        <f>AP$163*AP183</f>
        <v>0</v>
      </c>
      <c r="AQ184" s="1111">
        <f>AQ$163*AQ183</f>
        <v>0</v>
      </c>
      <c r="AR184" s="674">
        <f>AS184+AT184</f>
        <v>0</v>
      </c>
      <c r="AS184" s="1111">
        <f>AS$163*AS183</f>
        <v>0</v>
      </c>
      <c r="AT184" s="1111">
        <f>AT$163*AT183</f>
        <v>0</v>
      </c>
      <c r="AU184" s="674">
        <f>AV184+AW184</f>
        <v>0</v>
      </c>
      <c r="AV184" s="29">
        <f>AV$163*AV183</f>
        <v>0</v>
      </c>
      <c r="AW184" s="29">
        <f>AW$163*AW183</f>
        <v>0</v>
      </c>
      <c r="AX184" s="674">
        <f>AY184+AZ184</f>
        <v>0</v>
      </c>
      <c r="AY184" s="29">
        <f>AY$163*AY183</f>
        <v>0</v>
      </c>
      <c r="AZ184" s="29">
        <f>AZ$163*AZ183</f>
        <v>0</v>
      </c>
      <c r="BA184" s="674">
        <f>BB184+BC184</f>
        <v>0</v>
      </c>
      <c r="BB184" s="29">
        <f>BB$163*BB183</f>
        <v>0</v>
      </c>
      <c r="BC184" s="29">
        <f>BC$163*BC183</f>
        <v>0</v>
      </c>
      <c r="BD184" s="674">
        <f>BE184+BF184</f>
        <v>0</v>
      </c>
      <c r="BE184" s="29">
        <f>BE$163*BE183</f>
        <v>0</v>
      </c>
      <c r="BF184" s="29">
        <f>BF$163*BF183</f>
        <v>0</v>
      </c>
      <c r="BG184" s="674">
        <f>BH184+BI184</f>
        <v>0</v>
      </c>
      <c r="BH184" s="29">
        <f>BH$163*BH183</f>
        <v>0</v>
      </c>
      <c r="BI184" s="29">
        <f>BI$163*BI183</f>
        <v>0</v>
      </c>
      <c r="BJ184" s="674">
        <f>BK184+BL184</f>
        <v>0</v>
      </c>
      <c r="BK184" s="29">
        <f>BK$163*BK183</f>
        <v>0</v>
      </c>
      <c r="BL184" s="29">
        <f>BL$163*BL183</f>
        <v>0</v>
      </c>
      <c r="BM184" s="674">
        <f>BN184+BO184</f>
        <v>0</v>
      </c>
      <c r="BN184" s="29">
        <f>BN$163*BN183</f>
        <v>0</v>
      </c>
      <c r="BO184" s="29">
        <f>BO$163*BO183</f>
        <v>0</v>
      </c>
      <c r="BP184" s="674">
        <f>BQ184+BR184</f>
        <v>0</v>
      </c>
      <c r="BQ184" s="762">
        <f>BQ$163*BQ183</f>
        <v>0</v>
      </c>
      <c r="BR184" s="762">
        <f>BR$163*BR183</f>
        <v>0</v>
      </c>
      <c r="BS184" s="674">
        <f>BT184+BU184</f>
        <v>0</v>
      </c>
      <c r="BT184" s="1111">
        <f>BT$163*BT183</f>
        <v>0</v>
      </c>
      <c r="BU184" s="1111">
        <f>BU$163*BU183</f>
        <v>0</v>
      </c>
      <c r="BV184" s="674">
        <f>BW184+BX184</f>
        <v>0</v>
      </c>
      <c r="BW184" s="1111">
        <f>BW$163*BW183</f>
        <v>0</v>
      </c>
      <c r="BX184" s="1111">
        <f>BX$163*BX183</f>
        <v>0</v>
      </c>
      <c r="BY184" s="674">
        <f>BZ184+CA184</f>
        <v>0</v>
      </c>
      <c r="BZ184" s="29">
        <f>BZ$163*BZ183</f>
        <v>0</v>
      </c>
      <c r="CA184" s="29">
        <f>CA$163*CA183</f>
        <v>0</v>
      </c>
      <c r="CB184" s="674">
        <f>CC184+CD184</f>
        <v>0</v>
      </c>
      <c r="CC184" s="29">
        <f>CC$163*CC183</f>
        <v>0</v>
      </c>
      <c r="CD184" s="29">
        <f>CD$163*CD183</f>
        <v>0</v>
      </c>
      <c r="CE184" s="674">
        <f>CF184+CG184</f>
        <v>0</v>
      </c>
      <c r="CF184" s="29">
        <f>CF$163*CF183</f>
        <v>0</v>
      </c>
      <c r="CG184" s="29">
        <f>CG$163*CG183</f>
        <v>0</v>
      </c>
      <c r="CH184" s="674">
        <f>CI184+CJ184</f>
        <v>0</v>
      </c>
      <c r="CI184" s="29">
        <f>CI$163*CI183</f>
        <v>0</v>
      </c>
      <c r="CJ184" s="29">
        <f>CJ$163*CJ183</f>
        <v>0</v>
      </c>
      <c r="CK184" s="674">
        <f>CL184+CM184</f>
        <v>0</v>
      </c>
      <c r="CL184" s="29">
        <f>CL$163*CL183</f>
        <v>0</v>
      </c>
      <c r="CM184" s="29">
        <f>CM$163*CM183</f>
        <v>0</v>
      </c>
      <c r="CN184" s="674">
        <f>CO184+CP184</f>
        <v>0</v>
      </c>
      <c r="CO184" s="29">
        <f>CO$163*CO183</f>
        <v>0</v>
      </c>
      <c r="CP184" s="29">
        <f>CP$163*CP183</f>
        <v>0</v>
      </c>
      <c r="CQ184" s="674">
        <f>CR184+CS184</f>
        <v>0</v>
      </c>
      <c r="CR184" s="29">
        <f>CR$163*CR183</f>
        <v>0</v>
      </c>
      <c r="CS184" s="29">
        <f>CS$163*CS183</f>
        <v>0</v>
      </c>
      <c r="CT184" s="22"/>
      <c r="CW184" s="902" t="s">
        <v>650</v>
      </c>
      <c r="CX184" s="907"/>
      <c r="CY184" s="907"/>
      <c r="CZ184" s="907"/>
      <c r="DA184" s="908"/>
      <c r="DB184" s="908"/>
    </row>
    <row r="185" spans="1:106" s="1057" customFormat="1" ht="16.5" hidden="1" customHeight="1">
      <c r="A185" s="769"/>
      <c r="B185" s="718"/>
      <c r="C185" s="1016"/>
      <c r="D185" s="1016"/>
      <c r="E185" s="623">
        <v>17.100000000000001</v>
      </c>
      <c r="F185" s="714" t="str">
        <f t="shared" ca="1" si="105"/>
        <v>1</v>
      </c>
      <c r="G185" s="750"/>
      <c r="H185" s="750"/>
      <c r="I185" s="750"/>
      <c r="J185" s="750"/>
      <c r="K185" s="750"/>
      <c r="L185" s="750"/>
      <c r="M185" s="750"/>
      <c r="N185" s="750"/>
      <c r="O185" s="750"/>
      <c r="P185" s="750"/>
      <c r="Q185" s="750"/>
      <c r="R185" s="1016"/>
      <c r="S185" s="98" t="b">
        <f t="shared" ca="1" si="106"/>
        <v>1</v>
      </c>
      <c r="T185" s="98" t="b">
        <f>AD185&lt;&gt;"24.0"</f>
        <v>0</v>
      </c>
      <c r="U185" s="645" t="b">
        <f t="shared" ca="1" si="96"/>
        <v>0</v>
      </c>
      <c r="V185" s="1016"/>
      <c r="W185" s="1016"/>
      <c r="X185" s="98" t="s">
        <v>170</v>
      </c>
      <c r="Y185" s="1382"/>
      <c r="Z185" s="1382"/>
      <c r="AA185" s="646"/>
      <c r="AB185" s="1431"/>
      <c r="AD185" s="99" t="s">
        <v>651</v>
      </c>
      <c r="AE185" s="757"/>
      <c r="AF185" s="475"/>
      <c r="AG185" s="99" t="s">
        <v>648</v>
      </c>
      <c r="AH185" s="28"/>
      <c r="AI185" s="29"/>
      <c r="AJ185" s="29"/>
      <c r="AK185" s="29"/>
      <c r="AL185" s="674">
        <f>AM185+AN185</f>
        <v>0</v>
      </c>
      <c r="AM185" s="29">
        <f>AM181*AM175/1000</f>
        <v>0</v>
      </c>
      <c r="AN185" s="29">
        <f>AN181*AN175/1000</f>
        <v>0</v>
      </c>
      <c r="AO185" s="674">
        <f>AP185+AQ185</f>
        <v>0</v>
      </c>
      <c r="AP185" s="1111">
        <f>AP181*AP175/1000</f>
        <v>0</v>
      </c>
      <c r="AQ185" s="1111">
        <f>AQ181*AQ175/1000</f>
        <v>0</v>
      </c>
      <c r="AR185" s="674">
        <f>AS185+AT185</f>
        <v>0</v>
      </c>
      <c r="AS185" s="1111">
        <f>AS181*AS175/1000</f>
        <v>0</v>
      </c>
      <c r="AT185" s="1111">
        <f>AT181*AT175/1000</f>
        <v>0</v>
      </c>
      <c r="AU185" s="674">
        <f>AV185+AW185</f>
        <v>0</v>
      </c>
      <c r="AV185" s="29">
        <f>AV181*AV175/1000</f>
        <v>0</v>
      </c>
      <c r="AW185" s="29">
        <f>AW181*AW175/1000</f>
        <v>0</v>
      </c>
      <c r="AX185" s="674">
        <f>AY185+AZ185</f>
        <v>0</v>
      </c>
      <c r="AY185" s="29">
        <f>AY181*AY175/1000</f>
        <v>0</v>
      </c>
      <c r="AZ185" s="29">
        <f>AZ181*AZ175/1000</f>
        <v>0</v>
      </c>
      <c r="BA185" s="674">
        <f>BB185+BC185</f>
        <v>0</v>
      </c>
      <c r="BB185" s="29">
        <f>BB181*BB175/1000</f>
        <v>0</v>
      </c>
      <c r="BC185" s="29">
        <f>BC181*BC175/1000</f>
        <v>0</v>
      </c>
      <c r="BD185" s="674">
        <f>BE185+BF185</f>
        <v>0</v>
      </c>
      <c r="BE185" s="29">
        <f>BE181*BE175/1000</f>
        <v>0</v>
      </c>
      <c r="BF185" s="29">
        <f>BF181*BF175/1000</f>
        <v>0</v>
      </c>
      <c r="BG185" s="674">
        <f>BH185+BI185</f>
        <v>0</v>
      </c>
      <c r="BH185" s="29">
        <f>BH181*BH175/1000</f>
        <v>0</v>
      </c>
      <c r="BI185" s="29">
        <f>BI181*BI175/1000</f>
        <v>0</v>
      </c>
      <c r="BJ185" s="674">
        <f>BK185+BL185</f>
        <v>0</v>
      </c>
      <c r="BK185" s="29">
        <f>BK181*BK175/1000</f>
        <v>0</v>
      </c>
      <c r="BL185" s="29">
        <f>BL181*BL175/1000</f>
        <v>0</v>
      </c>
      <c r="BM185" s="674">
        <f>BN185+BO185</f>
        <v>0</v>
      </c>
      <c r="BN185" s="29">
        <f>BN181*BN175/1000</f>
        <v>0</v>
      </c>
      <c r="BO185" s="29">
        <f>BO181*BO175/1000</f>
        <v>0</v>
      </c>
      <c r="BP185" s="674">
        <f>BQ185+BR185</f>
        <v>0</v>
      </c>
      <c r="BQ185" s="762">
        <f>BQ181*BQ175/1000</f>
        <v>0</v>
      </c>
      <c r="BR185" s="762">
        <f>BR181*BR175/1000</f>
        <v>0</v>
      </c>
      <c r="BS185" s="674">
        <f>BT185+BU185</f>
        <v>0</v>
      </c>
      <c r="BT185" s="1111">
        <f>BT181*BT175/1000</f>
        <v>0</v>
      </c>
      <c r="BU185" s="1111">
        <f>BU181*BU175/1000</f>
        <v>0</v>
      </c>
      <c r="BV185" s="674">
        <f>BW185+BX185</f>
        <v>0</v>
      </c>
      <c r="BW185" s="1111">
        <f>BW181*BW175/1000</f>
        <v>0</v>
      </c>
      <c r="BX185" s="1111">
        <f>BX181*BX175/1000</f>
        <v>0</v>
      </c>
      <c r="BY185" s="674">
        <f>BZ185+CA185</f>
        <v>0</v>
      </c>
      <c r="BZ185" s="29">
        <f>BZ181*BZ175/1000</f>
        <v>0</v>
      </c>
      <c r="CA185" s="29">
        <f>CA181*CA175/1000</f>
        <v>0</v>
      </c>
      <c r="CB185" s="674">
        <f>CC185+CD185</f>
        <v>0</v>
      </c>
      <c r="CC185" s="29">
        <f>CC181*CC175/1000</f>
        <v>0</v>
      </c>
      <c r="CD185" s="29">
        <f>CD181*CD175/1000</f>
        <v>0</v>
      </c>
      <c r="CE185" s="674">
        <f>CF185+CG185</f>
        <v>0</v>
      </c>
      <c r="CF185" s="29">
        <f>CF181*CF175/1000</f>
        <v>0</v>
      </c>
      <c r="CG185" s="29">
        <f>CG181*CG175/1000</f>
        <v>0</v>
      </c>
      <c r="CH185" s="674">
        <f>CI185+CJ185</f>
        <v>0</v>
      </c>
      <c r="CI185" s="29">
        <f>CI181*CI175/1000</f>
        <v>0</v>
      </c>
      <c r="CJ185" s="29">
        <f>CJ181*CJ175/1000</f>
        <v>0</v>
      </c>
      <c r="CK185" s="674">
        <f>CL185+CM185</f>
        <v>0</v>
      </c>
      <c r="CL185" s="29">
        <f>CL181*CL175/1000</f>
        <v>0</v>
      </c>
      <c r="CM185" s="29">
        <f>CM181*CM175/1000</f>
        <v>0</v>
      </c>
      <c r="CN185" s="674">
        <f>CO185+CP185</f>
        <v>0</v>
      </c>
      <c r="CO185" s="29">
        <f>CO181*CO175/1000</f>
        <v>0</v>
      </c>
      <c r="CP185" s="29">
        <f>CP181*CP175/1000</f>
        <v>0</v>
      </c>
      <c r="CQ185" s="674">
        <f>CR185+CS185</f>
        <v>0</v>
      </c>
      <c r="CR185" s="29">
        <f>CR181*CR175/1000</f>
        <v>0</v>
      </c>
      <c r="CS185" s="29">
        <f>CS181*CS175/1000</f>
        <v>0</v>
      </c>
      <c r="CT185" s="22"/>
      <c r="CW185" s="902" t="s">
        <v>650</v>
      </c>
      <c r="CX185" s="907" t="s">
        <v>630</v>
      </c>
      <c r="CY185" s="911">
        <f>AE185</f>
        <v>0</v>
      </c>
      <c r="CZ185" s="911">
        <f>AF185</f>
        <v>0</v>
      </c>
      <c r="DA185" s="908"/>
      <c r="DB185" s="908"/>
    </row>
    <row r="186" spans="1:106" s="1057" customFormat="1" ht="17.25" hidden="1" customHeight="1">
      <c r="A186" s="769"/>
      <c r="B186" s="718"/>
      <c r="C186" s="1016"/>
      <c r="D186" s="1016"/>
      <c r="E186" s="623">
        <v>0</v>
      </c>
      <c r="F186" s="714" t="str">
        <f t="shared" ca="1" si="105"/>
        <v>1</v>
      </c>
      <c r="G186" s="750"/>
      <c r="H186" s="750"/>
      <c r="I186" s="750"/>
      <c r="J186" s="750"/>
      <c r="K186" s="750"/>
      <c r="L186" s="750"/>
      <c r="M186" s="750"/>
      <c r="N186" s="750"/>
      <c r="O186" s="750"/>
      <c r="P186" s="750"/>
      <c r="Q186" s="750"/>
      <c r="R186" s="1016"/>
      <c r="S186" s="98" t="b">
        <f t="shared" ca="1" si="106"/>
        <v>1</v>
      </c>
      <c r="T186" s="1016"/>
      <c r="U186" s="645" t="b">
        <f t="shared" ca="1" si="96"/>
        <v>1</v>
      </c>
      <c r="V186" s="1016"/>
      <c r="W186" s="1016"/>
      <c r="X186" s="756" t="str">
        <f>"{                  
         funcDyn: 'msg1',
         blok: 'blok_2',
         wsCross: 'Топливо 4.4',
         linkFormula: 'AE-AE#AF-AF',
         levelDyn: "&amp;Y139&amp;"
}"</f>
        <v>{                  
         funcDyn: 'msg1',
         blok: 'blok_2',
         wsCross: 'Топливо 4.4',
         linkFormula: 'AE-AE#AF-AF',
         levelDyn: 1
}</v>
      </c>
      <c r="Y186" s="1382"/>
      <c r="Z186" s="1382"/>
      <c r="AA186" s="646"/>
      <c r="AB186" s="1431"/>
      <c r="AD186" s="759"/>
      <c r="AE186" s="758" t="s">
        <v>172</v>
      </c>
      <c r="AF186" s="685"/>
      <c r="AG186" s="111"/>
      <c r="AH186" s="673"/>
      <c r="AI186" s="675"/>
      <c r="AJ186" s="675"/>
      <c r="AK186" s="675"/>
      <c r="AL186" s="675"/>
      <c r="AM186" s="675"/>
      <c r="AN186" s="675"/>
      <c r="AO186" s="675"/>
      <c r="AP186" s="675"/>
      <c r="AQ186" s="675"/>
      <c r="AR186" s="675"/>
      <c r="AS186" s="675"/>
      <c r="AT186" s="675"/>
      <c r="AU186" s="675"/>
      <c r="AV186" s="675"/>
      <c r="AW186" s="675"/>
      <c r="AX186" s="675"/>
      <c r="AY186" s="675"/>
      <c r="AZ186" s="675"/>
      <c r="BA186" s="675"/>
      <c r="BB186" s="675"/>
      <c r="BC186" s="675"/>
      <c r="BD186" s="675"/>
      <c r="BE186" s="675"/>
      <c r="BF186" s="675"/>
      <c r="BG186" s="675"/>
      <c r="BH186" s="675"/>
      <c r="BI186" s="675"/>
      <c r="BJ186" s="675"/>
      <c r="BK186" s="675"/>
      <c r="BL186" s="675"/>
      <c r="BM186" s="675"/>
      <c r="BN186" s="675"/>
      <c r="BO186" s="675"/>
      <c r="BP186" s="675"/>
      <c r="BQ186" s="675"/>
      <c r="BR186" s="675"/>
      <c r="BS186" s="675"/>
      <c r="BT186" s="675"/>
      <c r="BU186" s="675"/>
      <c r="BV186" s="675"/>
      <c r="BW186" s="675"/>
      <c r="BX186" s="675"/>
      <c r="BY186" s="675"/>
      <c r="BZ186" s="675"/>
      <c r="CA186" s="675"/>
      <c r="CB186" s="675"/>
      <c r="CC186" s="675"/>
      <c r="CD186" s="675"/>
      <c r="CE186" s="675"/>
      <c r="CF186" s="675"/>
      <c r="CG186" s="675"/>
      <c r="CH186" s="675"/>
      <c r="CI186" s="675"/>
      <c r="CJ186" s="675"/>
      <c r="CK186" s="675"/>
      <c r="CL186" s="675"/>
      <c r="CM186" s="675"/>
      <c r="CN186" s="675"/>
      <c r="CO186" s="675"/>
      <c r="CP186" s="675"/>
      <c r="CQ186" s="675"/>
      <c r="CR186" s="675"/>
      <c r="CS186" s="675"/>
      <c r="CT186" s="33"/>
      <c r="CW186" s="902" t="str">
        <f>IF(AND(ISNUMBER(VALUE(TRIM(SUBSTITUTE(AD186,".","")))),TRIM(SUBSTITUTE(AD186,".",""))&lt;&gt;""),"P"&amp;SUBSTITUTE(AD186,".",""),"")</f>
        <v/>
      </c>
      <c r="CX186" s="907"/>
      <c r="CY186" s="907"/>
      <c r="CZ186" s="907"/>
      <c r="DA186" s="908"/>
      <c r="DB186" s="908"/>
    </row>
    <row r="187" spans="1:106" s="1057" customFormat="1" ht="21.75" customHeight="1">
      <c r="A187" s="769"/>
      <c r="B187" s="718"/>
      <c r="C187" s="1016"/>
      <c r="D187" s="1016"/>
      <c r="E187" s="623">
        <v>22.5</v>
      </c>
      <c r="F187" s="714" t="str">
        <f t="shared" ca="1" si="105"/>
        <v>1</v>
      </c>
      <c r="G187" s="750"/>
      <c r="H187" s="750"/>
      <c r="I187" s="750"/>
      <c r="J187" s="750"/>
      <c r="K187" s="750"/>
      <c r="L187" s="750"/>
      <c r="M187" s="750"/>
      <c r="N187" s="750"/>
      <c r="O187" s="750"/>
      <c r="P187" s="750"/>
      <c r="Q187" s="750"/>
      <c r="R187" s="714" t="s">
        <v>569</v>
      </c>
      <c r="S187" s="98" t="b">
        <f t="shared" ca="1" si="106"/>
        <v>1</v>
      </c>
      <c r="T187" s="1016"/>
      <c r="U187" s="645" t="b">
        <f t="shared" ca="1" si="96"/>
        <v>1</v>
      </c>
      <c r="V187" s="1016"/>
      <c r="W187" s="1016"/>
      <c r="X187" s="1016"/>
      <c r="Y187" s="1382"/>
      <c r="Z187" s="1382"/>
      <c r="AA187" s="646"/>
      <c r="AB187" s="1431"/>
      <c r="AD187" s="99">
        <v>25</v>
      </c>
      <c r="AE187" s="1453" t="s">
        <v>652</v>
      </c>
      <c r="AF187" s="1454"/>
      <c r="AG187" s="99" t="s">
        <v>648</v>
      </c>
      <c r="AH187" s="672">
        <f t="shared" ref="AH187:BM187" si="109">SUM(AH188:AH189)</f>
        <v>0</v>
      </c>
      <c r="AI187" s="672">
        <f t="shared" si="109"/>
        <v>0</v>
      </c>
      <c r="AJ187" s="672">
        <f t="shared" si="109"/>
        <v>0</v>
      </c>
      <c r="AK187" s="672">
        <f t="shared" si="109"/>
        <v>0</v>
      </c>
      <c r="AL187" s="672">
        <f t="shared" si="109"/>
        <v>0</v>
      </c>
      <c r="AM187" s="672">
        <f t="shared" si="109"/>
        <v>0</v>
      </c>
      <c r="AN187" s="672">
        <f t="shared" si="109"/>
        <v>0</v>
      </c>
      <c r="AO187" s="672">
        <f t="shared" si="109"/>
        <v>0</v>
      </c>
      <c r="AP187" s="672">
        <f t="shared" si="109"/>
        <v>0</v>
      </c>
      <c r="AQ187" s="672">
        <f t="shared" si="109"/>
        <v>0</v>
      </c>
      <c r="AR187" s="672">
        <f t="shared" si="109"/>
        <v>0</v>
      </c>
      <c r="AS187" s="672">
        <f t="shared" si="109"/>
        <v>0</v>
      </c>
      <c r="AT187" s="672">
        <f t="shared" si="109"/>
        <v>0</v>
      </c>
      <c r="AU187" s="672">
        <f t="shared" si="109"/>
        <v>0</v>
      </c>
      <c r="AV187" s="672">
        <f t="shared" si="109"/>
        <v>0</v>
      </c>
      <c r="AW187" s="672">
        <f t="shared" si="109"/>
        <v>0</v>
      </c>
      <c r="AX187" s="672">
        <f t="shared" si="109"/>
        <v>0</v>
      </c>
      <c r="AY187" s="672">
        <f t="shared" si="109"/>
        <v>0</v>
      </c>
      <c r="AZ187" s="672">
        <f t="shared" si="109"/>
        <v>0</v>
      </c>
      <c r="BA187" s="672">
        <f t="shared" si="109"/>
        <v>0</v>
      </c>
      <c r="BB187" s="672">
        <f t="shared" si="109"/>
        <v>0</v>
      </c>
      <c r="BC187" s="672">
        <f t="shared" si="109"/>
        <v>0</v>
      </c>
      <c r="BD187" s="672">
        <f t="shared" si="109"/>
        <v>0</v>
      </c>
      <c r="BE187" s="672">
        <f t="shared" si="109"/>
        <v>0</v>
      </c>
      <c r="BF187" s="672">
        <f t="shared" si="109"/>
        <v>0</v>
      </c>
      <c r="BG187" s="672">
        <f t="shared" si="109"/>
        <v>0</v>
      </c>
      <c r="BH187" s="672">
        <f t="shared" si="109"/>
        <v>0</v>
      </c>
      <c r="BI187" s="672">
        <f t="shared" si="109"/>
        <v>0</v>
      </c>
      <c r="BJ187" s="672">
        <f t="shared" si="109"/>
        <v>0</v>
      </c>
      <c r="BK187" s="672">
        <f t="shared" si="109"/>
        <v>0</v>
      </c>
      <c r="BL187" s="672">
        <f t="shared" si="109"/>
        <v>0</v>
      </c>
      <c r="BM187" s="672">
        <f t="shared" si="109"/>
        <v>0</v>
      </c>
      <c r="BN187" s="672">
        <f t="shared" ref="BN187:CS187" si="110">SUM(BN188:BN189)</f>
        <v>0</v>
      </c>
      <c r="BO187" s="672">
        <f t="shared" si="110"/>
        <v>0</v>
      </c>
      <c r="BP187" s="672">
        <f t="shared" si="110"/>
        <v>0</v>
      </c>
      <c r="BQ187" s="672">
        <f t="shared" si="110"/>
        <v>0</v>
      </c>
      <c r="BR187" s="672">
        <f t="shared" si="110"/>
        <v>0</v>
      </c>
      <c r="BS187" s="672">
        <f t="shared" si="110"/>
        <v>0</v>
      </c>
      <c r="BT187" s="672">
        <f t="shared" si="110"/>
        <v>0</v>
      </c>
      <c r="BU187" s="672">
        <f t="shared" si="110"/>
        <v>0</v>
      </c>
      <c r="BV187" s="672">
        <f t="shared" si="110"/>
        <v>0</v>
      </c>
      <c r="BW187" s="672">
        <f t="shared" si="110"/>
        <v>0</v>
      </c>
      <c r="BX187" s="672">
        <f t="shared" si="110"/>
        <v>0</v>
      </c>
      <c r="BY187" s="672">
        <f t="shared" si="110"/>
        <v>0</v>
      </c>
      <c r="BZ187" s="672">
        <f t="shared" si="110"/>
        <v>0</v>
      </c>
      <c r="CA187" s="672">
        <f t="shared" si="110"/>
        <v>0</v>
      </c>
      <c r="CB187" s="672">
        <f t="shared" si="110"/>
        <v>0</v>
      </c>
      <c r="CC187" s="672">
        <f t="shared" si="110"/>
        <v>0</v>
      </c>
      <c r="CD187" s="672">
        <f t="shared" si="110"/>
        <v>0</v>
      </c>
      <c r="CE187" s="672">
        <f t="shared" si="110"/>
        <v>0</v>
      </c>
      <c r="CF187" s="672">
        <f t="shared" si="110"/>
        <v>0</v>
      </c>
      <c r="CG187" s="672">
        <f t="shared" si="110"/>
        <v>0</v>
      </c>
      <c r="CH187" s="672">
        <f t="shared" si="110"/>
        <v>0</v>
      </c>
      <c r="CI187" s="672">
        <f t="shared" si="110"/>
        <v>0</v>
      </c>
      <c r="CJ187" s="672">
        <f t="shared" si="110"/>
        <v>0</v>
      </c>
      <c r="CK187" s="672">
        <f t="shared" si="110"/>
        <v>0</v>
      </c>
      <c r="CL187" s="672">
        <f t="shared" si="110"/>
        <v>0</v>
      </c>
      <c r="CM187" s="672">
        <f t="shared" si="110"/>
        <v>0</v>
      </c>
      <c r="CN187" s="672">
        <f t="shared" si="110"/>
        <v>0</v>
      </c>
      <c r="CO187" s="672">
        <f t="shared" si="110"/>
        <v>0</v>
      </c>
      <c r="CP187" s="672">
        <f t="shared" si="110"/>
        <v>0</v>
      </c>
      <c r="CQ187" s="672">
        <f t="shared" si="110"/>
        <v>0</v>
      </c>
      <c r="CR187" s="672">
        <f t="shared" si="110"/>
        <v>0</v>
      </c>
      <c r="CS187" s="672">
        <f t="shared" si="110"/>
        <v>0</v>
      </c>
      <c r="CT187" s="1106"/>
      <c r="CW187" s="902" t="s">
        <v>653</v>
      </c>
      <c r="CX187" s="907"/>
      <c r="CY187" s="907"/>
      <c r="CZ187" s="907"/>
      <c r="DA187" s="908"/>
      <c r="DB187" s="908"/>
    </row>
    <row r="188" spans="1:106" s="1057" customFormat="1" ht="16.5" hidden="1" customHeight="1">
      <c r="A188" s="769"/>
      <c r="B188" s="718"/>
      <c r="C188" s="1016"/>
      <c r="D188" s="1016"/>
      <c r="E188" s="623">
        <v>17.100000000000001</v>
      </c>
      <c r="F188" s="714" t="str">
        <f t="shared" ca="1" si="105"/>
        <v>1</v>
      </c>
      <c r="G188" s="750"/>
      <c r="H188" s="750"/>
      <c r="I188" s="750"/>
      <c r="J188" s="750"/>
      <c r="K188" s="750"/>
      <c r="L188" s="750"/>
      <c r="M188" s="750"/>
      <c r="N188" s="750"/>
      <c r="O188" s="750"/>
      <c r="P188" s="750"/>
      <c r="Q188" s="750"/>
      <c r="R188" s="714" t="s">
        <v>569</v>
      </c>
      <c r="S188" s="98" t="b">
        <f t="shared" ca="1" si="106"/>
        <v>1</v>
      </c>
      <c r="T188" s="98" t="b">
        <f>AD188&lt;&gt;"25.0"</f>
        <v>0</v>
      </c>
      <c r="U188" s="645" t="b">
        <f t="shared" ca="1" si="96"/>
        <v>0</v>
      </c>
      <c r="V188" s="1016"/>
      <c r="W188" s="1016"/>
      <c r="X188" s="98" t="s">
        <v>170</v>
      </c>
      <c r="Y188" s="1382"/>
      <c r="Z188" s="1382"/>
      <c r="AA188" s="646"/>
      <c r="AB188" s="1431"/>
      <c r="AD188" s="99" t="s">
        <v>654</v>
      </c>
      <c r="AE188" s="757"/>
      <c r="AF188" s="475"/>
      <c r="AG188" s="99" t="s">
        <v>648</v>
      </c>
      <c r="AH188" s="28">
        <f>AH$163*AH185</f>
        <v>0</v>
      </c>
      <c r="AI188" s="29">
        <f>AI$163*AI185</f>
        <v>0</v>
      </c>
      <c r="AJ188" s="29">
        <f>AJ$163*AJ185</f>
        <v>0</v>
      </c>
      <c r="AK188" s="29">
        <f>AK$163*AK185</f>
        <v>0</v>
      </c>
      <c r="AL188" s="674">
        <f>AM188+AN188</f>
        <v>0</v>
      </c>
      <c r="AM188" s="29">
        <f>AM$163*AM185</f>
        <v>0</v>
      </c>
      <c r="AN188" s="29">
        <f>AN$163*AN185</f>
        <v>0</v>
      </c>
      <c r="AO188" s="674">
        <f>AP188+AQ188</f>
        <v>0</v>
      </c>
      <c r="AP188" s="1111">
        <f>AP$163*AP185</f>
        <v>0</v>
      </c>
      <c r="AQ188" s="1111">
        <f>AQ$163*AQ185</f>
        <v>0</v>
      </c>
      <c r="AR188" s="674">
        <f>AS188+AT188</f>
        <v>0</v>
      </c>
      <c r="AS188" s="1111">
        <f>AS$163*AS185</f>
        <v>0</v>
      </c>
      <c r="AT188" s="1111">
        <f>AT$163*AT185</f>
        <v>0</v>
      </c>
      <c r="AU188" s="674">
        <f>AV188+AW188</f>
        <v>0</v>
      </c>
      <c r="AV188" s="29">
        <f>AV$163*AV185</f>
        <v>0</v>
      </c>
      <c r="AW188" s="29">
        <f>AW$163*AW185</f>
        <v>0</v>
      </c>
      <c r="AX188" s="674">
        <f>AY188+AZ188</f>
        <v>0</v>
      </c>
      <c r="AY188" s="29">
        <f>AY$163*AY185</f>
        <v>0</v>
      </c>
      <c r="AZ188" s="29">
        <f>AZ$163*AZ185</f>
        <v>0</v>
      </c>
      <c r="BA188" s="674">
        <f>BB188+BC188</f>
        <v>0</v>
      </c>
      <c r="BB188" s="29">
        <f>BB$163*BB185</f>
        <v>0</v>
      </c>
      <c r="BC188" s="29">
        <f>BC$163*BC185</f>
        <v>0</v>
      </c>
      <c r="BD188" s="674">
        <f>BE188+BF188</f>
        <v>0</v>
      </c>
      <c r="BE188" s="29">
        <f>BE$163*BE185</f>
        <v>0</v>
      </c>
      <c r="BF188" s="29">
        <f>BF$163*BF185</f>
        <v>0</v>
      </c>
      <c r="BG188" s="674">
        <f>BH188+BI188</f>
        <v>0</v>
      </c>
      <c r="BH188" s="29">
        <f>BH$163*BH185</f>
        <v>0</v>
      </c>
      <c r="BI188" s="29">
        <f>BI$163*BI185</f>
        <v>0</v>
      </c>
      <c r="BJ188" s="674">
        <f>BK188+BL188</f>
        <v>0</v>
      </c>
      <c r="BK188" s="29">
        <f>BK$163*BK185</f>
        <v>0</v>
      </c>
      <c r="BL188" s="29">
        <f>BL$163*BL185</f>
        <v>0</v>
      </c>
      <c r="BM188" s="674">
        <f>BN188+BO188</f>
        <v>0</v>
      </c>
      <c r="BN188" s="29">
        <f>BN$163*BN185</f>
        <v>0</v>
      </c>
      <c r="BO188" s="29">
        <f>BO$163*BO185</f>
        <v>0</v>
      </c>
      <c r="BP188" s="674">
        <f>BQ188+BR188</f>
        <v>0</v>
      </c>
      <c r="BQ188" s="762">
        <f>BQ$163*BQ185</f>
        <v>0</v>
      </c>
      <c r="BR188" s="762">
        <f>BR$163*BR185</f>
        <v>0</v>
      </c>
      <c r="BS188" s="674">
        <f>BT188+BU188</f>
        <v>0</v>
      </c>
      <c r="BT188" s="1111">
        <f>BT$163*BT185</f>
        <v>0</v>
      </c>
      <c r="BU188" s="1111">
        <f>BU$163*BU185</f>
        <v>0</v>
      </c>
      <c r="BV188" s="674">
        <f>BW188+BX188</f>
        <v>0</v>
      </c>
      <c r="BW188" s="1111">
        <f>BW$163*BW185</f>
        <v>0</v>
      </c>
      <c r="BX188" s="1111">
        <f>BX$163*BX185</f>
        <v>0</v>
      </c>
      <c r="BY188" s="674">
        <f>BZ188+CA188</f>
        <v>0</v>
      </c>
      <c r="BZ188" s="29">
        <f>BZ$163*BZ185</f>
        <v>0</v>
      </c>
      <c r="CA188" s="29">
        <f>CA$163*CA185</f>
        <v>0</v>
      </c>
      <c r="CB188" s="674">
        <f>CC188+CD188</f>
        <v>0</v>
      </c>
      <c r="CC188" s="29">
        <f>CC$163*CC185</f>
        <v>0</v>
      </c>
      <c r="CD188" s="29">
        <f>CD$163*CD185</f>
        <v>0</v>
      </c>
      <c r="CE188" s="674">
        <f>CF188+CG188</f>
        <v>0</v>
      </c>
      <c r="CF188" s="29">
        <f>CF$163*CF185</f>
        <v>0</v>
      </c>
      <c r="CG188" s="29">
        <f>CG$163*CG185</f>
        <v>0</v>
      </c>
      <c r="CH188" s="674">
        <f>CI188+CJ188</f>
        <v>0</v>
      </c>
      <c r="CI188" s="29">
        <f>CI$163*CI185</f>
        <v>0</v>
      </c>
      <c r="CJ188" s="29">
        <f>CJ$163*CJ185</f>
        <v>0</v>
      </c>
      <c r="CK188" s="674">
        <f>CL188+CM188</f>
        <v>0</v>
      </c>
      <c r="CL188" s="29">
        <f>CL$163*CL185</f>
        <v>0</v>
      </c>
      <c r="CM188" s="29">
        <f>CM$163*CM185</f>
        <v>0</v>
      </c>
      <c r="CN188" s="674">
        <f>CO188+CP188</f>
        <v>0</v>
      </c>
      <c r="CO188" s="29">
        <f>CO$163*CO185</f>
        <v>0</v>
      </c>
      <c r="CP188" s="29">
        <f>CP$163*CP185</f>
        <v>0</v>
      </c>
      <c r="CQ188" s="674">
        <f>CR188+CS188</f>
        <v>0</v>
      </c>
      <c r="CR188" s="29">
        <f>CR$163*CR185</f>
        <v>0</v>
      </c>
      <c r="CS188" s="29">
        <f>CS$163*CS185</f>
        <v>0</v>
      </c>
      <c r="CT188" s="22"/>
      <c r="CW188" s="902" t="s">
        <v>653</v>
      </c>
      <c r="CX188" s="907" t="s">
        <v>630</v>
      </c>
      <c r="CY188" s="911">
        <f>AE188</f>
        <v>0</v>
      </c>
      <c r="CZ188" s="911">
        <f>AF188</f>
        <v>0</v>
      </c>
      <c r="DA188" s="908"/>
      <c r="DB188" s="908"/>
    </row>
    <row r="189" spans="1:106" s="1057" customFormat="1" ht="15" hidden="1" customHeight="1">
      <c r="A189" s="769"/>
      <c r="B189" s="718"/>
      <c r="C189" s="1016"/>
      <c r="D189" s="1016"/>
      <c r="E189" s="623">
        <v>0</v>
      </c>
      <c r="F189" s="714" t="str">
        <f t="shared" ca="1" si="105"/>
        <v>1</v>
      </c>
      <c r="G189" s="750"/>
      <c r="H189" s="750"/>
      <c r="I189" s="750"/>
      <c r="J189" s="750"/>
      <c r="K189" s="750"/>
      <c r="L189" s="750"/>
      <c r="M189" s="750"/>
      <c r="N189" s="750"/>
      <c r="O189" s="750"/>
      <c r="P189" s="750"/>
      <c r="Q189" s="750"/>
      <c r="R189" s="1016"/>
      <c r="S189" s="98" t="b">
        <f t="shared" ca="1" si="106"/>
        <v>1</v>
      </c>
      <c r="T189" s="1016"/>
      <c r="U189" s="645" t="b">
        <f t="shared" ca="1" si="96"/>
        <v>1</v>
      </c>
      <c r="V189" s="1016"/>
      <c r="W189" s="1016"/>
      <c r="X189" s="756" t="str">
        <f>"{                  
         funcDyn: 'msg1',
         blok: 'blok_2',
         wsCross: 'Топливо 4.4',
         linkFormula: 'AE-AE#AF-AF',
         levelDyn: "&amp;Y139&amp;"
}"</f>
        <v>{                  
         funcDyn: 'msg1',
         blok: 'blok_2',
         wsCross: 'Топливо 4.4',
         linkFormula: 'AE-AE#AF-AF',
         levelDyn: 1
}</v>
      </c>
      <c r="Y189" s="1382"/>
      <c r="Z189" s="1382"/>
      <c r="AA189" s="646"/>
      <c r="AB189" s="1432"/>
      <c r="AD189" s="759"/>
      <c r="AE189" s="758" t="s">
        <v>172</v>
      </c>
      <c r="AF189" s="685"/>
      <c r="AG189" s="497"/>
      <c r="AH189" s="673"/>
      <c r="AI189" s="675"/>
      <c r="AJ189" s="675"/>
      <c r="AK189" s="675"/>
      <c r="AL189" s="675"/>
      <c r="AM189" s="675"/>
      <c r="AN189" s="675"/>
      <c r="AO189" s="675"/>
      <c r="AP189" s="675"/>
      <c r="AQ189" s="675"/>
      <c r="AR189" s="675"/>
      <c r="AS189" s="675"/>
      <c r="AT189" s="675"/>
      <c r="AU189" s="675"/>
      <c r="AV189" s="675"/>
      <c r="AW189" s="675"/>
      <c r="AX189" s="675"/>
      <c r="AY189" s="675"/>
      <c r="AZ189" s="675"/>
      <c r="BA189" s="675"/>
      <c r="BB189" s="675"/>
      <c r="BC189" s="675"/>
      <c r="BD189" s="675"/>
      <c r="BE189" s="675"/>
      <c r="BF189" s="675"/>
      <c r="BG189" s="675"/>
      <c r="BH189" s="675"/>
      <c r="BI189" s="675"/>
      <c r="BJ189" s="675"/>
      <c r="BK189" s="675"/>
      <c r="BL189" s="675"/>
      <c r="BM189" s="675"/>
      <c r="BN189" s="675"/>
      <c r="BO189" s="675"/>
      <c r="BP189" s="675"/>
      <c r="BQ189" s="675"/>
      <c r="BR189" s="675"/>
      <c r="BS189" s="675"/>
      <c r="BT189" s="675"/>
      <c r="BU189" s="675"/>
      <c r="BV189" s="675"/>
      <c r="BW189" s="675"/>
      <c r="BX189" s="675"/>
      <c r="BY189" s="675"/>
      <c r="BZ189" s="675"/>
      <c r="CA189" s="675"/>
      <c r="CB189" s="675"/>
      <c r="CC189" s="675"/>
      <c r="CD189" s="675"/>
      <c r="CE189" s="675"/>
      <c r="CF189" s="675"/>
      <c r="CG189" s="675"/>
      <c r="CH189" s="675"/>
      <c r="CI189" s="675"/>
      <c r="CJ189" s="675"/>
      <c r="CK189" s="675"/>
      <c r="CL189" s="675"/>
      <c r="CM189" s="675"/>
      <c r="CN189" s="675"/>
      <c r="CO189" s="675"/>
      <c r="CP189" s="675"/>
      <c r="CQ189" s="675"/>
      <c r="CR189" s="675"/>
      <c r="CS189" s="675"/>
      <c r="CT189" s="33"/>
      <c r="CW189" s="902" t="str">
        <f>IF(AND(ISNUMBER(VALUE(TRIM(SUBSTITUTE(AD189,".","")))),TRIM(SUBSTITUTE(AD189,".",""))&lt;&gt;""),"P"&amp;SUBSTITUTE(AD189,".",""),"")</f>
        <v/>
      </c>
      <c r="CX189" s="907"/>
      <c r="CY189" s="907"/>
      <c r="CZ189" s="907"/>
      <c r="DA189" s="908"/>
      <c r="DB189" s="908"/>
    </row>
    <row r="190" spans="1:106" s="1057" customFormat="1" ht="16.5" customHeight="1">
      <c r="A190" s="769"/>
      <c r="B190" s="718"/>
      <c r="C190" s="1016"/>
      <c r="D190" s="1016"/>
      <c r="E190" s="623">
        <v>17.100000000000001</v>
      </c>
      <c r="F190" s="714" t="str">
        <f t="shared" ca="1" si="105"/>
        <v>1</v>
      </c>
      <c r="G190" s="750"/>
      <c r="H190" s="750"/>
      <c r="I190" s="750"/>
      <c r="J190" s="750"/>
      <c r="K190" s="750"/>
      <c r="L190" s="750"/>
      <c r="M190" s="750"/>
      <c r="N190" s="750"/>
      <c r="O190" s="750"/>
      <c r="P190" s="750"/>
      <c r="Q190" s="750"/>
      <c r="R190" s="1016"/>
      <c r="S190" s="98" t="b">
        <f t="shared" ca="1" si="106"/>
        <v>1</v>
      </c>
      <c r="T190" s="1016"/>
      <c r="U190" s="645" t="b">
        <f t="shared" ca="1" si="96"/>
        <v>1</v>
      </c>
      <c r="V190" s="1016"/>
      <c r="W190" s="1016"/>
      <c r="X190" s="1016"/>
      <c r="Y190" s="1382"/>
      <c r="Z190" s="1382"/>
      <c r="AA190" s="646"/>
      <c r="AB190" s="1436" t="s">
        <v>655</v>
      </c>
      <c r="AD190" s="111">
        <v>26</v>
      </c>
      <c r="AE190" s="1442" t="s">
        <v>656</v>
      </c>
      <c r="AF190" s="1413"/>
      <c r="AG190" s="477"/>
      <c r="AH190" s="673"/>
      <c r="AI190" s="675"/>
      <c r="AJ190" s="675"/>
      <c r="AK190" s="675"/>
      <c r="AL190" s="675"/>
      <c r="AM190" s="675"/>
      <c r="AN190" s="675"/>
      <c r="AO190" s="675"/>
      <c r="AP190" s="675"/>
      <c r="AQ190" s="675"/>
      <c r="AR190" s="675"/>
      <c r="AS190" s="675"/>
      <c r="AT190" s="675"/>
      <c r="AU190" s="675"/>
      <c r="AV190" s="675"/>
      <c r="AW190" s="675"/>
      <c r="AX190" s="675"/>
      <c r="AY190" s="675"/>
      <c r="AZ190" s="675"/>
      <c r="BA190" s="675"/>
      <c r="BB190" s="675"/>
      <c r="BC190" s="675"/>
      <c r="BD190" s="675"/>
      <c r="BE190" s="675"/>
      <c r="BF190" s="675"/>
      <c r="BG190" s="675"/>
      <c r="BH190" s="675"/>
      <c r="BI190" s="675"/>
      <c r="BJ190" s="675"/>
      <c r="BK190" s="675"/>
      <c r="BL190" s="675"/>
      <c r="BM190" s="675"/>
      <c r="BN190" s="675"/>
      <c r="BO190" s="675"/>
      <c r="BP190" s="675"/>
      <c r="BQ190" s="675"/>
      <c r="BR190" s="675"/>
      <c r="BS190" s="675"/>
      <c r="BT190" s="675"/>
      <c r="BU190" s="675"/>
      <c r="BV190" s="675"/>
      <c r="BW190" s="675"/>
      <c r="BX190" s="675"/>
      <c r="BY190" s="675"/>
      <c r="BZ190" s="675"/>
      <c r="CA190" s="675"/>
      <c r="CB190" s="675"/>
      <c r="CC190" s="675"/>
      <c r="CD190" s="675"/>
      <c r="CE190" s="675"/>
      <c r="CF190" s="675"/>
      <c r="CG190" s="675"/>
      <c r="CH190" s="675"/>
      <c r="CI190" s="675"/>
      <c r="CJ190" s="675"/>
      <c r="CK190" s="675"/>
      <c r="CL190" s="675"/>
      <c r="CM190" s="675"/>
      <c r="CN190" s="675"/>
      <c r="CO190" s="675"/>
      <c r="CP190" s="675"/>
      <c r="CQ190" s="675"/>
      <c r="CR190" s="675"/>
      <c r="CS190" s="675"/>
      <c r="CT190" s="1106"/>
      <c r="CW190" s="902" t="s">
        <v>657</v>
      </c>
      <c r="CX190" s="907"/>
      <c r="CY190" s="907"/>
      <c r="CZ190" s="907"/>
      <c r="DA190" s="908"/>
      <c r="DB190" s="908"/>
    </row>
    <row r="191" spans="1:106" s="1057" customFormat="1" ht="16.5" hidden="1" customHeight="1">
      <c r="A191" s="769"/>
      <c r="B191" s="718"/>
      <c r="C191" s="1016"/>
      <c r="D191" s="1016"/>
      <c r="E191" s="623">
        <v>17.100000000000001</v>
      </c>
      <c r="F191" s="714" t="str">
        <f t="shared" ca="1" si="105"/>
        <v>1</v>
      </c>
      <c r="G191" s="750"/>
      <c r="H191" s="750"/>
      <c r="I191" s="750"/>
      <c r="J191" s="750"/>
      <c r="K191" s="750"/>
      <c r="L191" s="750"/>
      <c r="M191" s="750"/>
      <c r="N191" s="750"/>
      <c r="O191" s="750"/>
      <c r="P191" s="750"/>
      <c r="Q191" s="750"/>
      <c r="R191" s="1016"/>
      <c r="S191" s="98" t="b">
        <f t="shared" ca="1" si="106"/>
        <v>1</v>
      </c>
      <c r="T191" s="98" t="b">
        <f>AD191&lt;&gt;"26.0"</f>
        <v>0</v>
      </c>
      <c r="U191" s="645" t="b">
        <f t="shared" ca="1" si="96"/>
        <v>0</v>
      </c>
      <c r="V191" s="1016"/>
      <c r="W191" s="1016"/>
      <c r="X191" s="98" t="s">
        <v>170</v>
      </c>
      <c r="Y191" s="1382"/>
      <c r="Z191" s="1382"/>
      <c r="AA191" s="646"/>
      <c r="AB191" s="1437"/>
      <c r="AD191" s="99" t="s">
        <v>658</v>
      </c>
      <c r="AE191" s="757"/>
      <c r="AF191" s="475"/>
      <c r="AG191" s="111" t="s">
        <v>388</v>
      </c>
      <c r="AH191" s="32"/>
      <c r="AI191" s="36"/>
      <c r="AJ191" s="36"/>
      <c r="AK191" s="36"/>
      <c r="AL191" s="675"/>
      <c r="AM191" s="29"/>
      <c r="AN191" s="29"/>
      <c r="AO191" s="675"/>
      <c r="AP191" s="1115"/>
      <c r="AQ191" s="1115"/>
      <c r="AR191" s="675"/>
      <c r="AS191" s="1115"/>
      <c r="AT191" s="1115"/>
      <c r="AU191" s="675"/>
      <c r="AV191" s="36"/>
      <c r="AW191" s="36"/>
      <c r="AX191" s="675"/>
      <c r="AY191" s="36"/>
      <c r="AZ191" s="36"/>
      <c r="BA191" s="675"/>
      <c r="BB191" s="36"/>
      <c r="BC191" s="36"/>
      <c r="BD191" s="675"/>
      <c r="BE191" s="36"/>
      <c r="BF191" s="36"/>
      <c r="BG191" s="675"/>
      <c r="BH191" s="36"/>
      <c r="BI191" s="36"/>
      <c r="BJ191" s="675"/>
      <c r="BK191" s="36"/>
      <c r="BL191" s="36"/>
      <c r="BM191" s="675"/>
      <c r="BN191" s="36"/>
      <c r="BO191" s="36"/>
      <c r="BP191" s="675"/>
      <c r="BQ191" s="765"/>
      <c r="BR191" s="765"/>
      <c r="BS191" s="675"/>
      <c r="BT191" s="1115"/>
      <c r="BU191" s="1115"/>
      <c r="BV191" s="675"/>
      <c r="BW191" s="1115"/>
      <c r="BX191" s="1115"/>
      <c r="BY191" s="675"/>
      <c r="BZ191" s="36"/>
      <c r="CA191" s="36"/>
      <c r="CB191" s="675"/>
      <c r="CC191" s="36"/>
      <c r="CD191" s="36"/>
      <c r="CE191" s="675"/>
      <c r="CF191" s="36"/>
      <c r="CG191" s="36"/>
      <c r="CH191" s="675"/>
      <c r="CI191" s="36"/>
      <c r="CJ191" s="36"/>
      <c r="CK191" s="675"/>
      <c r="CL191" s="36"/>
      <c r="CM191" s="36"/>
      <c r="CN191" s="675"/>
      <c r="CO191" s="36"/>
      <c r="CP191" s="36"/>
      <c r="CQ191" s="675"/>
      <c r="CR191" s="36"/>
      <c r="CS191" s="36"/>
      <c r="CT191" s="22"/>
      <c r="CW191" s="902" t="s">
        <v>657</v>
      </c>
      <c r="CX191" s="907" t="s">
        <v>630</v>
      </c>
      <c r="CY191" s="911">
        <f>AE191</f>
        <v>0</v>
      </c>
      <c r="CZ191" s="911">
        <f>AF191</f>
        <v>0</v>
      </c>
      <c r="DA191" s="908"/>
      <c r="DB191" s="908"/>
    </row>
    <row r="192" spans="1:106" s="1057" customFormat="1" ht="15" hidden="1" customHeight="1">
      <c r="A192" s="769"/>
      <c r="B192" s="718"/>
      <c r="C192" s="1016"/>
      <c r="D192" s="1016"/>
      <c r="E192" s="623">
        <v>0</v>
      </c>
      <c r="F192" s="714" t="str">
        <f t="shared" ca="1" si="105"/>
        <v>1</v>
      </c>
      <c r="G192" s="750"/>
      <c r="H192" s="750"/>
      <c r="I192" s="750"/>
      <c r="J192" s="750"/>
      <c r="K192" s="750"/>
      <c r="L192" s="750"/>
      <c r="M192" s="750"/>
      <c r="N192" s="750"/>
      <c r="O192" s="750"/>
      <c r="P192" s="750"/>
      <c r="Q192" s="750"/>
      <c r="R192" s="1016"/>
      <c r="S192" s="98" t="b">
        <f t="shared" ca="1" si="106"/>
        <v>1</v>
      </c>
      <c r="T192" s="1016"/>
      <c r="U192" s="645" t="b">
        <f t="shared" ca="1" si="96"/>
        <v>1</v>
      </c>
      <c r="V192" s="1016"/>
      <c r="W192" s="1016"/>
      <c r="X192" s="756" t="str">
        <f>"{                  
         funcDyn: 'msg1',
         blok: 'blok_2',
         wsCross: 'Топливо 4.4',
         linkFormula: 'AE-AE#AF-AF',
         levelDyn: "&amp;Y139&amp;"
}"</f>
        <v>{                  
         funcDyn: 'msg1',
         blok: 'blok_2',
         wsCross: 'Топливо 4.4',
         linkFormula: 'AE-AE#AF-AF',
         levelDyn: 1
}</v>
      </c>
      <c r="Y192" s="1382"/>
      <c r="Z192" s="1382"/>
      <c r="AA192" s="646"/>
      <c r="AB192" s="1437"/>
      <c r="AD192" s="759"/>
      <c r="AE192" s="758" t="s">
        <v>172</v>
      </c>
      <c r="AF192" s="685"/>
      <c r="AG192" s="111"/>
      <c r="AH192" s="686"/>
      <c r="AI192" s="37"/>
      <c r="AJ192" s="37"/>
      <c r="AK192" s="37"/>
      <c r="AL192" s="675"/>
      <c r="AM192" s="37"/>
      <c r="AN192" s="37"/>
      <c r="AO192" s="675"/>
      <c r="AP192" s="37"/>
      <c r="AQ192" s="37"/>
      <c r="AR192" s="675"/>
      <c r="AS192" s="37"/>
      <c r="AT192" s="37"/>
      <c r="AU192" s="675"/>
      <c r="AV192" s="37"/>
      <c r="AW192" s="37"/>
      <c r="AX192" s="675"/>
      <c r="AY192" s="37"/>
      <c r="AZ192" s="37"/>
      <c r="BA192" s="675"/>
      <c r="BB192" s="37"/>
      <c r="BC192" s="37"/>
      <c r="BD192" s="675"/>
      <c r="BE192" s="37"/>
      <c r="BF192" s="37"/>
      <c r="BG192" s="675"/>
      <c r="BH192" s="37"/>
      <c r="BI192" s="37"/>
      <c r="BJ192" s="675"/>
      <c r="BK192" s="37"/>
      <c r="BL192" s="37"/>
      <c r="BM192" s="675"/>
      <c r="BN192" s="37"/>
      <c r="BO192" s="37"/>
      <c r="BP192" s="675"/>
      <c r="BQ192" s="37"/>
      <c r="BR192" s="37"/>
      <c r="BS192" s="675"/>
      <c r="BT192" s="37"/>
      <c r="BU192" s="37"/>
      <c r="BV192" s="675"/>
      <c r="BW192" s="37"/>
      <c r="BX192" s="37"/>
      <c r="BY192" s="675"/>
      <c r="BZ192" s="37"/>
      <c r="CA192" s="37"/>
      <c r="CB192" s="675"/>
      <c r="CC192" s="37"/>
      <c r="CD192" s="37"/>
      <c r="CE192" s="675"/>
      <c r="CF192" s="37"/>
      <c r="CG192" s="37"/>
      <c r="CH192" s="675"/>
      <c r="CI192" s="37"/>
      <c r="CJ192" s="37"/>
      <c r="CK192" s="675"/>
      <c r="CL192" s="37"/>
      <c r="CM192" s="37"/>
      <c r="CN192" s="675"/>
      <c r="CO192" s="37"/>
      <c r="CP192" s="37"/>
      <c r="CQ192" s="675"/>
      <c r="CR192" s="37"/>
      <c r="CS192" s="37"/>
      <c r="CT192" s="33"/>
      <c r="CW192" s="902" t="str">
        <f>IF(AND(ISNUMBER(VALUE(TRIM(SUBSTITUTE(AD192,".","")))),TRIM(SUBSTITUTE(AD192,".",""))&lt;&gt;""),"P"&amp;SUBSTITUTE(AD192,".",""),"")</f>
        <v/>
      </c>
      <c r="CX192" s="907"/>
      <c r="CY192" s="907"/>
      <c r="CZ192" s="907"/>
      <c r="DA192" s="908"/>
      <c r="DB192" s="908"/>
    </row>
    <row r="193" spans="1:106" s="1057" customFormat="1" ht="16.5" customHeight="1">
      <c r="A193" s="769"/>
      <c r="B193" s="718"/>
      <c r="C193" s="1016"/>
      <c r="D193" s="1016"/>
      <c r="E193" s="623">
        <v>17.100000000000001</v>
      </c>
      <c r="F193" s="714" t="str">
        <f t="shared" ca="1" si="105"/>
        <v>1</v>
      </c>
      <c r="G193" s="750"/>
      <c r="H193" s="750"/>
      <c r="I193" s="750"/>
      <c r="J193" s="750"/>
      <c r="K193" s="750"/>
      <c r="L193" s="750"/>
      <c r="M193" s="750"/>
      <c r="N193" s="750"/>
      <c r="O193" s="750"/>
      <c r="P193" s="750"/>
      <c r="Q193" s="750"/>
      <c r="R193" s="1016"/>
      <c r="S193" s="98" t="b">
        <f t="shared" ca="1" si="106"/>
        <v>1</v>
      </c>
      <c r="T193" s="1016"/>
      <c r="U193" s="645" t="b">
        <f t="shared" ca="1" si="96"/>
        <v>1</v>
      </c>
      <c r="V193" s="1016"/>
      <c r="W193" s="1016"/>
      <c r="X193" s="1016"/>
      <c r="Y193" s="1382"/>
      <c r="Z193" s="1382"/>
      <c r="AA193" s="646"/>
      <c r="AB193" s="1437"/>
      <c r="AD193" s="111">
        <v>27</v>
      </c>
      <c r="AE193" s="1442" t="s">
        <v>659</v>
      </c>
      <c r="AF193" s="1413"/>
      <c r="AG193" s="477"/>
      <c r="AH193" s="673"/>
      <c r="AI193" s="675"/>
      <c r="AJ193" s="675"/>
      <c r="AK193" s="675"/>
      <c r="AL193" s="675"/>
      <c r="AM193" s="675"/>
      <c r="AN193" s="675"/>
      <c r="AO193" s="675"/>
      <c r="AP193" s="675"/>
      <c r="AQ193" s="675"/>
      <c r="AR193" s="675"/>
      <c r="AS193" s="675"/>
      <c r="AT193" s="675"/>
      <c r="AU193" s="675"/>
      <c r="AV193" s="675"/>
      <c r="AW193" s="675"/>
      <c r="AX193" s="675"/>
      <c r="AY193" s="675"/>
      <c r="AZ193" s="675"/>
      <c r="BA193" s="675"/>
      <c r="BB193" s="675"/>
      <c r="BC193" s="675"/>
      <c r="BD193" s="675"/>
      <c r="BE193" s="675"/>
      <c r="BF193" s="675"/>
      <c r="BG193" s="675"/>
      <c r="BH193" s="675"/>
      <c r="BI193" s="675"/>
      <c r="BJ193" s="675"/>
      <c r="BK193" s="675"/>
      <c r="BL193" s="675"/>
      <c r="BM193" s="675"/>
      <c r="BN193" s="675"/>
      <c r="BO193" s="675"/>
      <c r="BP193" s="675"/>
      <c r="BQ193" s="675"/>
      <c r="BR193" s="675"/>
      <c r="BS193" s="675"/>
      <c r="BT193" s="675"/>
      <c r="BU193" s="675"/>
      <c r="BV193" s="675"/>
      <c r="BW193" s="675"/>
      <c r="BX193" s="675"/>
      <c r="BY193" s="675"/>
      <c r="BZ193" s="675"/>
      <c r="CA193" s="675"/>
      <c r="CB193" s="675"/>
      <c r="CC193" s="675"/>
      <c r="CD193" s="675"/>
      <c r="CE193" s="675"/>
      <c r="CF193" s="675"/>
      <c r="CG193" s="675"/>
      <c r="CH193" s="675"/>
      <c r="CI193" s="675"/>
      <c r="CJ193" s="675"/>
      <c r="CK193" s="675"/>
      <c r="CL193" s="675"/>
      <c r="CM193" s="675"/>
      <c r="CN193" s="675"/>
      <c r="CO193" s="675"/>
      <c r="CP193" s="675"/>
      <c r="CQ193" s="675"/>
      <c r="CR193" s="675"/>
      <c r="CS193" s="675"/>
      <c r="CT193" s="1106"/>
      <c r="CW193" s="902" t="s">
        <v>660</v>
      </c>
      <c r="CX193" s="907"/>
      <c r="CY193" s="907"/>
      <c r="CZ193" s="907"/>
      <c r="DA193" s="908"/>
      <c r="DB193" s="908"/>
    </row>
    <row r="194" spans="1:106" s="1057" customFormat="1" ht="16.5" hidden="1" customHeight="1">
      <c r="A194" s="769"/>
      <c r="B194" s="718"/>
      <c r="C194" s="1016"/>
      <c r="D194" s="1016"/>
      <c r="E194" s="623">
        <v>17.100000000000001</v>
      </c>
      <c r="F194" s="714" t="str">
        <f t="shared" ca="1" si="105"/>
        <v>1</v>
      </c>
      <c r="G194" s="750"/>
      <c r="H194" s="750"/>
      <c r="I194" s="750"/>
      <c r="J194" s="750"/>
      <c r="K194" s="750"/>
      <c r="L194" s="750"/>
      <c r="M194" s="750"/>
      <c r="N194" s="750"/>
      <c r="O194" s="750"/>
      <c r="P194" s="750"/>
      <c r="Q194" s="750"/>
      <c r="R194" s="1016"/>
      <c r="S194" s="98" t="b">
        <f t="shared" ca="1" si="106"/>
        <v>1</v>
      </c>
      <c r="T194" s="98" t="b">
        <f>AD194&lt;&gt;"27.0"</f>
        <v>0</v>
      </c>
      <c r="U194" s="645" t="b">
        <f t="shared" ca="1" si="96"/>
        <v>0</v>
      </c>
      <c r="V194" s="1016"/>
      <c r="W194" s="1016"/>
      <c r="X194" s="98" t="s">
        <v>170</v>
      </c>
      <c r="Y194" s="1382"/>
      <c r="Z194" s="1382"/>
      <c r="AA194" s="646"/>
      <c r="AB194" s="1437"/>
      <c r="AD194" s="99" t="s">
        <v>661</v>
      </c>
      <c r="AE194" s="757"/>
      <c r="AF194" s="475"/>
      <c r="AG194" s="835" t="str">
        <f>"руб./"&amp;IFERROR(INDEX(fuel_ed_izm_list,MATCH(AE194,fuel_list,0)),"")</f>
        <v>руб./</v>
      </c>
      <c r="AH194" s="28">
        <f>IFERROR(AH198/AH175,0)*1000</f>
        <v>0</v>
      </c>
      <c r="AI194" s="28">
        <f>IFERROR(AI198/AI175,0)*1000</f>
        <v>0</v>
      </c>
      <c r="AJ194" s="28">
        <f>IFERROR(AJ198/AJ175,0)*1000</f>
        <v>0</v>
      </c>
      <c r="AK194" s="28">
        <f>IFERROR(AK198/AK175,0)*1000</f>
        <v>0</v>
      </c>
      <c r="AL194" s="674">
        <f>IFERROR(AL198/AL175,0)*1000</f>
        <v>0</v>
      </c>
      <c r="AM194" s="29"/>
      <c r="AN194" s="29"/>
      <c r="AO194" s="674">
        <f>IFERROR(AO198/AO175,0)*1000</f>
        <v>0</v>
      </c>
      <c r="AP194" s="1111"/>
      <c r="AQ194" s="1111"/>
      <c r="AR194" s="674">
        <f>IFERROR(AR198/AR175,0)*1000</f>
        <v>0</v>
      </c>
      <c r="AS194" s="1111"/>
      <c r="AT194" s="1111"/>
      <c r="AU194" s="674">
        <f>IFERROR(AU198/AU175,0)*1000</f>
        <v>0</v>
      </c>
      <c r="AV194" s="29"/>
      <c r="AW194" s="29"/>
      <c r="AX194" s="674">
        <f>IFERROR(AX198/AX175,0)*1000</f>
        <v>0</v>
      </c>
      <c r="AY194" s="29"/>
      <c r="AZ194" s="29"/>
      <c r="BA194" s="674">
        <f>IFERROR(BA198/BA175,0)*1000</f>
        <v>0</v>
      </c>
      <c r="BB194" s="29"/>
      <c r="BC194" s="29"/>
      <c r="BD194" s="674">
        <f>IFERROR(BD198/BD175,0)*1000</f>
        <v>0</v>
      </c>
      <c r="BE194" s="29"/>
      <c r="BF194" s="29"/>
      <c r="BG194" s="674">
        <f>IFERROR(BG198/BG175,0)*1000</f>
        <v>0</v>
      </c>
      <c r="BH194" s="29"/>
      <c r="BI194" s="29"/>
      <c r="BJ194" s="674">
        <f>IFERROR(BJ198/BJ175,0)*1000</f>
        <v>0</v>
      </c>
      <c r="BK194" s="29"/>
      <c r="BL194" s="29"/>
      <c r="BM194" s="674">
        <f>IFERROR(BM198/BM175,0)*1000</f>
        <v>0</v>
      </c>
      <c r="BN194" s="29"/>
      <c r="BO194" s="29"/>
      <c r="BP194" s="674">
        <f>IFERROR(BP198/BP175,0)*1000</f>
        <v>0</v>
      </c>
      <c r="BQ194" s="762"/>
      <c r="BR194" s="762"/>
      <c r="BS194" s="674">
        <f>IFERROR(BS198/BS175,0)*1000</f>
        <v>0</v>
      </c>
      <c r="BT194" s="1111"/>
      <c r="BU194" s="1111"/>
      <c r="BV194" s="674">
        <f>IFERROR(BV198/BV175,0)*1000</f>
        <v>0</v>
      </c>
      <c r="BW194" s="1111"/>
      <c r="BX194" s="1111"/>
      <c r="BY194" s="674">
        <f>IFERROR(BY198/BY175,0)*1000</f>
        <v>0</v>
      </c>
      <c r="BZ194" s="29"/>
      <c r="CA194" s="29"/>
      <c r="CB194" s="674">
        <f>IFERROR(CB198/CB175,0)*1000</f>
        <v>0</v>
      </c>
      <c r="CC194" s="29"/>
      <c r="CD194" s="29"/>
      <c r="CE194" s="674">
        <f>IFERROR(CE198/CE175,0)*1000</f>
        <v>0</v>
      </c>
      <c r="CF194" s="29"/>
      <c r="CG194" s="29"/>
      <c r="CH194" s="674">
        <f>IFERROR(CH198/CH175,0)*1000</f>
        <v>0</v>
      </c>
      <c r="CI194" s="29"/>
      <c r="CJ194" s="29"/>
      <c r="CK194" s="674">
        <f>IFERROR(CK198/CK175,0)*1000</f>
        <v>0</v>
      </c>
      <c r="CL194" s="29"/>
      <c r="CM194" s="29"/>
      <c r="CN194" s="674">
        <f>IFERROR(CN198/CN175,0)*1000</f>
        <v>0</v>
      </c>
      <c r="CO194" s="29"/>
      <c r="CP194" s="29"/>
      <c r="CQ194" s="674">
        <f>IFERROR(CQ198/CQ175,0)*1000</f>
        <v>0</v>
      </c>
      <c r="CR194" s="29"/>
      <c r="CS194" s="29"/>
      <c r="CT194" s="22"/>
      <c r="CW194" s="902" t="s">
        <v>660</v>
      </c>
      <c r="CX194" s="907" t="s">
        <v>630</v>
      </c>
      <c r="CY194" s="911">
        <f>AE194</f>
        <v>0</v>
      </c>
      <c r="CZ194" s="911">
        <f>AF194</f>
        <v>0</v>
      </c>
      <c r="DA194" s="908"/>
      <c r="DB194" s="908"/>
    </row>
    <row r="195" spans="1:106" s="1057" customFormat="1" ht="15" hidden="1" customHeight="1">
      <c r="A195" s="769"/>
      <c r="B195" s="718"/>
      <c r="C195" s="1016"/>
      <c r="D195" s="1016"/>
      <c r="E195" s="623">
        <v>0</v>
      </c>
      <c r="F195" s="714" t="str">
        <f t="shared" ca="1" si="105"/>
        <v>1</v>
      </c>
      <c r="G195" s="750"/>
      <c r="H195" s="750"/>
      <c r="I195" s="750"/>
      <c r="J195" s="750"/>
      <c r="K195" s="750"/>
      <c r="L195" s="750"/>
      <c r="M195" s="750"/>
      <c r="N195" s="750"/>
      <c r="O195" s="750"/>
      <c r="P195" s="750"/>
      <c r="Q195" s="750"/>
      <c r="R195" s="1016"/>
      <c r="S195" s="98" t="b">
        <f t="shared" ca="1" si="106"/>
        <v>1</v>
      </c>
      <c r="T195" s="1016"/>
      <c r="U195" s="645" t="b">
        <f t="shared" ca="1" si="96"/>
        <v>1</v>
      </c>
      <c r="V195" s="1016"/>
      <c r="W195" s="1016"/>
      <c r="X195" s="756" t="str">
        <f>"{                  
         funcDyn: 'msg1',
         blok: 'blok_2',
         wsCross: 'Топливо 4.4',
         linkFormula: 'AE-AE#AF-AF',
         levelDyn: "&amp;Y139&amp;"
}"</f>
        <v>{                  
         funcDyn: 'msg1',
         blok: 'blok_2',
         wsCross: 'Топливо 4.4',
         linkFormula: 'AE-AE#AF-AF',
         levelDyn: 1
}</v>
      </c>
      <c r="Y195" s="1382"/>
      <c r="Z195" s="1382"/>
      <c r="AA195" s="646"/>
      <c r="AB195" s="1437"/>
      <c r="AD195" s="759"/>
      <c r="AE195" s="758" t="s">
        <v>172</v>
      </c>
      <c r="AF195" s="685"/>
      <c r="AG195" s="111"/>
      <c r="AH195" s="673"/>
      <c r="AI195" s="675"/>
      <c r="AJ195" s="675"/>
      <c r="AK195" s="675"/>
      <c r="AL195" s="675"/>
      <c r="AM195" s="675"/>
      <c r="AN195" s="675"/>
      <c r="AO195" s="675"/>
      <c r="AP195" s="675"/>
      <c r="AQ195" s="675"/>
      <c r="AR195" s="675"/>
      <c r="AS195" s="675"/>
      <c r="AT195" s="675"/>
      <c r="AU195" s="675"/>
      <c r="AV195" s="675"/>
      <c r="AW195" s="675"/>
      <c r="AX195" s="675"/>
      <c r="AY195" s="675"/>
      <c r="AZ195" s="675"/>
      <c r="BA195" s="675"/>
      <c r="BB195" s="675"/>
      <c r="BC195" s="675"/>
      <c r="BD195" s="675"/>
      <c r="BE195" s="675"/>
      <c r="BF195" s="675"/>
      <c r="BG195" s="675"/>
      <c r="BH195" s="675"/>
      <c r="BI195" s="675"/>
      <c r="BJ195" s="675"/>
      <c r="BK195" s="675"/>
      <c r="BL195" s="675"/>
      <c r="BM195" s="675"/>
      <c r="BN195" s="675"/>
      <c r="BO195" s="675"/>
      <c r="BP195" s="675"/>
      <c r="BQ195" s="675"/>
      <c r="BR195" s="675"/>
      <c r="BS195" s="675"/>
      <c r="BT195" s="675"/>
      <c r="BU195" s="675"/>
      <c r="BV195" s="675"/>
      <c r="BW195" s="675"/>
      <c r="BX195" s="675"/>
      <c r="BY195" s="675"/>
      <c r="BZ195" s="675"/>
      <c r="CA195" s="675"/>
      <c r="CB195" s="675"/>
      <c r="CC195" s="675"/>
      <c r="CD195" s="675"/>
      <c r="CE195" s="675"/>
      <c r="CF195" s="675"/>
      <c r="CG195" s="675"/>
      <c r="CH195" s="675"/>
      <c r="CI195" s="675"/>
      <c r="CJ195" s="675"/>
      <c r="CK195" s="675"/>
      <c r="CL195" s="675"/>
      <c r="CM195" s="675"/>
      <c r="CN195" s="675"/>
      <c r="CO195" s="675"/>
      <c r="CP195" s="675"/>
      <c r="CQ195" s="675"/>
      <c r="CR195" s="675"/>
      <c r="CS195" s="675"/>
      <c r="CT195" s="33"/>
      <c r="CW195" s="902" t="str">
        <f>IF(AND(ISNUMBER(VALUE(TRIM(SUBSTITUTE(AD195,".","")))),TRIM(SUBSTITUTE(AD195,".",""))&lt;&gt;""),"P"&amp;SUBSTITUTE(AD195,".",""),"")</f>
        <v/>
      </c>
      <c r="CX195" s="907"/>
      <c r="CY195" s="907"/>
      <c r="CZ195" s="907"/>
      <c r="DA195" s="908"/>
      <c r="DB195" s="908"/>
    </row>
    <row r="196" spans="1:106" s="1057" customFormat="1" ht="16.5" customHeight="1">
      <c r="A196" s="769"/>
      <c r="B196" s="718"/>
      <c r="C196" s="1016"/>
      <c r="D196" s="1016"/>
      <c r="E196" s="623">
        <v>17.100000000000001</v>
      </c>
      <c r="F196" s="714" t="str">
        <f t="shared" ca="1" si="105"/>
        <v>1</v>
      </c>
      <c r="G196" s="750"/>
      <c r="H196" s="750"/>
      <c r="I196" s="750"/>
      <c r="J196" s="750"/>
      <c r="K196" s="750"/>
      <c r="L196" s="750"/>
      <c r="M196" s="750"/>
      <c r="N196" s="750"/>
      <c r="O196" s="750"/>
      <c r="P196" s="750"/>
      <c r="Q196" s="750"/>
      <c r="R196" s="1016"/>
      <c r="S196" s="98" t="b">
        <f t="shared" ca="1" si="106"/>
        <v>1</v>
      </c>
      <c r="T196" s="1016"/>
      <c r="U196" s="645" t="b">
        <f t="shared" ca="1" si="96"/>
        <v>1</v>
      </c>
      <c r="V196" s="1016"/>
      <c r="W196" s="1016"/>
      <c r="X196" s="1016"/>
      <c r="Y196" s="1382"/>
      <c r="Z196" s="1382"/>
      <c r="AA196" s="646"/>
      <c r="AB196" s="1437"/>
      <c r="AD196" s="111">
        <v>28</v>
      </c>
      <c r="AE196" s="1442" t="s">
        <v>662</v>
      </c>
      <c r="AF196" s="1413"/>
      <c r="AG196" s="111" t="s">
        <v>648</v>
      </c>
      <c r="AH196" s="672">
        <f t="shared" ref="AH196:BM196" si="111">SUM(AH198:AH199)</f>
        <v>0</v>
      </c>
      <c r="AI196" s="672">
        <f t="shared" si="111"/>
        <v>0</v>
      </c>
      <c r="AJ196" s="672">
        <f t="shared" si="111"/>
        <v>0</v>
      </c>
      <c r="AK196" s="672">
        <f t="shared" si="111"/>
        <v>0</v>
      </c>
      <c r="AL196" s="672">
        <f t="shared" si="111"/>
        <v>0</v>
      </c>
      <c r="AM196" s="672">
        <f t="shared" si="111"/>
        <v>0</v>
      </c>
      <c r="AN196" s="672">
        <f t="shared" si="111"/>
        <v>0</v>
      </c>
      <c r="AO196" s="672">
        <f t="shared" si="111"/>
        <v>0</v>
      </c>
      <c r="AP196" s="672">
        <f t="shared" si="111"/>
        <v>0</v>
      </c>
      <c r="AQ196" s="672">
        <f t="shared" si="111"/>
        <v>0</v>
      </c>
      <c r="AR196" s="672">
        <f t="shared" si="111"/>
        <v>0</v>
      </c>
      <c r="AS196" s="672">
        <f t="shared" si="111"/>
        <v>0</v>
      </c>
      <c r="AT196" s="672">
        <f t="shared" si="111"/>
        <v>0</v>
      </c>
      <c r="AU196" s="672">
        <f t="shared" si="111"/>
        <v>0</v>
      </c>
      <c r="AV196" s="672">
        <f t="shared" si="111"/>
        <v>0</v>
      </c>
      <c r="AW196" s="672">
        <f t="shared" si="111"/>
        <v>0</v>
      </c>
      <c r="AX196" s="672">
        <f t="shared" si="111"/>
        <v>0</v>
      </c>
      <c r="AY196" s="672">
        <f t="shared" si="111"/>
        <v>0</v>
      </c>
      <c r="AZ196" s="672">
        <f t="shared" si="111"/>
        <v>0</v>
      </c>
      <c r="BA196" s="672">
        <f t="shared" si="111"/>
        <v>0</v>
      </c>
      <c r="BB196" s="672">
        <f t="shared" si="111"/>
        <v>0</v>
      </c>
      <c r="BC196" s="672">
        <f t="shared" si="111"/>
        <v>0</v>
      </c>
      <c r="BD196" s="672">
        <f t="shared" si="111"/>
        <v>0</v>
      </c>
      <c r="BE196" s="672">
        <f t="shared" si="111"/>
        <v>0</v>
      </c>
      <c r="BF196" s="672">
        <f t="shared" si="111"/>
        <v>0</v>
      </c>
      <c r="BG196" s="672">
        <f t="shared" si="111"/>
        <v>0</v>
      </c>
      <c r="BH196" s="672">
        <f t="shared" si="111"/>
        <v>0</v>
      </c>
      <c r="BI196" s="672">
        <f t="shared" si="111"/>
        <v>0</v>
      </c>
      <c r="BJ196" s="672">
        <f t="shared" si="111"/>
        <v>0</v>
      </c>
      <c r="BK196" s="672">
        <f t="shared" si="111"/>
        <v>0</v>
      </c>
      <c r="BL196" s="672">
        <f t="shared" si="111"/>
        <v>0</v>
      </c>
      <c r="BM196" s="672">
        <f t="shared" si="111"/>
        <v>0</v>
      </c>
      <c r="BN196" s="672">
        <f t="shared" ref="BN196:CS196" si="112">SUM(BN198:BN199)</f>
        <v>0</v>
      </c>
      <c r="BO196" s="672">
        <f t="shared" si="112"/>
        <v>0</v>
      </c>
      <c r="BP196" s="672">
        <f t="shared" si="112"/>
        <v>0</v>
      </c>
      <c r="BQ196" s="672">
        <f t="shared" si="112"/>
        <v>0</v>
      </c>
      <c r="BR196" s="672">
        <f t="shared" si="112"/>
        <v>0</v>
      </c>
      <c r="BS196" s="672">
        <f t="shared" si="112"/>
        <v>0</v>
      </c>
      <c r="BT196" s="672">
        <f t="shared" si="112"/>
        <v>0</v>
      </c>
      <c r="BU196" s="672">
        <f t="shared" si="112"/>
        <v>0</v>
      </c>
      <c r="BV196" s="672">
        <f t="shared" si="112"/>
        <v>0</v>
      </c>
      <c r="BW196" s="672">
        <f t="shared" si="112"/>
        <v>0</v>
      </c>
      <c r="BX196" s="672">
        <f t="shared" si="112"/>
        <v>0</v>
      </c>
      <c r="BY196" s="672">
        <f t="shared" si="112"/>
        <v>0</v>
      </c>
      <c r="BZ196" s="672">
        <f t="shared" si="112"/>
        <v>0</v>
      </c>
      <c r="CA196" s="672">
        <f t="shared" si="112"/>
        <v>0</v>
      </c>
      <c r="CB196" s="672">
        <f t="shared" si="112"/>
        <v>0</v>
      </c>
      <c r="CC196" s="672">
        <f t="shared" si="112"/>
        <v>0</v>
      </c>
      <c r="CD196" s="672">
        <f t="shared" si="112"/>
        <v>0</v>
      </c>
      <c r="CE196" s="672">
        <f t="shared" si="112"/>
        <v>0</v>
      </c>
      <c r="CF196" s="672">
        <f t="shared" si="112"/>
        <v>0</v>
      </c>
      <c r="CG196" s="672">
        <f t="shared" si="112"/>
        <v>0</v>
      </c>
      <c r="CH196" s="672">
        <f t="shared" si="112"/>
        <v>0</v>
      </c>
      <c r="CI196" s="672">
        <f t="shared" si="112"/>
        <v>0</v>
      </c>
      <c r="CJ196" s="672">
        <f t="shared" si="112"/>
        <v>0</v>
      </c>
      <c r="CK196" s="672">
        <f t="shared" si="112"/>
        <v>0</v>
      </c>
      <c r="CL196" s="672">
        <f t="shared" si="112"/>
        <v>0</v>
      </c>
      <c r="CM196" s="672">
        <f t="shared" si="112"/>
        <v>0</v>
      </c>
      <c r="CN196" s="672">
        <f t="shared" si="112"/>
        <v>0</v>
      </c>
      <c r="CO196" s="672">
        <f t="shared" si="112"/>
        <v>0</v>
      </c>
      <c r="CP196" s="672">
        <f t="shared" si="112"/>
        <v>0</v>
      </c>
      <c r="CQ196" s="672">
        <f t="shared" si="112"/>
        <v>0</v>
      </c>
      <c r="CR196" s="672">
        <f t="shared" si="112"/>
        <v>0</v>
      </c>
      <c r="CS196" s="672">
        <f t="shared" si="112"/>
        <v>0</v>
      </c>
      <c r="CT196" s="1106"/>
      <c r="CW196" s="902" t="s">
        <v>663</v>
      </c>
      <c r="CX196" s="907"/>
      <c r="CY196" s="907"/>
      <c r="CZ196" s="907"/>
      <c r="DA196" s="908"/>
      <c r="DB196" s="908"/>
    </row>
    <row r="197" spans="1:106" s="1057" customFormat="1" ht="16.5" hidden="1" customHeight="1">
      <c r="A197" s="769"/>
      <c r="B197" s="718"/>
      <c r="C197" s="1016"/>
      <c r="D197" s="1016"/>
      <c r="E197" s="623">
        <v>17.100000000000001</v>
      </c>
      <c r="F197" s="714" t="str">
        <f t="shared" ca="1" si="105"/>
        <v>1</v>
      </c>
      <c r="G197" s="750"/>
      <c r="H197" s="750"/>
      <c r="I197" s="750"/>
      <c r="J197" s="750"/>
      <c r="K197" s="750"/>
      <c r="L197" s="750"/>
      <c r="M197" s="750"/>
      <c r="N197" s="750"/>
      <c r="O197" s="750"/>
      <c r="P197" s="750"/>
      <c r="Q197" s="750"/>
      <c r="R197" s="714" t="s">
        <v>569</v>
      </c>
      <c r="S197" s="98" t="b">
        <f t="shared" ca="1" si="106"/>
        <v>1</v>
      </c>
      <c r="T197" s="714" t="b">
        <v>0</v>
      </c>
      <c r="U197" s="645" t="b">
        <f t="shared" ca="1" si="96"/>
        <v>0</v>
      </c>
      <c r="V197" s="1016"/>
      <c r="W197" s="1016"/>
      <c r="X197" s="1016"/>
      <c r="Y197" s="1382"/>
      <c r="Z197" s="1382"/>
      <c r="AA197" s="646"/>
      <c r="AB197" s="1437"/>
      <c r="AD197" s="99" t="str">
        <f>AD196&amp;".0"</f>
        <v>28.0</v>
      </c>
      <c r="AE197" s="1445" t="s">
        <v>580</v>
      </c>
      <c r="AF197" s="1446"/>
      <c r="AG197" s="111" t="s">
        <v>648</v>
      </c>
      <c r="AH197" s="28">
        <f>AH$163*AH196</f>
        <v>0</v>
      </c>
      <c r="AI197" s="29">
        <f>AI$163*AI196</f>
        <v>0</v>
      </c>
      <c r="AJ197" s="29">
        <f>AJ$163*AJ196</f>
        <v>0</v>
      </c>
      <c r="AK197" s="29">
        <f>AK$163*AK196</f>
        <v>0</v>
      </c>
      <c r="AL197" s="674">
        <f>AM197+AN197</f>
        <v>0</v>
      </c>
      <c r="AM197" s="29">
        <f>AM$163*AM196</f>
        <v>0</v>
      </c>
      <c r="AN197" s="29">
        <f>AN$163*AN196</f>
        <v>0</v>
      </c>
      <c r="AO197" s="674">
        <f>AP197+AQ197</f>
        <v>0</v>
      </c>
      <c r="AP197" s="1111">
        <f>AP$163*AP196</f>
        <v>0</v>
      </c>
      <c r="AQ197" s="1111">
        <f>AQ$163*AQ196</f>
        <v>0</v>
      </c>
      <c r="AR197" s="674">
        <f>AS197+AT197</f>
        <v>0</v>
      </c>
      <c r="AS197" s="1111">
        <f>AS$163*AS196</f>
        <v>0</v>
      </c>
      <c r="AT197" s="1111">
        <f>AT$163*AT196</f>
        <v>0</v>
      </c>
      <c r="AU197" s="674">
        <f>AV197+AW197</f>
        <v>0</v>
      </c>
      <c r="AV197" s="29">
        <f>AV$163*AV196</f>
        <v>0</v>
      </c>
      <c r="AW197" s="29">
        <f>AW$163*AW196</f>
        <v>0</v>
      </c>
      <c r="AX197" s="674">
        <f>AY197+AZ197</f>
        <v>0</v>
      </c>
      <c r="AY197" s="29">
        <f>AY$163*AY196</f>
        <v>0</v>
      </c>
      <c r="AZ197" s="29">
        <f>AZ$163*AZ196</f>
        <v>0</v>
      </c>
      <c r="BA197" s="674">
        <f>BB197+BC197</f>
        <v>0</v>
      </c>
      <c r="BB197" s="29">
        <f>BB$163*BB196</f>
        <v>0</v>
      </c>
      <c r="BC197" s="29">
        <f>BC$163*BC196</f>
        <v>0</v>
      </c>
      <c r="BD197" s="674">
        <f>BE197+BF197</f>
        <v>0</v>
      </c>
      <c r="BE197" s="29">
        <f>BE$163*BE196</f>
        <v>0</v>
      </c>
      <c r="BF197" s="29">
        <f>BF$163*BF196</f>
        <v>0</v>
      </c>
      <c r="BG197" s="674">
        <f>BH197+BI197</f>
        <v>0</v>
      </c>
      <c r="BH197" s="29">
        <f>BH$163*BH196</f>
        <v>0</v>
      </c>
      <c r="BI197" s="29">
        <f>BI$163*BI196</f>
        <v>0</v>
      </c>
      <c r="BJ197" s="674">
        <f>BK197+BL197</f>
        <v>0</v>
      </c>
      <c r="BK197" s="29">
        <f>BK$163*BK196</f>
        <v>0</v>
      </c>
      <c r="BL197" s="29">
        <f>BL$163*BL196</f>
        <v>0</v>
      </c>
      <c r="BM197" s="674">
        <f>BN197+BO197</f>
        <v>0</v>
      </c>
      <c r="BN197" s="29">
        <f>BN$163*BN196</f>
        <v>0</v>
      </c>
      <c r="BO197" s="29">
        <f>BO$163*BO196</f>
        <v>0</v>
      </c>
      <c r="BP197" s="674">
        <f>BQ197+BR197</f>
        <v>0</v>
      </c>
      <c r="BQ197" s="762">
        <f>BQ$163*BQ196</f>
        <v>0</v>
      </c>
      <c r="BR197" s="762">
        <f>BR$163*BR196</f>
        <v>0</v>
      </c>
      <c r="BS197" s="674">
        <f>BT197+BU197</f>
        <v>0</v>
      </c>
      <c r="BT197" s="1111">
        <f>BT$163*BT196</f>
        <v>0</v>
      </c>
      <c r="BU197" s="1111">
        <f>BU$163*BU196</f>
        <v>0</v>
      </c>
      <c r="BV197" s="674">
        <f>BW197+BX197</f>
        <v>0</v>
      </c>
      <c r="BW197" s="1111">
        <f>BW$163*BW196</f>
        <v>0</v>
      </c>
      <c r="BX197" s="1111">
        <f>BX$163*BX196</f>
        <v>0</v>
      </c>
      <c r="BY197" s="674">
        <f>BZ197+CA197</f>
        <v>0</v>
      </c>
      <c r="BZ197" s="29">
        <f>BZ$163*BZ196</f>
        <v>0</v>
      </c>
      <c r="CA197" s="29">
        <f>CA$163*CA196</f>
        <v>0</v>
      </c>
      <c r="CB197" s="674">
        <f>CC197+CD197</f>
        <v>0</v>
      </c>
      <c r="CC197" s="29">
        <f>CC$163*CC196</f>
        <v>0</v>
      </c>
      <c r="CD197" s="29">
        <f>CD$163*CD196</f>
        <v>0</v>
      </c>
      <c r="CE197" s="674">
        <f>CF197+CG197</f>
        <v>0</v>
      </c>
      <c r="CF197" s="29">
        <f>CF$163*CF196</f>
        <v>0</v>
      </c>
      <c r="CG197" s="29">
        <f>CG$163*CG196</f>
        <v>0</v>
      </c>
      <c r="CH197" s="674">
        <f>CI197+CJ197</f>
        <v>0</v>
      </c>
      <c r="CI197" s="29">
        <f>CI$163*CI196</f>
        <v>0</v>
      </c>
      <c r="CJ197" s="29">
        <f>CJ$163*CJ196</f>
        <v>0</v>
      </c>
      <c r="CK197" s="674">
        <f>CL197+CM197</f>
        <v>0</v>
      </c>
      <c r="CL197" s="29">
        <f>CL$163*CL196</f>
        <v>0</v>
      </c>
      <c r="CM197" s="29">
        <f>CM$163*CM196</f>
        <v>0</v>
      </c>
      <c r="CN197" s="674">
        <f>CO197+CP197</f>
        <v>0</v>
      </c>
      <c r="CO197" s="29">
        <f>CO$163*CO196</f>
        <v>0</v>
      </c>
      <c r="CP197" s="29">
        <f>CP$163*CP196</f>
        <v>0</v>
      </c>
      <c r="CQ197" s="674">
        <f>CR197+CS197</f>
        <v>0</v>
      </c>
      <c r="CR197" s="29">
        <f>CR$163*CR196</f>
        <v>0</v>
      </c>
      <c r="CS197" s="29">
        <f>CS$163*CS196</f>
        <v>0</v>
      </c>
      <c r="CT197" s="22"/>
      <c r="CW197" s="902" t="s">
        <v>664</v>
      </c>
      <c r="CX197" s="907"/>
      <c r="CY197" s="907"/>
      <c r="CZ197" s="907"/>
      <c r="DA197" s="908"/>
      <c r="DB197" s="908"/>
    </row>
    <row r="198" spans="1:106" s="1057" customFormat="1" ht="16.5" hidden="1" customHeight="1">
      <c r="A198" s="769"/>
      <c r="B198" s="718"/>
      <c r="C198" s="1016"/>
      <c r="D198" s="1016"/>
      <c r="E198" s="623">
        <v>17.100000000000001</v>
      </c>
      <c r="F198" s="714" t="str">
        <f t="shared" ca="1" si="105"/>
        <v>1</v>
      </c>
      <c r="G198" s="750"/>
      <c r="H198" s="750"/>
      <c r="I198" s="750"/>
      <c r="J198" s="750"/>
      <c r="K198" s="750"/>
      <c r="L198" s="750"/>
      <c r="M198" s="750"/>
      <c r="N198" s="750"/>
      <c r="O198" s="750"/>
      <c r="P198" s="750"/>
      <c r="Q198" s="750"/>
      <c r="R198" s="1016"/>
      <c r="S198" s="98" t="b">
        <f t="shared" ca="1" si="106"/>
        <v>1</v>
      </c>
      <c r="T198" s="98" t="b">
        <f>AD198&lt;&gt;"28.0"</f>
        <v>0</v>
      </c>
      <c r="U198" s="645" t="b">
        <f t="shared" ca="1" si="96"/>
        <v>0</v>
      </c>
      <c r="V198" s="1016"/>
      <c r="W198" s="1016"/>
      <c r="X198" s="98" t="s">
        <v>170</v>
      </c>
      <c r="Y198" s="1382"/>
      <c r="Z198" s="1382"/>
      <c r="AA198" s="646"/>
      <c r="AB198" s="1437"/>
      <c r="AD198" s="99" t="s">
        <v>665</v>
      </c>
      <c r="AE198" s="757"/>
      <c r="AF198" s="475"/>
      <c r="AG198" s="111" t="s">
        <v>648</v>
      </c>
      <c r="AH198" s="28"/>
      <c r="AI198" s="29"/>
      <c r="AJ198" s="29"/>
      <c r="AK198" s="29"/>
      <c r="AL198" s="674">
        <f>AM198+AN198</f>
        <v>0</v>
      </c>
      <c r="AM198" s="29">
        <f>AM194*AM175/1000</f>
        <v>0</v>
      </c>
      <c r="AN198" s="29">
        <f>AN194*AN175/1000</f>
        <v>0</v>
      </c>
      <c r="AO198" s="674">
        <f>AP198+AQ198</f>
        <v>0</v>
      </c>
      <c r="AP198" s="1111">
        <f>AP194*AP175/1000</f>
        <v>0</v>
      </c>
      <c r="AQ198" s="1111">
        <f>AQ194*AQ175/1000</f>
        <v>0</v>
      </c>
      <c r="AR198" s="674">
        <f>AS198+AT198</f>
        <v>0</v>
      </c>
      <c r="AS198" s="1111">
        <f>AS194*AS175/1000</f>
        <v>0</v>
      </c>
      <c r="AT198" s="1111">
        <f>AT194*AT175/1000</f>
        <v>0</v>
      </c>
      <c r="AU198" s="674">
        <f>AV198+AW198</f>
        <v>0</v>
      </c>
      <c r="AV198" s="29">
        <f>AV194*AV175/1000</f>
        <v>0</v>
      </c>
      <c r="AW198" s="29">
        <f>AW194*AW175/1000</f>
        <v>0</v>
      </c>
      <c r="AX198" s="674">
        <f>AY198+AZ198</f>
        <v>0</v>
      </c>
      <c r="AY198" s="29">
        <f>AY194*AY175/1000</f>
        <v>0</v>
      </c>
      <c r="AZ198" s="29">
        <f>AZ194*AZ175/1000</f>
        <v>0</v>
      </c>
      <c r="BA198" s="674">
        <f>BB198+BC198</f>
        <v>0</v>
      </c>
      <c r="BB198" s="29">
        <f>BB194*BB175/1000</f>
        <v>0</v>
      </c>
      <c r="BC198" s="29">
        <f>BC194*BC175/1000</f>
        <v>0</v>
      </c>
      <c r="BD198" s="674">
        <f>BE198+BF198</f>
        <v>0</v>
      </c>
      <c r="BE198" s="29">
        <f>BE194*BE175/1000</f>
        <v>0</v>
      </c>
      <c r="BF198" s="29">
        <f>BF194*BF175/1000</f>
        <v>0</v>
      </c>
      <c r="BG198" s="674">
        <f>BH198+BI198</f>
        <v>0</v>
      </c>
      <c r="BH198" s="29">
        <f>BH194*BH175/1000</f>
        <v>0</v>
      </c>
      <c r="BI198" s="29">
        <f>BI194*BI175/1000</f>
        <v>0</v>
      </c>
      <c r="BJ198" s="674">
        <f>BK198+BL198</f>
        <v>0</v>
      </c>
      <c r="BK198" s="29">
        <f>BK194*BK175/1000</f>
        <v>0</v>
      </c>
      <c r="BL198" s="29">
        <f>BL194*BL175/1000</f>
        <v>0</v>
      </c>
      <c r="BM198" s="674">
        <f>BN198+BO198</f>
        <v>0</v>
      </c>
      <c r="BN198" s="29">
        <f>BN194*BN175/1000</f>
        <v>0</v>
      </c>
      <c r="BO198" s="29">
        <f>BO194*BO175/1000</f>
        <v>0</v>
      </c>
      <c r="BP198" s="674">
        <f>BQ198+BR198</f>
        <v>0</v>
      </c>
      <c r="BQ198" s="762">
        <f>BQ194*BQ175/1000</f>
        <v>0</v>
      </c>
      <c r="BR198" s="762">
        <f>BR194*BR175/1000</f>
        <v>0</v>
      </c>
      <c r="BS198" s="674">
        <f>BT198+BU198</f>
        <v>0</v>
      </c>
      <c r="BT198" s="1111">
        <f>BT194*BT175/1000</f>
        <v>0</v>
      </c>
      <c r="BU198" s="1111">
        <f>BU194*BU175/1000</f>
        <v>0</v>
      </c>
      <c r="BV198" s="674">
        <f>BW198+BX198</f>
        <v>0</v>
      </c>
      <c r="BW198" s="1111">
        <f>BW194*BW175/1000</f>
        <v>0</v>
      </c>
      <c r="BX198" s="1111">
        <f>BX194*BX175/1000</f>
        <v>0</v>
      </c>
      <c r="BY198" s="674">
        <f>BZ198+CA198</f>
        <v>0</v>
      </c>
      <c r="BZ198" s="29">
        <f>BZ194*BZ175/1000</f>
        <v>0</v>
      </c>
      <c r="CA198" s="29">
        <f>CA194*CA175/1000</f>
        <v>0</v>
      </c>
      <c r="CB198" s="674">
        <f>CC198+CD198</f>
        <v>0</v>
      </c>
      <c r="CC198" s="29">
        <f>CC194*CC175/1000</f>
        <v>0</v>
      </c>
      <c r="CD198" s="29">
        <f>CD194*CD175/1000</f>
        <v>0</v>
      </c>
      <c r="CE198" s="674">
        <f>CF198+CG198</f>
        <v>0</v>
      </c>
      <c r="CF198" s="29">
        <f>CF194*CF175/1000</f>
        <v>0</v>
      </c>
      <c r="CG198" s="29">
        <f>CG194*CG175/1000</f>
        <v>0</v>
      </c>
      <c r="CH198" s="674">
        <f>CI198+CJ198</f>
        <v>0</v>
      </c>
      <c r="CI198" s="29">
        <f>CI194*CI175/1000</f>
        <v>0</v>
      </c>
      <c r="CJ198" s="29">
        <f>CJ194*CJ175/1000</f>
        <v>0</v>
      </c>
      <c r="CK198" s="674">
        <f>CL198+CM198</f>
        <v>0</v>
      </c>
      <c r="CL198" s="29">
        <f>CL194*CL175/1000</f>
        <v>0</v>
      </c>
      <c r="CM198" s="29">
        <f>CM194*CM175/1000</f>
        <v>0</v>
      </c>
      <c r="CN198" s="674">
        <f>CO198+CP198</f>
        <v>0</v>
      </c>
      <c r="CO198" s="29">
        <f>CO194*CO175/1000</f>
        <v>0</v>
      </c>
      <c r="CP198" s="29">
        <f>CP194*CP175/1000</f>
        <v>0</v>
      </c>
      <c r="CQ198" s="674">
        <f>CR198+CS198</f>
        <v>0</v>
      </c>
      <c r="CR198" s="29">
        <f>CR194*CR175/1000</f>
        <v>0</v>
      </c>
      <c r="CS198" s="29">
        <f>CS194*CS175/1000</f>
        <v>0</v>
      </c>
      <c r="CT198" s="22"/>
      <c r="CW198" s="902" t="s">
        <v>664</v>
      </c>
      <c r="CX198" s="907" t="s">
        <v>630</v>
      </c>
      <c r="CY198" s="911">
        <f>AE198</f>
        <v>0</v>
      </c>
      <c r="CZ198" s="911">
        <f>AF198</f>
        <v>0</v>
      </c>
      <c r="DA198" s="908"/>
      <c r="DB198" s="908"/>
    </row>
    <row r="199" spans="1:106" s="1057" customFormat="1" ht="15" hidden="1" customHeight="1">
      <c r="A199" s="769"/>
      <c r="B199" s="718"/>
      <c r="C199" s="1016"/>
      <c r="D199" s="1016"/>
      <c r="E199" s="623">
        <v>0</v>
      </c>
      <c r="F199" s="714" t="str">
        <f t="shared" ca="1" si="105"/>
        <v>1</v>
      </c>
      <c r="G199" s="750"/>
      <c r="H199" s="750"/>
      <c r="I199" s="750"/>
      <c r="J199" s="750"/>
      <c r="K199" s="750"/>
      <c r="L199" s="750"/>
      <c r="M199" s="750"/>
      <c r="N199" s="750"/>
      <c r="O199" s="750"/>
      <c r="P199" s="750"/>
      <c r="Q199" s="750"/>
      <c r="R199" s="1016"/>
      <c r="S199" s="98" t="b">
        <f t="shared" ca="1" si="106"/>
        <v>1</v>
      </c>
      <c r="T199" s="1016"/>
      <c r="U199" s="645" t="b">
        <f t="shared" ca="1" si="96"/>
        <v>1</v>
      </c>
      <c r="V199" s="1016"/>
      <c r="W199" s="1016"/>
      <c r="X199" s="756" t="str">
        <f>"{                  
         funcDyn: 'msg1',
         blok: 'blok_2',
         wsCross: 'Топливо 4.4',
         linkFormula: 'AE-AE#AF-AF',
         levelDyn: "&amp;Y139&amp;"
}"</f>
        <v>{                  
         funcDyn: 'msg1',
         blok: 'blok_2',
         wsCross: 'Топливо 4.4',
         linkFormula: 'AE-AE#AF-AF',
         levelDyn: 1
}</v>
      </c>
      <c r="Y199" s="1382"/>
      <c r="Z199" s="1382"/>
      <c r="AA199" s="646"/>
      <c r="AB199" s="1437"/>
      <c r="AD199" s="759"/>
      <c r="AE199" s="758" t="s">
        <v>172</v>
      </c>
      <c r="AF199" s="685"/>
      <c r="AG199" s="111"/>
      <c r="AH199" s="673"/>
      <c r="AI199" s="675"/>
      <c r="AJ199" s="675"/>
      <c r="AK199" s="675"/>
      <c r="AL199" s="675"/>
      <c r="AM199" s="675"/>
      <c r="AN199" s="675"/>
      <c r="AO199" s="675"/>
      <c r="AP199" s="675"/>
      <c r="AQ199" s="675"/>
      <c r="AR199" s="675"/>
      <c r="AS199" s="675"/>
      <c r="AT199" s="675"/>
      <c r="AU199" s="675"/>
      <c r="AV199" s="675"/>
      <c r="AW199" s="675"/>
      <c r="AX199" s="675"/>
      <c r="AY199" s="675"/>
      <c r="AZ199" s="675"/>
      <c r="BA199" s="675"/>
      <c r="BB199" s="675"/>
      <c r="BC199" s="675"/>
      <c r="BD199" s="675"/>
      <c r="BE199" s="675"/>
      <c r="BF199" s="675"/>
      <c r="BG199" s="675"/>
      <c r="BH199" s="675"/>
      <c r="BI199" s="675"/>
      <c r="BJ199" s="675"/>
      <c r="BK199" s="675"/>
      <c r="BL199" s="675"/>
      <c r="BM199" s="675"/>
      <c r="BN199" s="675"/>
      <c r="BO199" s="675"/>
      <c r="BP199" s="675"/>
      <c r="BQ199" s="675"/>
      <c r="BR199" s="675"/>
      <c r="BS199" s="675"/>
      <c r="BT199" s="675"/>
      <c r="BU199" s="675"/>
      <c r="BV199" s="675"/>
      <c r="BW199" s="675"/>
      <c r="BX199" s="675"/>
      <c r="BY199" s="675"/>
      <c r="BZ199" s="675"/>
      <c r="CA199" s="675"/>
      <c r="CB199" s="675"/>
      <c r="CC199" s="675"/>
      <c r="CD199" s="675"/>
      <c r="CE199" s="675"/>
      <c r="CF199" s="675"/>
      <c r="CG199" s="675"/>
      <c r="CH199" s="675"/>
      <c r="CI199" s="675"/>
      <c r="CJ199" s="675"/>
      <c r="CK199" s="675"/>
      <c r="CL199" s="675"/>
      <c r="CM199" s="675"/>
      <c r="CN199" s="675"/>
      <c r="CO199" s="675"/>
      <c r="CP199" s="675"/>
      <c r="CQ199" s="675"/>
      <c r="CR199" s="675"/>
      <c r="CS199" s="675"/>
      <c r="CT199" s="33"/>
      <c r="CW199" s="902" t="str">
        <f>IF(AND(ISNUMBER(VALUE(TRIM(SUBSTITUTE(AD199,".","")))),TRIM(SUBSTITUTE(AD199,".",""))&lt;&gt;""),"P"&amp;SUBSTITUTE(AD199,".",""),"")</f>
        <v/>
      </c>
      <c r="CX199" s="907"/>
      <c r="CY199" s="907"/>
      <c r="CZ199" s="907"/>
      <c r="DA199" s="908"/>
      <c r="DB199" s="908"/>
    </row>
    <row r="200" spans="1:106" s="1057" customFormat="1" ht="29.25" customHeight="1">
      <c r="A200" s="769"/>
      <c r="B200" s="718"/>
      <c r="C200" s="1016"/>
      <c r="D200" s="1016"/>
      <c r="E200" s="623">
        <v>30</v>
      </c>
      <c r="F200" s="714" t="str">
        <f t="shared" ca="1" si="105"/>
        <v>1</v>
      </c>
      <c r="G200" s="750"/>
      <c r="H200" s="750"/>
      <c r="I200" s="750"/>
      <c r="J200" s="750"/>
      <c r="K200" s="750"/>
      <c r="L200" s="750"/>
      <c r="M200" s="750"/>
      <c r="N200" s="750"/>
      <c r="O200" s="750"/>
      <c r="P200" s="750"/>
      <c r="Q200" s="750"/>
      <c r="R200" s="714" t="s">
        <v>569</v>
      </c>
      <c r="S200" s="98" t="b">
        <f t="shared" ca="1" si="106"/>
        <v>1</v>
      </c>
      <c r="T200" s="1016"/>
      <c r="U200" s="645" t="b">
        <f t="shared" ca="1" si="96"/>
        <v>1</v>
      </c>
      <c r="V200" s="1016"/>
      <c r="W200" s="1016"/>
      <c r="X200" s="1016"/>
      <c r="Y200" s="1382"/>
      <c r="Z200" s="1382"/>
      <c r="AA200" s="646"/>
      <c r="AB200" s="1437"/>
      <c r="AD200" s="111">
        <v>29</v>
      </c>
      <c r="AE200" s="1447" t="s">
        <v>666</v>
      </c>
      <c r="AF200" s="1448"/>
      <c r="AG200" s="111" t="s">
        <v>648</v>
      </c>
      <c r="AH200" s="672">
        <f t="shared" ref="AH200:BM200" si="113">SUM(AH201:AH202)</f>
        <v>0</v>
      </c>
      <c r="AI200" s="672">
        <f t="shared" si="113"/>
        <v>0</v>
      </c>
      <c r="AJ200" s="672">
        <f t="shared" si="113"/>
        <v>0</v>
      </c>
      <c r="AK200" s="672">
        <f t="shared" si="113"/>
        <v>0</v>
      </c>
      <c r="AL200" s="672">
        <f t="shared" si="113"/>
        <v>0</v>
      </c>
      <c r="AM200" s="672">
        <f t="shared" si="113"/>
        <v>0</v>
      </c>
      <c r="AN200" s="672">
        <f t="shared" si="113"/>
        <v>0</v>
      </c>
      <c r="AO200" s="672">
        <f t="shared" si="113"/>
        <v>0</v>
      </c>
      <c r="AP200" s="672">
        <f t="shared" si="113"/>
        <v>0</v>
      </c>
      <c r="AQ200" s="672">
        <f t="shared" si="113"/>
        <v>0</v>
      </c>
      <c r="AR200" s="672">
        <f t="shared" si="113"/>
        <v>0</v>
      </c>
      <c r="AS200" s="672">
        <f t="shared" si="113"/>
        <v>0</v>
      </c>
      <c r="AT200" s="672">
        <f t="shared" si="113"/>
        <v>0</v>
      </c>
      <c r="AU200" s="672">
        <f t="shared" si="113"/>
        <v>0</v>
      </c>
      <c r="AV200" s="672">
        <f t="shared" si="113"/>
        <v>0</v>
      </c>
      <c r="AW200" s="672">
        <f t="shared" si="113"/>
        <v>0</v>
      </c>
      <c r="AX200" s="672">
        <f t="shared" si="113"/>
        <v>0</v>
      </c>
      <c r="AY200" s="672">
        <f t="shared" si="113"/>
        <v>0</v>
      </c>
      <c r="AZ200" s="672">
        <f t="shared" si="113"/>
        <v>0</v>
      </c>
      <c r="BA200" s="672">
        <f t="shared" si="113"/>
        <v>0</v>
      </c>
      <c r="BB200" s="672">
        <f t="shared" si="113"/>
        <v>0</v>
      </c>
      <c r="BC200" s="672">
        <f t="shared" si="113"/>
        <v>0</v>
      </c>
      <c r="BD200" s="672">
        <f t="shared" si="113"/>
        <v>0</v>
      </c>
      <c r="BE200" s="672">
        <f t="shared" si="113"/>
        <v>0</v>
      </c>
      <c r="BF200" s="672">
        <f t="shared" si="113"/>
        <v>0</v>
      </c>
      <c r="BG200" s="672">
        <f t="shared" si="113"/>
        <v>0</v>
      </c>
      <c r="BH200" s="672">
        <f t="shared" si="113"/>
        <v>0</v>
      </c>
      <c r="BI200" s="672">
        <f t="shared" si="113"/>
        <v>0</v>
      </c>
      <c r="BJ200" s="672">
        <f t="shared" si="113"/>
        <v>0</v>
      </c>
      <c r="BK200" s="672">
        <f t="shared" si="113"/>
        <v>0</v>
      </c>
      <c r="BL200" s="672">
        <f t="shared" si="113"/>
        <v>0</v>
      </c>
      <c r="BM200" s="672">
        <f t="shared" si="113"/>
        <v>0</v>
      </c>
      <c r="BN200" s="672">
        <f t="shared" ref="BN200:CS200" si="114">SUM(BN201:BN202)</f>
        <v>0</v>
      </c>
      <c r="BO200" s="672">
        <f t="shared" si="114"/>
        <v>0</v>
      </c>
      <c r="BP200" s="672">
        <f t="shared" si="114"/>
        <v>0</v>
      </c>
      <c r="BQ200" s="672">
        <f t="shared" si="114"/>
        <v>0</v>
      </c>
      <c r="BR200" s="672">
        <f t="shared" si="114"/>
        <v>0</v>
      </c>
      <c r="BS200" s="672">
        <f t="shared" si="114"/>
        <v>0</v>
      </c>
      <c r="BT200" s="672">
        <f t="shared" si="114"/>
        <v>0</v>
      </c>
      <c r="BU200" s="672">
        <f t="shared" si="114"/>
        <v>0</v>
      </c>
      <c r="BV200" s="672">
        <f t="shared" si="114"/>
        <v>0</v>
      </c>
      <c r="BW200" s="672">
        <f t="shared" si="114"/>
        <v>0</v>
      </c>
      <c r="BX200" s="672">
        <f t="shared" si="114"/>
        <v>0</v>
      </c>
      <c r="BY200" s="672">
        <f t="shared" si="114"/>
        <v>0</v>
      </c>
      <c r="BZ200" s="672">
        <f t="shared" si="114"/>
        <v>0</v>
      </c>
      <c r="CA200" s="672">
        <f t="shared" si="114"/>
        <v>0</v>
      </c>
      <c r="CB200" s="672">
        <f t="shared" si="114"/>
        <v>0</v>
      </c>
      <c r="CC200" s="672">
        <f t="shared" si="114"/>
        <v>0</v>
      </c>
      <c r="CD200" s="672">
        <f t="shared" si="114"/>
        <v>0</v>
      </c>
      <c r="CE200" s="672">
        <f t="shared" si="114"/>
        <v>0</v>
      </c>
      <c r="CF200" s="672">
        <f t="shared" si="114"/>
        <v>0</v>
      </c>
      <c r="CG200" s="672">
        <f t="shared" si="114"/>
        <v>0</v>
      </c>
      <c r="CH200" s="672">
        <f t="shared" si="114"/>
        <v>0</v>
      </c>
      <c r="CI200" s="672">
        <f t="shared" si="114"/>
        <v>0</v>
      </c>
      <c r="CJ200" s="672">
        <f t="shared" si="114"/>
        <v>0</v>
      </c>
      <c r="CK200" s="672">
        <f t="shared" si="114"/>
        <v>0</v>
      </c>
      <c r="CL200" s="672">
        <f t="shared" si="114"/>
        <v>0</v>
      </c>
      <c r="CM200" s="672">
        <f t="shared" si="114"/>
        <v>0</v>
      </c>
      <c r="CN200" s="672">
        <f t="shared" si="114"/>
        <v>0</v>
      </c>
      <c r="CO200" s="672">
        <f t="shared" si="114"/>
        <v>0</v>
      </c>
      <c r="CP200" s="672">
        <f t="shared" si="114"/>
        <v>0</v>
      </c>
      <c r="CQ200" s="672">
        <f t="shared" si="114"/>
        <v>0</v>
      </c>
      <c r="CR200" s="672">
        <f t="shared" si="114"/>
        <v>0</v>
      </c>
      <c r="CS200" s="672">
        <f t="shared" si="114"/>
        <v>0</v>
      </c>
      <c r="CT200" s="1106"/>
      <c r="CW200" s="902" t="s">
        <v>667</v>
      </c>
      <c r="CX200" s="907"/>
      <c r="CY200" s="907"/>
      <c r="CZ200" s="907"/>
      <c r="DA200" s="908"/>
      <c r="DB200" s="908"/>
    </row>
    <row r="201" spans="1:106" s="1057" customFormat="1" ht="16.5" hidden="1" customHeight="1">
      <c r="A201" s="769"/>
      <c r="B201" s="718"/>
      <c r="C201" s="1016"/>
      <c r="D201" s="1016"/>
      <c r="E201" s="623">
        <v>17.100000000000001</v>
      </c>
      <c r="F201" s="714" t="str">
        <f t="shared" ca="1" si="105"/>
        <v>1</v>
      </c>
      <c r="G201" s="750"/>
      <c r="H201" s="750"/>
      <c r="I201" s="750"/>
      <c r="J201" s="750"/>
      <c r="K201" s="750"/>
      <c r="L201" s="750"/>
      <c r="M201" s="750"/>
      <c r="N201" s="750"/>
      <c r="O201" s="750"/>
      <c r="P201" s="750"/>
      <c r="Q201" s="750"/>
      <c r="R201" s="714" t="s">
        <v>569</v>
      </c>
      <c r="S201" s="98" t="b">
        <f t="shared" ca="1" si="106"/>
        <v>1</v>
      </c>
      <c r="T201" s="98" t="b">
        <f>AD201&lt;&gt;"29.0"</f>
        <v>0</v>
      </c>
      <c r="U201" s="645" t="b">
        <f t="shared" ca="1" si="96"/>
        <v>0</v>
      </c>
      <c r="V201" s="1016"/>
      <c r="W201" s="1016"/>
      <c r="X201" s="98" t="s">
        <v>170</v>
      </c>
      <c r="Y201" s="1382"/>
      <c r="Z201" s="1382"/>
      <c r="AA201" s="646"/>
      <c r="AB201" s="1437"/>
      <c r="AD201" s="99" t="s">
        <v>668</v>
      </c>
      <c r="AE201" s="757"/>
      <c r="AF201" s="475"/>
      <c r="AG201" s="111" t="s">
        <v>648</v>
      </c>
      <c r="AH201" s="28">
        <f>AH$163*AH198</f>
        <v>0</v>
      </c>
      <c r="AI201" s="29">
        <f>AI$163*AI198</f>
        <v>0</v>
      </c>
      <c r="AJ201" s="29">
        <f>AJ$163*AJ198</f>
        <v>0</v>
      </c>
      <c r="AK201" s="29">
        <f>AK$163*AK198</f>
        <v>0</v>
      </c>
      <c r="AL201" s="674">
        <f>AM201+AN201</f>
        <v>0</v>
      </c>
      <c r="AM201" s="29">
        <f>AM$163*AM198</f>
        <v>0</v>
      </c>
      <c r="AN201" s="29">
        <f>AN$163*AN198</f>
        <v>0</v>
      </c>
      <c r="AO201" s="674">
        <f>AP201+AQ201</f>
        <v>0</v>
      </c>
      <c r="AP201" s="1111">
        <f>AP$163*AP198</f>
        <v>0</v>
      </c>
      <c r="AQ201" s="1111">
        <f>AQ$163*AQ198</f>
        <v>0</v>
      </c>
      <c r="AR201" s="674">
        <f>AS201+AT201</f>
        <v>0</v>
      </c>
      <c r="AS201" s="1111">
        <f>AS$163*AS198</f>
        <v>0</v>
      </c>
      <c r="AT201" s="1111">
        <f>AT$163*AT198</f>
        <v>0</v>
      </c>
      <c r="AU201" s="674">
        <f>AV201+AW201</f>
        <v>0</v>
      </c>
      <c r="AV201" s="29">
        <f>AV$163*AV198</f>
        <v>0</v>
      </c>
      <c r="AW201" s="29">
        <f>AW$163*AW198</f>
        <v>0</v>
      </c>
      <c r="AX201" s="674">
        <f>AY201+AZ201</f>
        <v>0</v>
      </c>
      <c r="AY201" s="29">
        <f>AY$163*AY198</f>
        <v>0</v>
      </c>
      <c r="AZ201" s="29">
        <f>AZ$163*AZ198</f>
        <v>0</v>
      </c>
      <c r="BA201" s="674">
        <f>BB201+BC201</f>
        <v>0</v>
      </c>
      <c r="BB201" s="29">
        <f>BB$163*BB198</f>
        <v>0</v>
      </c>
      <c r="BC201" s="29">
        <f>BC$163*BC198</f>
        <v>0</v>
      </c>
      <c r="BD201" s="674">
        <f>BE201+BF201</f>
        <v>0</v>
      </c>
      <c r="BE201" s="29">
        <f>BE$163*BE198</f>
        <v>0</v>
      </c>
      <c r="BF201" s="29">
        <f>BF$163*BF198</f>
        <v>0</v>
      </c>
      <c r="BG201" s="674">
        <f>BH201+BI201</f>
        <v>0</v>
      </c>
      <c r="BH201" s="29">
        <f>BH$163*BH198</f>
        <v>0</v>
      </c>
      <c r="BI201" s="29">
        <f>BI$163*BI198</f>
        <v>0</v>
      </c>
      <c r="BJ201" s="674">
        <f>BK201+BL201</f>
        <v>0</v>
      </c>
      <c r="BK201" s="29">
        <f>BK$163*BK198</f>
        <v>0</v>
      </c>
      <c r="BL201" s="29">
        <f>BL$163*BL198</f>
        <v>0</v>
      </c>
      <c r="BM201" s="674">
        <f>BN201+BO201</f>
        <v>0</v>
      </c>
      <c r="BN201" s="29">
        <f>BN$163*BN198</f>
        <v>0</v>
      </c>
      <c r="BO201" s="29">
        <f>BO$163*BO198</f>
        <v>0</v>
      </c>
      <c r="BP201" s="674">
        <f>BQ201+BR201</f>
        <v>0</v>
      </c>
      <c r="BQ201" s="762">
        <f>BQ$163*BQ198</f>
        <v>0</v>
      </c>
      <c r="BR201" s="762">
        <f>BR$163*BR198</f>
        <v>0</v>
      </c>
      <c r="BS201" s="674">
        <f>BT201+BU201</f>
        <v>0</v>
      </c>
      <c r="BT201" s="1111">
        <f>BT$163*BT198</f>
        <v>0</v>
      </c>
      <c r="BU201" s="1111">
        <f>BU$163*BU198</f>
        <v>0</v>
      </c>
      <c r="BV201" s="674">
        <f>BW201+BX201</f>
        <v>0</v>
      </c>
      <c r="BW201" s="1111">
        <f>BW$163*BW198</f>
        <v>0</v>
      </c>
      <c r="BX201" s="1111">
        <f>BX$163*BX198</f>
        <v>0</v>
      </c>
      <c r="BY201" s="674">
        <f>BZ201+CA201</f>
        <v>0</v>
      </c>
      <c r="BZ201" s="29">
        <f>BZ$163*BZ198</f>
        <v>0</v>
      </c>
      <c r="CA201" s="29">
        <f>CA$163*CA198</f>
        <v>0</v>
      </c>
      <c r="CB201" s="674">
        <f>CC201+CD201</f>
        <v>0</v>
      </c>
      <c r="CC201" s="29">
        <f>CC$163*CC198</f>
        <v>0</v>
      </c>
      <c r="CD201" s="29">
        <f>CD$163*CD198</f>
        <v>0</v>
      </c>
      <c r="CE201" s="674">
        <f>CF201+CG201</f>
        <v>0</v>
      </c>
      <c r="CF201" s="29">
        <f>CF$163*CF198</f>
        <v>0</v>
      </c>
      <c r="CG201" s="29">
        <f>CG$163*CG198</f>
        <v>0</v>
      </c>
      <c r="CH201" s="674">
        <f>CI201+CJ201</f>
        <v>0</v>
      </c>
      <c r="CI201" s="29">
        <f>CI$163*CI198</f>
        <v>0</v>
      </c>
      <c r="CJ201" s="29">
        <f>CJ$163*CJ198</f>
        <v>0</v>
      </c>
      <c r="CK201" s="674">
        <f>CL201+CM201</f>
        <v>0</v>
      </c>
      <c r="CL201" s="29">
        <f>CL$163*CL198</f>
        <v>0</v>
      </c>
      <c r="CM201" s="29">
        <f>CM$163*CM198</f>
        <v>0</v>
      </c>
      <c r="CN201" s="674">
        <f>CO201+CP201</f>
        <v>0</v>
      </c>
      <c r="CO201" s="29">
        <f>CO$163*CO198</f>
        <v>0</v>
      </c>
      <c r="CP201" s="29">
        <f>CP$163*CP198</f>
        <v>0</v>
      </c>
      <c r="CQ201" s="674">
        <f>CR201+CS201</f>
        <v>0</v>
      </c>
      <c r="CR201" s="29">
        <f>CR$163*CR198</f>
        <v>0</v>
      </c>
      <c r="CS201" s="29">
        <f>CS$163*CS198</f>
        <v>0</v>
      </c>
      <c r="CT201" s="22"/>
      <c r="CW201" s="902" t="s">
        <v>667</v>
      </c>
      <c r="CX201" s="907" t="s">
        <v>630</v>
      </c>
      <c r="CY201" s="911">
        <f>AE201</f>
        <v>0</v>
      </c>
      <c r="CZ201" s="911">
        <f>AF201</f>
        <v>0</v>
      </c>
      <c r="DA201" s="908"/>
      <c r="DB201" s="908"/>
    </row>
    <row r="202" spans="1:106" s="1057" customFormat="1" ht="15" hidden="1" customHeight="1">
      <c r="A202" s="769"/>
      <c r="B202" s="718"/>
      <c r="C202" s="1016"/>
      <c r="D202" s="1016"/>
      <c r="E202" s="623">
        <v>0</v>
      </c>
      <c r="F202" s="714" t="str">
        <f t="shared" ca="1" si="105"/>
        <v>1</v>
      </c>
      <c r="G202" s="750"/>
      <c r="H202" s="750"/>
      <c r="I202" s="750"/>
      <c r="J202" s="750"/>
      <c r="K202" s="750"/>
      <c r="L202" s="750"/>
      <c r="M202" s="750"/>
      <c r="N202" s="750"/>
      <c r="O202" s="750"/>
      <c r="P202" s="750"/>
      <c r="Q202" s="750"/>
      <c r="R202" s="1016"/>
      <c r="S202" s="98" t="b">
        <f t="shared" ca="1" si="106"/>
        <v>1</v>
      </c>
      <c r="T202" s="1016"/>
      <c r="U202" s="645" t="b">
        <f t="shared" ca="1" si="96"/>
        <v>1</v>
      </c>
      <c r="V202" s="1016"/>
      <c r="W202" s="1016"/>
      <c r="X202" s="756" t="str">
        <f>"{                  
         funcDyn: 'msg1',
         blok: 'blok_2',
         wsCross: 'Топливо 4.4',
         linkFormula: 'AE-AE#AF-AF',
         levelDyn: "&amp;Y139&amp;"
}"</f>
        <v>{                  
         funcDyn: 'msg1',
         blok: 'blok_2',
         wsCross: 'Топливо 4.4',
         linkFormula: 'AE-AE#AF-AF',
         levelDyn: 1
}</v>
      </c>
      <c r="Y202" s="1382"/>
      <c r="Z202" s="1382"/>
      <c r="AA202" s="646"/>
      <c r="AB202" s="1438"/>
      <c r="AD202" s="759"/>
      <c r="AE202" s="758" t="s">
        <v>172</v>
      </c>
      <c r="AF202" s="685"/>
      <c r="AG202" s="111"/>
      <c r="AH202" s="673"/>
      <c r="AI202" s="675"/>
      <c r="AJ202" s="675"/>
      <c r="AK202" s="675"/>
      <c r="AL202" s="675"/>
      <c r="AM202" s="675"/>
      <c r="AN202" s="675"/>
      <c r="AO202" s="675"/>
      <c r="AP202" s="675"/>
      <c r="AQ202" s="675"/>
      <c r="AR202" s="675"/>
      <c r="AS202" s="675"/>
      <c r="AT202" s="675"/>
      <c r="AU202" s="675"/>
      <c r="AV202" s="675"/>
      <c r="AW202" s="675"/>
      <c r="AX202" s="675"/>
      <c r="AY202" s="675"/>
      <c r="AZ202" s="675"/>
      <c r="BA202" s="675"/>
      <c r="BB202" s="675"/>
      <c r="BC202" s="675"/>
      <c r="BD202" s="675"/>
      <c r="BE202" s="675"/>
      <c r="BF202" s="675"/>
      <c r="BG202" s="675"/>
      <c r="BH202" s="675"/>
      <c r="BI202" s="675"/>
      <c r="BJ202" s="675"/>
      <c r="BK202" s="675"/>
      <c r="BL202" s="675"/>
      <c r="BM202" s="675"/>
      <c r="BN202" s="675"/>
      <c r="BO202" s="675"/>
      <c r="BP202" s="675"/>
      <c r="BQ202" s="675"/>
      <c r="BR202" s="675"/>
      <c r="BS202" s="675"/>
      <c r="BT202" s="675"/>
      <c r="BU202" s="675"/>
      <c r="BV202" s="675"/>
      <c r="BW202" s="675"/>
      <c r="BX202" s="675"/>
      <c r="BY202" s="675"/>
      <c r="BZ202" s="675"/>
      <c r="CA202" s="675"/>
      <c r="CB202" s="675"/>
      <c r="CC202" s="675"/>
      <c r="CD202" s="675"/>
      <c r="CE202" s="675"/>
      <c r="CF202" s="675"/>
      <c r="CG202" s="675"/>
      <c r="CH202" s="675"/>
      <c r="CI202" s="675"/>
      <c r="CJ202" s="675"/>
      <c r="CK202" s="675"/>
      <c r="CL202" s="675"/>
      <c r="CM202" s="675"/>
      <c r="CN202" s="675"/>
      <c r="CO202" s="675"/>
      <c r="CP202" s="675"/>
      <c r="CQ202" s="675"/>
      <c r="CR202" s="675"/>
      <c r="CS202" s="675"/>
      <c r="CT202" s="33"/>
      <c r="CW202" s="902" t="str">
        <f>IF(AND(ISNUMBER(VALUE(TRIM(SUBSTITUTE(AD202,".","")))),TRIM(SUBSTITUTE(AD202,".",""))&lt;&gt;""),"P"&amp;SUBSTITUTE(AD202,".",""),"")</f>
        <v/>
      </c>
      <c r="CX202" s="907"/>
      <c r="CY202" s="907"/>
      <c r="CZ202" s="907"/>
      <c r="DA202" s="908"/>
      <c r="DB202" s="908"/>
    </row>
    <row r="203" spans="1:106" s="1057" customFormat="1" ht="16.5" customHeight="1">
      <c r="A203" s="769"/>
      <c r="B203" s="718"/>
      <c r="C203" s="1016"/>
      <c r="D203" s="1016"/>
      <c r="E203" s="623">
        <v>17.100000000000001</v>
      </c>
      <c r="F203" s="714" t="str">
        <f t="shared" ca="1" si="105"/>
        <v>1</v>
      </c>
      <c r="G203" s="750"/>
      <c r="H203" s="750"/>
      <c r="I203" s="750"/>
      <c r="J203" s="750"/>
      <c r="K203" s="750"/>
      <c r="L203" s="750"/>
      <c r="M203" s="750"/>
      <c r="N203" s="750"/>
      <c r="O203" s="750"/>
      <c r="P203" s="750"/>
      <c r="Q203" s="750"/>
      <c r="R203" s="1016"/>
      <c r="S203" s="98" t="b">
        <f t="shared" ca="1" si="106"/>
        <v>1</v>
      </c>
      <c r="T203" s="1016"/>
      <c r="U203" s="645" t="b">
        <f t="shared" ca="1" si="96"/>
        <v>1</v>
      </c>
      <c r="V203" s="1016"/>
      <c r="W203" s="1016"/>
      <c r="X203" s="1016"/>
      <c r="Y203" s="1382"/>
      <c r="Z203" s="1382"/>
      <c r="AA203" s="646"/>
      <c r="AB203" s="1439" t="s">
        <v>669</v>
      </c>
      <c r="AD203" s="111" t="s">
        <v>670</v>
      </c>
      <c r="AE203" s="1442" t="s">
        <v>671</v>
      </c>
      <c r="AF203" s="1413"/>
      <c r="AG203" s="477"/>
      <c r="AH203" s="673"/>
      <c r="AI203" s="675"/>
      <c r="AJ203" s="675"/>
      <c r="AK203" s="675"/>
      <c r="AL203" s="675"/>
      <c r="AM203" s="675"/>
      <c r="AN203" s="675"/>
      <c r="AO203" s="675"/>
      <c r="AP203" s="675"/>
      <c r="AQ203" s="675"/>
      <c r="AR203" s="675"/>
      <c r="AS203" s="675"/>
      <c r="AT203" s="675"/>
      <c r="AU203" s="675"/>
      <c r="AV203" s="675"/>
      <c r="AW203" s="675"/>
      <c r="AX203" s="675"/>
      <c r="AY203" s="675"/>
      <c r="AZ203" s="675"/>
      <c r="BA203" s="675"/>
      <c r="BB203" s="675"/>
      <c r="BC203" s="675"/>
      <c r="BD203" s="675"/>
      <c r="BE203" s="675"/>
      <c r="BF203" s="675"/>
      <c r="BG203" s="675"/>
      <c r="BH203" s="675"/>
      <c r="BI203" s="675"/>
      <c r="BJ203" s="675"/>
      <c r="BK203" s="675"/>
      <c r="BL203" s="675"/>
      <c r="BM203" s="675"/>
      <c r="BN203" s="675"/>
      <c r="BO203" s="675"/>
      <c r="BP203" s="675"/>
      <c r="BQ203" s="675"/>
      <c r="BR203" s="675"/>
      <c r="BS203" s="675"/>
      <c r="BT203" s="675"/>
      <c r="BU203" s="675"/>
      <c r="BV203" s="675"/>
      <c r="BW203" s="675"/>
      <c r="BX203" s="675"/>
      <c r="BY203" s="675"/>
      <c r="BZ203" s="675"/>
      <c r="CA203" s="675"/>
      <c r="CB203" s="675"/>
      <c r="CC203" s="675"/>
      <c r="CD203" s="675"/>
      <c r="CE203" s="675"/>
      <c r="CF203" s="675"/>
      <c r="CG203" s="675"/>
      <c r="CH203" s="675"/>
      <c r="CI203" s="675"/>
      <c r="CJ203" s="675"/>
      <c r="CK203" s="675"/>
      <c r="CL203" s="675"/>
      <c r="CM203" s="675"/>
      <c r="CN203" s="675"/>
      <c r="CO203" s="675"/>
      <c r="CP203" s="675"/>
      <c r="CQ203" s="675"/>
      <c r="CR203" s="675"/>
      <c r="CS203" s="675"/>
      <c r="CT203" s="1106"/>
      <c r="CW203" s="902" t="s">
        <v>672</v>
      </c>
      <c r="CX203" s="907"/>
      <c r="CY203" s="907"/>
      <c r="CZ203" s="907"/>
      <c r="DA203" s="908"/>
      <c r="DB203" s="908"/>
    </row>
    <row r="204" spans="1:106" s="1057" customFormat="1" ht="16.5" hidden="1" customHeight="1">
      <c r="A204" s="769"/>
      <c r="B204" s="718"/>
      <c r="C204" s="1016"/>
      <c r="D204" s="1016"/>
      <c r="E204" s="623">
        <v>17.100000000000001</v>
      </c>
      <c r="F204" s="714" t="str">
        <f t="shared" ref="F204:F235" ca="1" si="115">OFFSET(G204,-1,-1)</f>
        <v>1</v>
      </c>
      <c r="G204" s="750"/>
      <c r="H204" s="750"/>
      <c r="I204" s="750"/>
      <c r="J204" s="750"/>
      <c r="K204" s="750"/>
      <c r="L204" s="750"/>
      <c r="M204" s="750"/>
      <c r="N204" s="750"/>
      <c r="O204" s="750"/>
      <c r="P204" s="750"/>
      <c r="Q204" s="750"/>
      <c r="R204" s="1016"/>
      <c r="S204" s="98" t="b">
        <f t="shared" ref="S204:S235" ca="1" si="116">OFFSET(T204,-1,-1)</f>
        <v>1</v>
      </c>
      <c r="T204" s="98" t="b">
        <f>AD204&lt;&gt;"30.0"</f>
        <v>0</v>
      </c>
      <c r="U204" s="645" t="b">
        <f t="shared" ca="1" si="96"/>
        <v>0</v>
      </c>
      <c r="V204" s="1016"/>
      <c r="W204" s="1016"/>
      <c r="X204" s="98" t="s">
        <v>170</v>
      </c>
      <c r="Y204" s="1382"/>
      <c r="Z204" s="1382"/>
      <c r="AA204" s="646"/>
      <c r="AB204" s="1440"/>
      <c r="AD204" s="99" t="s">
        <v>673</v>
      </c>
      <c r="AE204" s="757"/>
      <c r="AF204" s="475"/>
      <c r="AG204" s="111" t="s">
        <v>388</v>
      </c>
      <c r="AH204" s="32"/>
      <c r="AI204" s="36"/>
      <c r="AJ204" s="36"/>
      <c r="AK204" s="36"/>
      <c r="AL204" s="675"/>
      <c r="AM204" s="36"/>
      <c r="AN204" s="36"/>
      <c r="AO204" s="675"/>
      <c r="AP204" s="1115"/>
      <c r="AQ204" s="1115"/>
      <c r="AR204" s="675"/>
      <c r="AS204" s="1115"/>
      <c r="AT204" s="1115"/>
      <c r="AU204" s="675"/>
      <c r="AV204" s="36"/>
      <c r="AW204" s="36"/>
      <c r="AX204" s="675"/>
      <c r="AY204" s="36"/>
      <c r="AZ204" s="36"/>
      <c r="BA204" s="675"/>
      <c r="BB204" s="36"/>
      <c r="BC204" s="36"/>
      <c r="BD204" s="675"/>
      <c r="BE204" s="36"/>
      <c r="BF204" s="36"/>
      <c r="BG204" s="675"/>
      <c r="BH204" s="36"/>
      <c r="BI204" s="36"/>
      <c r="BJ204" s="675"/>
      <c r="BK204" s="36"/>
      <c r="BL204" s="36"/>
      <c r="BM204" s="675"/>
      <c r="BN204" s="36"/>
      <c r="BO204" s="36"/>
      <c r="BP204" s="675"/>
      <c r="BQ204" s="765"/>
      <c r="BR204" s="765"/>
      <c r="BS204" s="675"/>
      <c r="BT204" s="1115"/>
      <c r="BU204" s="1115"/>
      <c r="BV204" s="675"/>
      <c r="BW204" s="1115"/>
      <c r="BX204" s="1115"/>
      <c r="BY204" s="675"/>
      <c r="BZ204" s="36"/>
      <c r="CA204" s="36"/>
      <c r="CB204" s="675"/>
      <c r="CC204" s="36"/>
      <c r="CD204" s="36"/>
      <c r="CE204" s="675"/>
      <c r="CF204" s="36"/>
      <c r="CG204" s="36"/>
      <c r="CH204" s="675"/>
      <c r="CI204" s="36"/>
      <c r="CJ204" s="36"/>
      <c r="CK204" s="675"/>
      <c r="CL204" s="36"/>
      <c r="CM204" s="36"/>
      <c r="CN204" s="675"/>
      <c r="CO204" s="36"/>
      <c r="CP204" s="36"/>
      <c r="CQ204" s="675"/>
      <c r="CR204" s="36"/>
      <c r="CS204" s="36"/>
      <c r="CT204" s="22"/>
      <c r="CW204" s="902" t="s">
        <v>672</v>
      </c>
      <c r="CX204" s="907" t="s">
        <v>630</v>
      </c>
      <c r="CY204" s="911">
        <f>AE204</f>
        <v>0</v>
      </c>
      <c r="CZ204" s="911">
        <f>AF204</f>
        <v>0</v>
      </c>
      <c r="DA204" s="908"/>
      <c r="DB204" s="908"/>
    </row>
    <row r="205" spans="1:106" s="1057" customFormat="1" ht="15" hidden="1" customHeight="1">
      <c r="A205" s="769"/>
      <c r="B205" s="718"/>
      <c r="C205" s="1016"/>
      <c r="D205" s="1016"/>
      <c r="E205" s="623">
        <v>0</v>
      </c>
      <c r="F205" s="714" t="str">
        <f t="shared" ca="1" si="115"/>
        <v>1</v>
      </c>
      <c r="G205" s="750"/>
      <c r="H205" s="750"/>
      <c r="I205" s="750"/>
      <c r="J205" s="750"/>
      <c r="K205" s="750"/>
      <c r="L205" s="750"/>
      <c r="M205" s="750"/>
      <c r="N205" s="750"/>
      <c r="O205" s="750"/>
      <c r="P205" s="750"/>
      <c r="Q205" s="750"/>
      <c r="R205" s="1016"/>
      <c r="S205" s="98" t="b">
        <f t="shared" ca="1" si="116"/>
        <v>1</v>
      </c>
      <c r="T205" s="1016"/>
      <c r="U205" s="645" t="b">
        <f t="shared" ca="1" si="96"/>
        <v>1</v>
      </c>
      <c r="V205" s="1016"/>
      <c r="W205" s="1016"/>
      <c r="X205" s="756" t="str">
        <f>"{                  
         funcDyn: 'msg1',
         blok: 'blok_2',
         wsCross: 'Топливо 4.4',
         linkFormula: 'AE-AE#AF-AF',
         levelDyn: "&amp;Y139&amp;"
}"</f>
        <v>{                  
         funcDyn: 'msg1',
         blok: 'blok_2',
         wsCross: 'Топливо 4.4',
         linkFormula: 'AE-AE#AF-AF',
         levelDyn: 1
}</v>
      </c>
      <c r="Y205" s="1382"/>
      <c r="Z205" s="1382"/>
      <c r="AA205" s="646"/>
      <c r="AB205" s="1440"/>
      <c r="AD205" s="759"/>
      <c r="AE205" s="758" t="s">
        <v>172</v>
      </c>
      <c r="AF205" s="685"/>
      <c r="AG205" s="111"/>
      <c r="AH205" s="686"/>
      <c r="AI205" s="37"/>
      <c r="AJ205" s="37"/>
      <c r="AK205" s="37"/>
      <c r="AL205" s="675"/>
      <c r="AM205" s="37"/>
      <c r="AN205" s="37"/>
      <c r="AO205" s="675"/>
      <c r="AP205" s="37"/>
      <c r="AQ205" s="37"/>
      <c r="AR205" s="675"/>
      <c r="AS205" s="37"/>
      <c r="AT205" s="37"/>
      <c r="AU205" s="675"/>
      <c r="AV205" s="37"/>
      <c r="AW205" s="37"/>
      <c r="AX205" s="675"/>
      <c r="AY205" s="37"/>
      <c r="AZ205" s="37"/>
      <c r="BA205" s="675"/>
      <c r="BB205" s="37"/>
      <c r="BC205" s="37"/>
      <c r="BD205" s="675"/>
      <c r="BE205" s="37"/>
      <c r="BF205" s="37"/>
      <c r="BG205" s="675"/>
      <c r="BH205" s="37"/>
      <c r="BI205" s="37"/>
      <c r="BJ205" s="675"/>
      <c r="BK205" s="37"/>
      <c r="BL205" s="37"/>
      <c r="BM205" s="675"/>
      <c r="BN205" s="37"/>
      <c r="BO205" s="37"/>
      <c r="BP205" s="675"/>
      <c r="BQ205" s="37"/>
      <c r="BR205" s="37"/>
      <c r="BS205" s="675"/>
      <c r="BT205" s="37"/>
      <c r="BU205" s="37"/>
      <c r="BV205" s="675"/>
      <c r="BW205" s="37"/>
      <c r="BX205" s="37"/>
      <c r="BY205" s="675"/>
      <c r="BZ205" s="37"/>
      <c r="CA205" s="37"/>
      <c r="CB205" s="675"/>
      <c r="CC205" s="37"/>
      <c r="CD205" s="37"/>
      <c r="CE205" s="675"/>
      <c r="CF205" s="37"/>
      <c r="CG205" s="37"/>
      <c r="CH205" s="675"/>
      <c r="CI205" s="37"/>
      <c r="CJ205" s="37"/>
      <c r="CK205" s="675"/>
      <c r="CL205" s="37"/>
      <c r="CM205" s="37"/>
      <c r="CN205" s="675"/>
      <c r="CO205" s="37"/>
      <c r="CP205" s="37"/>
      <c r="CQ205" s="675"/>
      <c r="CR205" s="37"/>
      <c r="CS205" s="37"/>
      <c r="CT205" s="33"/>
      <c r="CW205" s="902" t="str">
        <f>IF(AND(ISNUMBER(VALUE(TRIM(SUBSTITUTE(AD205,".","")))),TRIM(SUBSTITUTE(AD205,".",""))&lt;&gt;""),"P"&amp;SUBSTITUTE(AD205,".",""),"")</f>
        <v/>
      </c>
      <c r="CX205" s="907"/>
      <c r="CY205" s="907"/>
      <c r="CZ205" s="907"/>
      <c r="DA205" s="908"/>
      <c r="DB205" s="908"/>
    </row>
    <row r="206" spans="1:106" s="1057" customFormat="1" ht="16.5" customHeight="1">
      <c r="A206" s="769"/>
      <c r="B206" s="718"/>
      <c r="C206" s="1016"/>
      <c r="D206" s="1016"/>
      <c r="E206" s="623">
        <v>17.100000000000001</v>
      </c>
      <c r="F206" s="714" t="str">
        <f t="shared" ca="1" si="115"/>
        <v>1</v>
      </c>
      <c r="G206" s="750"/>
      <c r="H206" s="750"/>
      <c r="I206" s="750"/>
      <c r="J206" s="750"/>
      <c r="K206" s="750"/>
      <c r="L206" s="750"/>
      <c r="M206" s="750"/>
      <c r="N206" s="750"/>
      <c r="O206" s="750"/>
      <c r="P206" s="750"/>
      <c r="Q206" s="750"/>
      <c r="R206" s="1016"/>
      <c r="S206" s="98" t="b">
        <f t="shared" ca="1" si="116"/>
        <v>1</v>
      </c>
      <c r="T206" s="1016"/>
      <c r="U206" s="645" t="b">
        <f t="shared" ca="1" si="96"/>
        <v>1</v>
      </c>
      <c r="V206" s="1016"/>
      <c r="W206" s="1016"/>
      <c r="X206" s="1016"/>
      <c r="Y206" s="1382"/>
      <c r="Z206" s="1382"/>
      <c r="AA206" s="646"/>
      <c r="AB206" s="1440"/>
      <c r="AD206" s="111" t="s">
        <v>674</v>
      </c>
      <c r="AE206" s="1442" t="s">
        <v>675</v>
      </c>
      <c r="AF206" s="1413"/>
      <c r="AG206" s="477"/>
      <c r="AH206" s="673"/>
      <c r="AI206" s="675"/>
      <c r="AJ206" s="675"/>
      <c r="AK206" s="675"/>
      <c r="AL206" s="675"/>
      <c r="AM206" s="675"/>
      <c r="AN206" s="675"/>
      <c r="AO206" s="675"/>
      <c r="AP206" s="675"/>
      <c r="AQ206" s="675"/>
      <c r="AR206" s="675"/>
      <c r="AS206" s="675"/>
      <c r="AT206" s="675"/>
      <c r="AU206" s="675"/>
      <c r="AV206" s="675"/>
      <c r="AW206" s="675"/>
      <c r="AX206" s="675"/>
      <c r="AY206" s="675"/>
      <c r="AZ206" s="675"/>
      <c r="BA206" s="675"/>
      <c r="BB206" s="675"/>
      <c r="BC206" s="675"/>
      <c r="BD206" s="675"/>
      <c r="BE206" s="675"/>
      <c r="BF206" s="675"/>
      <c r="BG206" s="675"/>
      <c r="BH206" s="675"/>
      <c r="BI206" s="675"/>
      <c r="BJ206" s="675"/>
      <c r="BK206" s="675"/>
      <c r="BL206" s="675"/>
      <c r="BM206" s="675"/>
      <c r="BN206" s="675"/>
      <c r="BO206" s="675"/>
      <c r="BP206" s="675"/>
      <c r="BQ206" s="675"/>
      <c r="BR206" s="675"/>
      <c r="BS206" s="675"/>
      <c r="BT206" s="675"/>
      <c r="BU206" s="675"/>
      <c r="BV206" s="675"/>
      <c r="BW206" s="675"/>
      <c r="BX206" s="675"/>
      <c r="BY206" s="675"/>
      <c r="BZ206" s="675"/>
      <c r="CA206" s="675"/>
      <c r="CB206" s="675"/>
      <c r="CC206" s="675"/>
      <c r="CD206" s="675"/>
      <c r="CE206" s="675"/>
      <c r="CF206" s="675"/>
      <c r="CG206" s="675"/>
      <c r="CH206" s="675"/>
      <c r="CI206" s="675"/>
      <c r="CJ206" s="675"/>
      <c r="CK206" s="675"/>
      <c r="CL206" s="675"/>
      <c r="CM206" s="675"/>
      <c r="CN206" s="675"/>
      <c r="CO206" s="675"/>
      <c r="CP206" s="675"/>
      <c r="CQ206" s="675"/>
      <c r="CR206" s="675"/>
      <c r="CS206" s="675"/>
      <c r="CT206" s="1106"/>
      <c r="CW206" s="902" t="s">
        <v>676</v>
      </c>
      <c r="CX206" s="907"/>
      <c r="CY206" s="907"/>
      <c r="CZ206" s="907"/>
      <c r="DA206" s="908"/>
      <c r="DB206" s="908"/>
    </row>
    <row r="207" spans="1:106" s="1057" customFormat="1" ht="16.5" hidden="1" customHeight="1">
      <c r="A207" s="769"/>
      <c r="B207" s="718"/>
      <c r="C207" s="1016"/>
      <c r="D207" s="1016"/>
      <c r="E207" s="623">
        <v>17.100000000000001</v>
      </c>
      <c r="F207" s="714" t="str">
        <f t="shared" ca="1" si="115"/>
        <v>1</v>
      </c>
      <c r="G207" s="750"/>
      <c r="H207" s="750"/>
      <c r="I207" s="750"/>
      <c r="J207" s="750"/>
      <c r="K207" s="750"/>
      <c r="L207" s="750"/>
      <c r="M207" s="750"/>
      <c r="N207" s="750"/>
      <c r="O207" s="750"/>
      <c r="P207" s="750"/>
      <c r="Q207" s="750"/>
      <c r="R207" s="1016"/>
      <c r="S207" s="98" t="b">
        <f t="shared" ca="1" si="116"/>
        <v>1</v>
      </c>
      <c r="T207" s="98" t="b">
        <f>AD207&lt;&gt;"31.0"</f>
        <v>0</v>
      </c>
      <c r="U207" s="645" t="b">
        <f t="shared" ca="1" si="96"/>
        <v>0</v>
      </c>
      <c r="V207" s="1016"/>
      <c r="W207" s="1016"/>
      <c r="X207" s="98" t="s">
        <v>170</v>
      </c>
      <c r="Y207" s="1382"/>
      <c r="Z207" s="1382"/>
      <c r="AA207" s="646"/>
      <c r="AB207" s="1440"/>
      <c r="AD207" s="99" t="s">
        <v>677</v>
      </c>
      <c r="AE207" s="757"/>
      <c r="AF207" s="475"/>
      <c r="AG207" s="835" t="str">
        <f>"руб./"&amp;IFERROR(INDEX(fuel_ed_izm_list,MATCH(AE207,fuel_list,0)),"")</f>
        <v>руб./</v>
      </c>
      <c r="AH207" s="28">
        <f>IFERROR(AH211/AH175,0)*1000</f>
        <v>0</v>
      </c>
      <c r="AI207" s="28">
        <f>IFERROR(AI211/AI175,0)*1000</f>
        <v>0</v>
      </c>
      <c r="AJ207" s="28">
        <f>IFERROR(AJ211/AJ175,0)*1000</f>
        <v>0</v>
      </c>
      <c r="AK207" s="28">
        <f>IFERROR(AK211/AK175,0)*1000</f>
        <v>0</v>
      </c>
      <c r="AL207" s="674">
        <f>IFERROR(AL211/AL175,0)*1000</f>
        <v>0</v>
      </c>
      <c r="AM207" s="29"/>
      <c r="AN207" s="29"/>
      <c r="AO207" s="674">
        <f>IFERROR(AO211/AO175,0)*1000</f>
        <v>0</v>
      </c>
      <c r="AP207" s="1111"/>
      <c r="AQ207" s="1111"/>
      <c r="AR207" s="674">
        <f>IFERROR(AR211/AR175,0)*1000</f>
        <v>0</v>
      </c>
      <c r="AS207" s="1111"/>
      <c r="AT207" s="1111"/>
      <c r="AU207" s="674">
        <f>IFERROR(AU211/AU175,0)*1000</f>
        <v>0</v>
      </c>
      <c r="AV207" s="29"/>
      <c r="AW207" s="29"/>
      <c r="AX207" s="674">
        <f>IFERROR(AX211/AX175,0)*1000</f>
        <v>0</v>
      </c>
      <c r="AY207" s="29"/>
      <c r="AZ207" s="29"/>
      <c r="BA207" s="674">
        <f>IFERROR(BA211/BA175,0)*1000</f>
        <v>0</v>
      </c>
      <c r="BB207" s="29"/>
      <c r="BC207" s="29"/>
      <c r="BD207" s="674">
        <f>IFERROR(BD211/BD175,0)*1000</f>
        <v>0</v>
      </c>
      <c r="BE207" s="29"/>
      <c r="BF207" s="29"/>
      <c r="BG207" s="674">
        <f>IFERROR(BG211/BG175,0)*1000</f>
        <v>0</v>
      </c>
      <c r="BH207" s="29"/>
      <c r="BI207" s="29"/>
      <c r="BJ207" s="674">
        <f>IFERROR(BJ211/BJ175,0)*1000</f>
        <v>0</v>
      </c>
      <c r="BK207" s="29"/>
      <c r="BL207" s="29"/>
      <c r="BM207" s="674">
        <f>IFERROR(BM211/BM175,0)*1000</f>
        <v>0</v>
      </c>
      <c r="BN207" s="29"/>
      <c r="BO207" s="29"/>
      <c r="BP207" s="674">
        <f>IFERROR(BP211/BP175,0)*1000</f>
        <v>0</v>
      </c>
      <c r="BQ207" s="762"/>
      <c r="BR207" s="762"/>
      <c r="BS207" s="674">
        <f>IFERROR(BS211/BS175,0)*1000</f>
        <v>0</v>
      </c>
      <c r="BT207" s="1111"/>
      <c r="BU207" s="1111"/>
      <c r="BV207" s="674">
        <f>IFERROR(BV211/BV175,0)*1000</f>
        <v>0</v>
      </c>
      <c r="BW207" s="1111"/>
      <c r="BX207" s="1111"/>
      <c r="BY207" s="674">
        <f>IFERROR(BY211/BY175,0)*1000</f>
        <v>0</v>
      </c>
      <c r="BZ207" s="29"/>
      <c r="CA207" s="29"/>
      <c r="CB207" s="674">
        <f>IFERROR(CB211/CB175,0)*1000</f>
        <v>0</v>
      </c>
      <c r="CC207" s="29"/>
      <c r="CD207" s="29"/>
      <c r="CE207" s="674">
        <f>IFERROR(CE211/CE175,0)*1000</f>
        <v>0</v>
      </c>
      <c r="CF207" s="29"/>
      <c r="CG207" s="29"/>
      <c r="CH207" s="674">
        <f>IFERROR(CH211/CH175,0)*1000</f>
        <v>0</v>
      </c>
      <c r="CI207" s="29"/>
      <c r="CJ207" s="29"/>
      <c r="CK207" s="674">
        <f>IFERROR(CK211/CK175,0)*1000</f>
        <v>0</v>
      </c>
      <c r="CL207" s="29"/>
      <c r="CM207" s="29"/>
      <c r="CN207" s="674">
        <f>IFERROR(CN211/CN175,0)*1000</f>
        <v>0</v>
      </c>
      <c r="CO207" s="29"/>
      <c r="CP207" s="29"/>
      <c r="CQ207" s="674">
        <f>IFERROR(CQ211/CQ175,0)*1000</f>
        <v>0</v>
      </c>
      <c r="CR207" s="29"/>
      <c r="CS207" s="29"/>
      <c r="CT207" s="22"/>
      <c r="CW207" s="902" t="s">
        <v>676</v>
      </c>
      <c r="CX207" s="907" t="s">
        <v>630</v>
      </c>
      <c r="CY207" s="911">
        <f>AE207</f>
        <v>0</v>
      </c>
      <c r="CZ207" s="911">
        <f>AF207</f>
        <v>0</v>
      </c>
      <c r="DA207" s="908"/>
      <c r="DB207" s="908"/>
    </row>
    <row r="208" spans="1:106" s="1057" customFormat="1" ht="15" hidden="1" customHeight="1">
      <c r="A208" s="769"/>
      <c r="B208" s="718"/>
      <c r="C208" s="1016"/>
      <c r="D208" s="1016"/>
      <c r="E208" s="623">
        <v>0</v>
      </c>
      <c r="F208" s="714" t="str">
        <f t="shared" ca="1" si="115"/>
        <v>1</v>
      </c>
      <c r="G208" s="750"/>
      <c r="H208" s="750"/>
      <c r="I208" s="750"/>
      <c r="J208" s="750"/>
      <c r="K208" s="750"/>
      <c r="L208" s="750"/>
      <c r="M208" s="750"/>
      <c r="N208" s="750"/>
      <c r="O208" s="750"/>
      <c r="P208" s="750"/>
      <c r="Q208" s="750"/>
      <c r="R208" s="1016"/>
      <c r="S208" s="98" t="b">
        <f t="shared" ca="1" si="116"/>
        <v>1</v>
      </c>
      <c r="T208" s="1016"/>
      <c r="U208" s="645" t="b">
        <f t="shared" ca="1" si="96"/>
        <v>1</v>
      </c>
      <c r="V208" s="1016"/>
      <c r="W208" s="1016"/>
      <c r="X208" s="756" t="str">
        <f>"{                  
         funcDyn: 'msg1',
         blok: 'blok_2',
         wsCross: 'Топливо 4.4',
         linkFormula: 'AE-AE#AF-AF',
         levelDyn: "&amp;Y139&amp;"
}"</f>
        <v>{                  
         funcDyn: 'msg1',
         blok: 'blok_2',
         wsCross: 'Топливо 4.4',
         linkFormula: 'AE-AE#AF-AF',
         levelDyn: 1
}</v>
      </c>
      <c r="Y208" s="1382"/>
      <c r="Z208" s="1382"/>
      <c r="AA208" s="646"/>
      <c r="AB208" s="1440"/>
      <c r="AD208" s="759"/>
      <c r="AE208" s="758" t="s">
        <v>172</v>
      </c>
      <c r="AF208" s="685"/>
      <c r="AG208" s="111"/>
      <c r="AH208" s="675"/>
      <c r="AI208" s="675"/>
      <c r="AJ208" s="675"/>
      <c r="AK208" s="675"/>
      <c r="AL208" s="675"/>
      <c r="AM208" s="675"/>
      <c r="AN208" s="675"/>
      <c r="AO208" s="675"/>
      <c r="AP208" s="675"/>
      <c r="AQ208" s="675"/>
      <c r="AR208" s="675"/>
      <c r="AS208" s="675"/>
      <c r="AT208" s="675"/>
      <c r="AU208" s="675"/>
      <c r="AV208" s="675"/>
      <c r="AW208" s="675"/>
      <c r="AX208" s="675"/>
      <c r="AY208" s="675"/>
      <c r="AZ208" s="675"/>
      <c r="BA208" s="675"/>
      <c r="BB208" s="675"/>
      <c r="BC208" s="675"/>
      <c r="BD208" s="675"/>
      <c r="BE208" s="675"/>
      <c r="BF208" s="675"/>
      <c r="BG208" s="675"/>
      <c r="BH208" s="675"/>
      <c r="BI208" s="675"/>
      <c r="BJ208" s="675"/>
      <c r="BK208" s="675"/>
      <c r="BL208" s="675"/>
      <c r="BM208" s="675"/>
      <c r="BN208" s="675"/>
      <c r="BO208" s="675"/>
      <c r="BP208" s="675"/>
      <c r="BQ208" s="675"/>
      <c r="BR208" s="675"/>
      <c r="BS208" s="675"/>
      <c r="BT208" s="675"/>
      <c r="BU208" s="675"/>
      <c r="BV208" s="675"/>
      <c r="BW208" s="675"/>
      <c r="BX208" s="675"/>
      <c r="BY208" s="675"/>
      <c r="BZ208" s="675"/>
      <c r="CA208" s="675"/>
      <c r="CB208" s="675"/>
      <c r="CC208" s="675"/>
      <c r="CD208" s="675"/>
      <c r="CE208" s="675"/>
      <c r="CF208" s="675"/>
      <c r="CG208" s="675"/>
      <c r="CH208" s="675"/>
      <c r="CI208" s="675"/>
      <c r="CJ208" s="675"/>
      <c r="CK208" s="675"/>
      <c r="CL208" s="675"/>
      <c r="CM208" s="675"/>
      <c r="CN208" s="675"/>
      <c r="CO208" s="675"/>
      <c r="CP208" s="675"/>
      <c r="CQ208" s="675"/>
      <c r="CR208" s="675"/>
      <c r="CS208" s="675"/>
      <c r="CT208" s="33"/>
      <c r="CW208" s="902" t="str">
        <f>IF(AND(ISNUMBER(VALUE(TRIM(SUBSTITUTE(AD208,".","")))),TRIM(SUBSTITUTE(AD208,".",""))&lt;&gt;""),"P"&amp;SUBSTITUTE(AD208,".",""),"")</f>
        <v/>
      </c>
      <c r="CX208" s="907"/>
      <c r="CY208" s="907"/>
      <c r="CZ208" s="907"/>
      <c r="DA208" s="908"/>
      <c r="DB208" s="908"/>
    </row>
    <row r="209" spans="1:106" s="1057" customFormat="1" ht="16.5" customHeight="1">
      <c r="A209" s="769"/>
      <c r="B209" s="718"/>
      <c r="C209" s="1016"/>
      <c r="D209" s="1016"/>
      <c r="E209" s="623">
        <v>17.100000000000001</v>
      </c>
      <c r="F209" s="714" t="str">
        <f t="shared" ca="1" si="115"/>
        <v>1</v>
      </c>
      <c r="G209" s="750"/>
      <c r="H209" s="750"/>
      <c r="I209" s="750"/>
      <c r="J209" s="750"/>
      <c r="K209" s="750"/>
      <c r="L209" s="750"/>
      <c r="M209" s="750"/>
      <c r="N209" s="750"/>
      <c r="O209" s="750"/>
      <c r="P209" s="750"/>
      <c r="Q209" s="750"/>
      <c r="R209" s="1016"/>
      <c r="S209" s="98" t="b">
        <f t="shared" ca="1" si="116"/>
        <v>1</v>
      </c>
      <c r="T209" s="1016"/>
      <c r="U209" s="645" t="b">
        <f t="shared" ca="1" si="96"/>
        <v>1</v>
      </c>
      <c r="V209" s="1016"/>
      <c r="W209" s="1016"/>
      <c r="X209" s="1016"/>
      <c r="Y209" s="1382"/>
      <c r="Z209" s="1382"/>
      <c r="AA209" s="646"/>
      <c r="AB209" s="1440"/>
      <c r="AD209" s="111" t="s">
        <v>678</v>
      </c>
      <c r="AE209" s="1442" t="s">
        <v>679</v>
      </c>
      <c r="AF209" s="1413"/>
      <c r="AG209" s="111" t="s">
        <v>648</v>
      </c>
      <c r="AH209" s="672">
        <f t="shared" ref="AH209:BM209" si="117">SUM(AH211:AH212)</f>
        <v>0</v>
      </c>
      <c r="AI209" s="672">
        <f t="shared" si="117"/>
        <v>0</v>
      </c>
      <c r="AJ209" s="672">
        <f t="shared" si="117"/>
        <v>0</v>
      </c>
      <c r="AK209" s="672">
        <f t="shared" si="117"/>
        <v>0</v>
      </c>
      <c r="AL209" s="672">
        <f t="shared" si="117"/>
        <v>0</v>
      </c>
      <c r="AM209" s="672">
        <f t="shared" si="117"/>
        <v>0</v>
      </c>
      <c r="AN209" s="672">
        <f t="shared" si="117"/>
        <v>0</v>
      </c>
      <c r="AO209" s="672">
        <f t="shared" si="117"/>
        <v>0</v>
      </c>
      <c r="AP209" s="672">
        <f t="shared" si="117"/>
        <v>0</v>
      </c>
      <c r="AQ209" s="672">
        <f t="shared" si="117"/>
        <v>0</v>
      </c>
      <c r="AR209" s="672">
        <f t="shared" si="117"/>
        <v>0</v>
      </c>
      <c r="AS209" s="672">
        <f t="shared" si="117"/>
        <v>0</v>
      </c>
      <c r="AT209" s="672">
        <f t="shared" si="117"/>
        <v>0</v>
      </c>
      <c r="AU209" s="672">
        <f t="shared" si="117"/>
        <v>0</v>
      </c>
      <c r="AV209" s="672">
        <f t="shared" si="117"/>
        <v>0</v>
      </c>
      <c r="AW209" s="672">
        <f t="shared" si="117"/>
        <v>0</v>
      </c>
      <c r="AX209" s="672">
        <f t="shared" si="117"/>
        <v>0</v>
      </c>
      <c r="AY209" s="672">
        <f t="shared" si="117"/>
        <v>0</v>
      </c>
      <c r="AZ209" s="672">
        <f t="shared" si="117"/>
        <v>0</v>
      </c>
      <c r="BA209" s="672">
        <f t="shared" si="117"/>
        <v>0</v>
      </c>
      <c r="BB209" s="672">
        <f t="shared" si="117"/>
        <v>0</v>
      </c>
      <c r="BC209" s="672">
        <f t="shared" si="117"/>
        <v>0</v>
      </c>
      <c r="BD209" s="672">
        <f t="shared" si="117"/>
        <v>0</v>
      </c>
      <c r="BE209" s="672">
        <f t="shared" si="117"/>
        <v>0</v>
      </c>
      <c r="BF209" s="672">
        <f t="shared" si="117"/>
        <v>0</v>
      </c>
      <c r="BG209" s="672">
        <f t="shared" si="117"/>
        <v>0</v>
      </c>
      <c r="BH209" s="672">
        <f t="shared" si="117"/>
        <v>0</v>
      </c>
      <c r="BI209" s="672">
        <f t="shared" si="117"/>
        <v>0</v>
      </c>
      <c r="BJ209" s="672">
        <f t="shared" si="117"/>
        <v>0</v>
      </c>
      <c r="BK209" s="672">
        <f t="shared" si="117"/>
        <v>0</v>
      </c>
      <c r="BL209" s="672">
        <f t="shared" si="117"/>
        <v>0</v>
      </c>
      <c r="BM209" s="672">
        <f t="shared" si="117"/>
        <v>0</v>
      </c>
      <c r="BN209" s="672">
        <f t="shared" ref="BN209:CS209" si="118">SUM(BN211:BN212)</f>
        <v>0</v>
      </c>
      <c r="BO209" s="672">
        <f t="shared" si="118"/>
        <v>0</v>
      </c>
      <c r="BP209" s="672">
        <f t="shared" si="118"/>
        <v>0</v>
      </c>
      <c r="BQ209" s="672">
        <f t="shared" si="118"/>
        <v>0</v>
      </c>
      <c r="BR209" s="672">
        <f t="shared" si="118"/>
        <v>0</v>
      </c>
      <c r="BS209" s="672">
        <f t="shared" si="118"/>
        <v>0</v>
      </c>
      <c r="BT209" s="672">
        <f t="shared" si="118"/>
        <v>0</v>
      </c>
      <c r="BU209" s="672">
        <f t="shared" si="118"/>
        <v>0</v>
      </c>
      <c r="BV209" s="672">
        <f t="shared" si="118"/>
        <v>0</v>
      </c>
      <c r="BW209" s="672">
        <f t="shared" si="118"/>
        <v>0</v>
      </c>
      <c r="BX209" s="672">
        <f t="shared" si="118"/>
        <v>0</v>
      </c>
      <c r="BY209" s="672">
        <f t="shared" si="118"/>
        <v>0</v>
      </c>
      <c r="BZ209" s="672">
        <f t="shared" si="118"/>
        <v>0</v>
      </c>
      <c r="CA209" s="672">
        <f t="shared" si="118"/>
        <v>0</v>
      </c>
      <c r="CB209" s="672">
        <f t="shared" si="118"/>
        <v>0</v>
      </c>
      <c r="CC209" s="672">
        <f t="shared" si="118"/>
        <v>0</v>
      </c>
      <c r="CD209" s="672">
        <f t="shared" si="118"/>
        <v>0</v>
      </c>
      <c r="CE209" s="672">
        <f t="shared" si="118"/>
        <v>0</v>
      </c>
      <c r="CF209" s="672">
        <f t="shared" si="118"/>
        <v>0</v>
      </c>
      <c r="CG209" s="672">
        <f t="shared" si="118"/>
        <v>0</v>
      </c>
      <c r="CH209" s="672">
        <f t="shared" si="118"/>
        <v>0</v>
      </c>
      <c r="CI209" s="672">
        <f t="shared" si="118"/>
        <v>0</v>
      </c>
      <c r="CJ209" s="672">
        <f t="shared" si="118"/>
        <v>0</v>
      </c>
      <c r="CK209" s="672">
        <f t="shared" si="118"/>
        <v>0</v>
      </c>
      <c r="CL209" s="672">
        <f t="shared" si="118"/>
        <v>0</v>
      </c>
      <c r="CM209" s="672">
        <f t="shared" si="118"/>
        <v>0</v>
      </c>
      <c r="CN209" s="672">
        <f t="shared" si="118"/>
        <v>0</v>
      </c>
      <c r="CO209" s="672">
        <f t="shared" si="118"/>
        <v>0</v>
      </c>
      <c r="CP209" s="672">
        <f t="shared" si="118"/>
        <v>0</v>
      </c>
      <c r="CQ209" s="672">
        <f t="shared" si="118"/>
        <v>0</v>
      </c>
      <c r="CR209" s="672">
        <f t="shared" si="118"/>
        <v>0</v>
      </c>
      <c r="CS209" s="672">
        <f t="shared" si="118"/>
        <v>0</v>
      </c>
      <c r="CT209" s="1106"/>
      <c r="CW209" s="902" t="s">
        <v>680</v>
      </c>
      <c r="CX209" s="907"/>
      <c r="CY209" s="907"/>
      <c r="CZ209" s="907"/>
      <c r="DA209" s="908"/>
      <c r="DB209" s="908"/>
    </row>
    <row r="210" spans="1:106" s="1057" customFormat="1" ht="16.5" hidden="1" customHeight="1">
      <c r="A210" s="769"/>
      <c r="B210" s="718"/>
      <c r="C210" s="1016"/>
      <c r="D210" s="1016"/>
      <c r="E210" s="623">
        <v>17.100000000000001</v>
      </c>
      <c r="F210" s="714" t="str">
        <f t="shared" ca="1" si="115"/>
        <v>1</v>
      </c>
      <c r="G210" s="750"/>
      <c r="H210" s="750"/>
      <c r="I210" s="750"/>
      <c r="J210" s="750"/>
      <c r="K210" s="750"/>
      <c r="L210" s="750"/>
      <c r="M210" s="750"/>
      <c r="N210" s="750"/>
      <c r="O210" s="750"/>
      <c r="P210" s="750"/>
      <c r="Q210" s="750"/>
      <c r="R210" s="714" t="s">
        <v>569</v>
      </c>
      <c r="S210" s="98" t="b">
        <f t="shared" ca="1" si="116"/>
        <v>1</v>
      </c>
      <c r="T210" s="714" t="b">
        <v>0</v>
      </c>
      <c r="U210" s="645" t="b">
        <f t="shared" ca="1" si="96"/>
        <v>0</v>
      </c>
      <c r="V210" s="1016"/>
      <c r="W210" s="1016"/>
      <c r="X210" s="1016"/>
      <c r="Y210" s="1382"/>
      <c r="Z210" s="1382"/>
      <c r="AA210" s="646"/>
      <c r="AB210" s="1440"/>
      <c r="AD210" s="99" t="str">
        <f>AD209&amp;".0"</f>
        <v>32.0</v>
      </c>
      <c r="AE210" s="1445" t="s">
        <v>580</v>
      </c>
      <c r="AF210" s="1446"/>
      <c r="AG210" s="111" t="s">
        <v>648</v>
      </c>
      <c r="AH210" s="28">
        <f>AH163*AH209</f>
        <v>0</v>
      </c>
      <c r="AI210" s="29">
        <f>AI$163*AI209</f>
        <v>0</v>
      </c>
      <c r="AJ210" s="29">
        <f>AJ$163*AJ209</f>
        <v>0</v>
      </c>
      <c r="AK210" s="29">
        <f>AK$163*AK209</f>
        <v>0</v>
      </c>
      <c r="AL210" s="674">
        <f>AM210+AN210</f>
        <v>0</v>
      </c>
      <c r="AM210" s="29">
        <f>AM$163*AM209</f>
        <v>0</v>
      </c>
      <c r="AN210" s="29">
        <f>AN$163*AN209</f>
        <v>0</v>
      </c>
      <c r="AO210" s="674">
        <f>AP210+AQ210</f>
        <v>0</v>
      </c>
      <c r="AP210" s="1111">
        <f>AP$163*AP209</f>
        <v>0</v>
      </c>
      <c r="AQ210" s="1111">
        <f>AQ$163*AQ209</f>
        <v>0</v>
      </c>
      <c r="AR210" s="674">
        <f>AS210+AT210</f>
        <v>0</v>
      </c>
      <c r="AS210" s="1111">
        <f>AS$163*AS209</f>
        <v>0</v>
      </c>
      <c r="AT210" s="1111">
        <f>AT$163*AT209</f>
        <v>0</v>
      </c>
      <c r="AU210" s="674">
        <f>AV210+AW210</f>
        <v>0</v>
      </c>
      <c r="AV210" s="29">
        <f>AV$163*AV209</f>
        <v>0</v>
      </c>
      <c r="AW210" s="29">
        <f>AW$163*AW209</f>
        <v>0</v>
      </c>
      <c r="AX210" s="674">
        <f>AY210+AZ210</f>
        <v>0</v>
      </c>
      <c r="AY210" s="29">
        <f>AY$163*AY209</f>
        <v>0</v>
      </c>
      <c r="AZ210" s="29">
        <f>AZ$163*AZ209</f>
        <v>0</v>
      </c>
      <c r="BA210" s="674">
        <f>BB210+BC210</f>
        <v>0</v>
      </c>
      <c r="BB210" s="29">
        <f>BB$163*BB209</f>
        <v>0</v>
      </c>
      <c r="BC210" s="29">
        <f>BC$163*BC209</f>
        <v>0</v>
      </c>
      <c r="BD210" s="674">
        <f>BE210+BF210</f>
        <v>0</v>
      </c>
      <c r="BE210" s="29">
        <f>BE$163*BE209</f>
        <v>0</v>
      </c>
      <c r="BF210" s="29">
        <f>BF$163*BF209</f>
        <v>0</v>
      </c>
      <c r="BG210" s="674">
        <f>BH210+BI210</f>
        <v>0</v>
      </c>
      <c r="BH210" s="29">
        <f>BH$163*BH209</f>
        <v>0</v>
      </c>
      <c r="BI210" s="29">
        <f>BI$163*BI209</f>
        <v>0</v>
      </c>
      <c r="BJ210" s="674">
        <f>BK210+BL210</f>
        <v>0</v>
      </c>
      <c r="BK210" s="29">
        <f>BK$163*BK209</f>
        <v>0</v>
      </c>
      <c r="BL210" s="29">
        <f>BL$163*BL209</f>
        <v>0</v>
      </c>
      <c r="BM210" s="674">
        <f>BN210+BO210</f>
        <v>0</v>
      </c>
      <c r="BN210" s="29">
        <f>BN$163*BN209</f>
        <v>0</v>
      </c>
      <c r="BO210" s="29">
        <f>BO$163*BO209</f>
        <v>0</v>
      </c>
      <c r="BP210" s="674">
        <f>BQ210+BR210</f>
        <v>0</v>
      </c>
      <c r="BQ210" s="762">
        <f>BQ$163*BQ209</f>
        <v>0</v>
      </c>
      <c r="BR210" s="762">
        <f>BR$163*BR209</f>
        <v>0</v>
      </c>
      <c r="BS210" s="674">
        <f>BT210+BU210</f>
        <v>0</v>
      </c>
      <c r="BT210" s="1111">
        <f>BT$163*BT209</f>
        <v>0</v>
      </c>
      <c r="BU210" s="1111">
        <f>BU$163*BU209</f>
        <v>0</v>
      </c>
      <c r="BV210" s="674">
        <f>BW210+BX210</f>
        <v>0</v>
      </c>
      <c r="BW210" s="1111">
        <f>BW$163*BW209</f>
        <v>0</v>
      </c>
      <c r="BX210" s="1111">
        <f>BX$163*BX209</f>
        <v>0</v>
      </c>
      <c r="BY210" s="674">
        <f>BZ210+CA210</f>
        <v>0</v>
      </c>
      <c r="BZ210" s="29">
        <f>BZ$163*BZ209</f>
        <v>0</v>
      </c>
      <c r="CA210" s="29">
        <f>CA$163*CA209</f>
        <v>0</v>
      </c>
      <c r="CB210" s="674">
        <f>CC210+CD210</f>
        <v>0</v>
      </c>
      <c r="CC210" s="29">
        <f>CC$163*CC209</f>
        <v>0</v>
      </c>
      <c r="CD210" s="29">
        <f>CD$163*CD209</f>
        <v>0</v>
      </c>
      <c r="CE210" s="674">
        <f>CF210+CG210</f>
        <v>0</v>
      </c>
      <c r="CF210" s="29">
        <f>CF$163*CF209</f>
        <v>0</v>
      </c>
      <c r="CG210" s="29">
        <f>CG$163*CG209</f>
        <v>0</v>
      </c>
      <c r="CH210" s="674">
        <f>CI210+CJ210</f>
        <v>0</v>
      </c>
      <c r="CI210" s="29">
        <f>CI$163*CI209</f>
        <v>0</v>
      </c>
      <c r="CJ210" s="29">
        <f>CJ$163*CJ209</f>
        <v>0</v>
      </c>
      <c r="CK210" s="674">
        <f>CL210+CM210</f>
        <v>0</v>
      </c>
      <c r="CL210" s="29">
        <f>CL$163*CL209</f>
        <v>0</v>
      </c>
      <c r="CM210" s="29">
        <f>CM$163*CM209</f>
        <v>0</v>
      </c>
      <c r="CN210" s="674">
        <f>CO210+CP210</f>
        <v>0</v>
      </c>
      <c r="CO210" s="29">
        <f>CO$163*CO209</f>
        <v>0</v>
      </c>
      <c r="CP210" s="29">
        <f>CP$163*CP209</f>
        <v>0</v>
      </c>
      <c r="CQ210" s="674">
        <f>CR210+CS210</f>
        <v>0</v>
      </c>
      <c r="CR210" s="29">
        <f>CR$163*CR209</f>
        <v>0</v>
      </c>
      <c r="CS210" s="29">
        <f>CS$163*CS209</f>
        <v>0</v>
      </c>
      <c r="CT210" s="22"/>
      <c r="CW210" s="902" t="s">
        <v>681</v>
      </c>
      <c r="CX210" s="907"/>
      <c r="CY210" s="907"/>
      <c r="CZ210" s="907"/>
      <c r="DA210" s="908"/>
      <c r="DB210" s="908"/>
    </row>
    <row r="211" spans="1:106" s="1057" customFormat="1" ht="16.5" hidden="1" customHeight="1">
      <c r="A211" s="769"/>
      <c r="B211" s="718"/>
      <c r="C211" s="1016"/>
      <c r="D211" s="1016"/>
      <c r="E211" s="623">
        <v>17.100000000000001</v>
      </c>
      <c r="F211" s="714" t="str">
        <f t="shared" ca="1" si="115"/>
        <v>1</v>
      </c>
      <c r="G211" s="750"/>
      <c r="H211" s="750"/>
      <c r="I211" s="750"/>
      <c r="J211" s="750"/>
      <c r="K211" s="750"/>
      <c r="L211" s="750"/>
      <c r="M211" s="750"/>
      <c r="N211" s="750"/>
      <c r="O211" s="750"/>
      <c r="P211" s="750"/>
      <c r="Q211" s="750"/>
      <c r="R211" s="1016"/>
      <c r="S211" s="98" t="b">
        <f t="shared" ca="1" si="116"/>
        <v>1</v>
      </c>
      <c r="T211" s="98" t="b">
        <f>AD211&lt;&gt;"32.0"</f>
        <v>0</v>
      </c>
      <c r="U211" s="645" t="b">
        <f t="shared" ca="1" si="96"/>
        <v>0</v>
      </c>
      <c r="V211" s="1016"/>
      <c r="W211" s="1016"/>
      <c r="X211" s="98" t="s">
        <v>170</v>
      </c>
      <c r="Y211" s="1382"/>
      <c r="Z211" s="1382"/>
      <c r="AA211" s="646"/>
      <c r="AB211" s="1440"/>
      <c r="AD211" s="99" t="s">
        <v>682</v>
      </c>
      <c r="AE211" s="757"/>
      <c r="AF211" s="475"/>
      <c r="AG211" s="111" t="s">
        <v>648</v>
      </c>
      <c r="AH211" s="28"/>
      <c r="AI211" s="29"/>
      <c r="AJ211" s="29"/>
      <c r="AK211" s="29"/>
      <c r="AL211" s="674">
        <f>AM211+AN211</f>
        <v>0</v>
      </c>
      <c r="AM211" s="29">
        <f>AM207*AM175/1000</f>
        <v>0</v>
      </c>
      <c r="AN211" s="29">
        <f>AN207*AN175/1000</f>
        <v>0</v>
      </c>
      <c r="AO211" s="674">
        <f>AP211+AQ211</f>
        <v>0</v>
      </c>
      <c r="AP211" s="1111">
        <f>AP207*AP175/1000</f>
        <v>0</v>
      </c>
      <c r="AQ211" s="1111">
        <f>AQ207*AQ175/1000</f>
        <v>0</v>
      </c>
      <c r="AR211" s="674">
        <f>AS211+AT211</f>
        <v>0</v>
      </c>
      <c r="AS211" s="1111">
        <f>AS207*AS175/1000</f>
        <v>0</v>
      </c>
      <c r="AT211" s="1111">
        <f>AT207*AT175/1000</f>
        <v>0</v>
      </c>
      <c r="AU211" s="674">
        <f>AV211+AW211</f>
        <v>0</v>
      </c>
      <c r="AV211" s="29">
        <f>AV207*AV175/1000</f>
        <v>0</v>
      </c>
      <c r="AW211" s="29">
        <f>AW207*AW175/1000</f>
        <v>0</v>
      </c>
      <c r="AX211" s="674">
        <f>AY211+AZ211</f>
        <v>0</v>
      </c>
      <c r="AY211" s="29">
        <f>AY207*AY175/1000</f>
        <v>0</v>
      </c>
      <c r="AZ211" s="29">
        <f>AZ207*AZ175/1000</f>
        <v>0</v>
      </c>
      <c r="BA211" s="674">
        <f>BB211+BC211</f>
        <v>0</v>
      </c>
      <c r="BB211" s="29">
        <f>BB207*BB175/1000</f>
        <v>0</v>
      </c>
      <c r="BC211" s="29">
        <f>BC207*BC175/1000</f>
        <v>0</v>
      </c>
      <c r="BD211" s="674">
        <f>BE211+BF211</f>
        <v>0</v>
      </c>
      <c r="BE211" s="29">
        <f>BE207*BE175/1000</f>
        <v>0</v>
      </c>
      <c r="BF211" s="29">
        <f>BF207*BF175/1000</f>
        <v>0</v>
      </c>
      <c r="BG211" s="674">
        <f>BH211+BI211</f>
        <v>0</v>
      </c>
      <c r="BH211" s="29">
        <f>BH207*BH175/1000</f>
        <v>0</v>
      </c>
      <c r="BI211" s="29">
        <f>BI207*BI175/1000</f>
        <v>0</v>
      </c>
      <c r="BJ211" s="674">
        <f>BK211+BL211</f>
        <v>0</v>
      </c>
      <c r="BK211" s="29">
        <f>BK207*BK175/1000</f>
        <v>0</v>
      </c>
      <c r="BL211" s="29">
        <f>BL207*BL175/1000</f>
        <v>0</v>
      </c>
      <c r="BM211" s="674">
        <f>BN211+BO211</f>
        <v>0</v>
      </c>
      <c r="BN211" s="29">
        <f>BN207*BN175/1000</f>
        <v>0</v>
      </c>
      <c r="BO211" s="29">
        <f>BO207*BO175/1000</f>
        <v>0</v>
      </c>
      <c r="BP211" s="674">
        <f>BQ211+BR211</f>
        <v>0</v>
      </c>
      <c r="BQ211" s="762">
        <f>BQ207*BQ175/1000</f>
        <v>0</v>
      </c>
      <c r="BR211" s="762">
        <f>BR207*BR175/1000</f>
        <v>0</v>
      </c>
      <c r="BS211" s="674">
        <f>BT211+BU211</f>
        <v>0</v>
      </c>
      <c r="BT211" s="1111">
        <f>BT207*BT175/1000</f>
        <v>0</v>
      </c>
      <c r="BU211" s="1111">
        <f>BU207*BU175/1000</f>
        <v>0</v>
      </c>
      <c r="BV211" s="674">
        <f>BW211+BX211</f>
        <v>0</v>
      </c>
      <c r="BW211" s="1111">
        <f>BW207*BW175/1000</f>
        <v>0</v>
      </c>
      <c r="BX211" s="1111">
        <f>BX207*BX175/1000</f>
        <v>0</v>
      </c>
      <c r="BY211" s="674">
        <f>BZ211+CA211</f>
        <v>0</v>
      </c>
      <c r="BZ211" s="29">
        <f>BZ207*BZ175/1000</f>
        <v>0</v>
      </c>
      <c r="CA211" s="29">
        <f>CA207*CA175/1000</f>
        <v>0</v>
      </c>
      <c r="CB211" s="674">
        <f>CC211+CD211</f>
        <v>0</v>
      </c>
      <c r="CC211" s="29">
        <f>CC207*CC175/1000</f>
        <v>0</v>
      </c>
      <c r="CD211" s="29">
        <f>CD207*CD175/1000</f>
        <v>0</v>
      </c>
      <c r="CE211" s="674">
        <f>CF211+CG211</f>
        <v>0</v>
      </c>
      <c r="CF211" s="29">
        <f>CF207*CF175/1000</f>
        <v>0</v>
      </c>
      <c r="CG211" s="29">
        <f>CG207*CG175/1000</f>
        <v>0</v>
      </c>
      <c r="CH211" s="674">
        <f>CI211+CJ211</f>
        <v>0</v>
      </c>
      <c r="CI211" s="29">
        <f>CI207*CI175/1000</f>
        <v>0</v>
      </c>
      <c r="CJ211" s="29">
        <f>CJ207*CJ175/1000</f>
        <v>0</v>
      </c>
      <c r="CK211" s="674">
        <f>CL211+CM211</f>
        <v>0</v>
      </c>
      <c r="CL211" s="29">
        <f>CL207*CL175/1000</f>
        <v>0</v>
      </c>
      <c r="CM211" s="29">
        <f>CM207*CM175/1000</f>
        <v>0</v>
      </c>
      <c r="CN211" s="674">
        <f>CO211+CP211</f>
        <v>0</v>
      </c>
      <c r="CO211" s="29">
        <f>CO207*CO175/1000</f>
        <v>0</v>
      </c>
      <c r="CP211" s="29">
        <f>CP207*CP175/1000</f>
        <v>0</v>
      </c>
      <c r="CQ211" s="674">
        <f>CR211+CS211</f>
        <v>0</v>
      </c>
      <c r="CR211" s="29">
        <f>CR207*CR175/1000</f>
        <v>0</v>
      </c>
      <c r="CS211" s="29">
        <f>CS207*CS175/1000</f>
        <v>0</v>
      </c>
      <c r="CT211" s="22"/>
      <c r="CW211" s="902" t="s">
        <v>681</v>
      </c>
      <c r="CX211" s="907" t="s">
        <v>630</v>
      </c>
      <c r="CY211" s="911">
        <f>AE211</f>
        <v>0</v>
      </c>
      <c r="CZ211" s="911">
        <f>AF211</f>
        <v>0</v>
      </c>
      <c r="DA211" s="908"/>
      <c r="DB211" s="908"/>
    </row>
    <row r="212" spans="1:106" s="1057" customFormat="1" ht="15" hidden="1" customHeight="1">
      <c r="A212" s="769"/>
      <c r="B212" s="718"/>
      <c r="C212" s="1016"/>
      <c r="D212" s="1016"/>
      <c r="E212" s="623">
        <v>0</v>
      </c>
      <c r="F212" s="714" t="str">
        <f t="shared" ca="1" si="115"/>
        <v>1</v>
      </c>
      <c r="G212" s="750"/>
      <c r="H212" s="750"/>
      <c r="I212" s="750"/>
      <c r="J212" s="750"/>
      <c r="K212" s="750"/>
      <c r="L212" s="750"/>
      <c r="M212" s="750"/>
      <c r="N212" s="750"/>
      <c r="O212" s="750"/>
      <c r="P212" s="750"/>
      <c r="Q212" s="750"/>
      <c r="R212" s="1016"/>
      <c r="S212" s="98" t="b">
        <f t="shared" ca="1" si="116"/>
        <v>1</v>
      </c>
      <c r="T212" s="1016"/>
      <c r="U212" s="645" t="b">
        <f t="shared" ca="1" si="96"/>
        <v>1</v>
      </c>
      <c r="V212" s="1016"/>
      <c r="W212" s="1016"/>
      <c r="X212" s="756" t="str">
        <f>"{                  
         funcDyn: 'msg1',
         blok: 'blok_2',
         wsCross: 'Топливо 4.4',
         linkFormula: 'AE-AE#AF-AF',
         levelDyn: "&amp;Y139&amp;"
}"</f>
        <v>{                  
         funcDyn: 'msg1',
         blok: 'blok_2',
         wsCross: 'Топливо 4.4',
         linkFormula: 'AE-AE#AF-AF',
         levelDyn: 1
}</v>
      </c>
      <c r="Y212" s="1382"/>
      <c r="Z212" s="1382"/>
      <c r="AA212" s="646"/>
      <c r="AB212" s="1440"/>
      <c r="AD212" s="759"/>
      <c r="AE212" s="758" t="s">
        <v>172</v>
      </c>
      <c r="AF212" s="685"/>
      <c r="AG212" s="111"/>
      <c r="AH212" s="673"/>
      <c r="AI212" s="675"/>
      <c r="AJ212" s="675"/>
      <c r="AK212" s="675"/>
      <c r="AL212" s="675"/>
      <c r="AM212" s="675"/>
      <c r="AN212" s="675"/>
      <c r="AO212" s="675"/>
      <c r="AP212" s="675"/>
      <c r="AQ212" s="675"/>
      <c r="AR212" s="675"/>
      <c r="AS212" s="675"/>
      <c r="AT212" s="675"/>
      <c r="AU212" s="675"/>
      <c r="AV212" s="675"/>
      <c r="AW212" s="675"/>
      <c r="AX212" s="675"/>
      <c r="AY212" s="675"/>
      <c r="AZ212" s="675"/>
      <c r="BA212" s="675"/>
      <c r="BB212" s="675"/>
      <c r="BC212" s="675"/>
      <c r="BD212" s="675"/>
      <c r="BE212" s="675"/>
      <c r="BF212" s="675"/>
      <c r="BG212" s="675"/>
      <c r="BH212" s="675"/>
      <c r="BI212" s="675"/>
      <c r="BJ212" s="675"/>
      <c r="BK212" s="675"/>
      <c r="BL212" s="675"/>
      <c r="BM212" s="675"/>
      <c r="BN212" s="675"/>
      <c r="BO212" s="675"/>
      <c r="BP212" s="675"/>
      <c r="BQ212" s="675"/>
      <c r="BR212" s="675"/>
      <c r="BS212" s="675"/>
      <c r="BT212" s="675"/>
      <c r="BU212" s="675"/>
      <c r="BV212" s="675"/>
      <c r="BW212" s="675"/>
      <c r="BX212" s="675"/>
      <c r="BY212" s="675"/>
      <c r="BZ212" s="675"/>
      <c r="CA212" s="675"/>
      <c r="CB212" s="675"/>
      <c r="CC212" s="675"/>
      <c r="CD212" s="675"/>
      <c r="CE212" s="675"/>
      <c r="CF212" s="675"/>
      <c r="CG212" s="675"/>
      <c r="CH212" s="675"/>
      <c r="CI212" s="675"/>
      <c r="CJ212" s="675"/>
      <c r="CK212" s="675"/>
      <c r="CL212" s="675"/>
      <c r="CM212" s="675"/>
      <c r="CN212" s="675"/>
      <c r="CO212" s="675"/>
      <c r="CP212" s="675"/>
      <c r="CQ212" s="675"/>
      <c r="CR212" s="675"/>
      <c r="CS212" s="675"/>
      <c r="CT212" s="33"/>
      <c r="CW212" s="902" t="str">
        <f>IF(AND(ISNUMBER(VALUE(TRIM(SUBSTITUTE(AD212,".","")))),TRIM(SUBSTITUTE(AD212,".",""))&lt;&gt;""),"P"&amp;SUBSTITUTE(AD212,".",""),"")</f>
        <v/>
      </c>
      <c r="CX212" s="907"/>
      <c r="CY212" s="907"/>
      <c r="CZ212" s="907"/>
      <c r="DA212" s="908"/>
      <c r="DB212" s="908"/>
    </row>
    <row r="213" spans="1:106" s="1057" customFormat="1" ht="29.25" customHeight="1">
      <c r="A213" s="769"/>
      <c r="B213" s="718"/>
      <c r="C213" s="1016"/>
      <c r="D213" s="1016"/>
      <c r="E213" s="623">
        <v>30</v>
      </c>
      <c r="F213" s="714" t="str">
        <f t="shared" ca="1" si="115"/>
        <v>1</v>
      </c>
      <c r="G213" s="750"/>
      <c r="H213" s="750"/>
      <c r="I213" s="750"/>
      <c r="J213" s="750"/>
      <c r="K213" s="750"/>
      <c r="L213" s="750"/>
      <c r="M213" s="750"/>
      <c r="N213" s="750"/>
      <c r="O213" s="750"/>
      <c r="P213" s="750"/>
      <c r="Q213" s="750"/>
      <c r="R213" s="714" t="s">
        <v>569</v>
      </c>
      <c r="S213" s="98" t="b">
        <f t="shared" ca="1" si="116"/>
        <v>1</v>
      </c>
      <c r="T213" s="1016"/>
      <c r="U213" s="645" t="b">
        <f t="shared" ca="1" si="96"/>
        <v>1</v>
      </c>
      <c r="V213" s="1016"/>
      <c r="W213" s="1016"/>
      <c r="X213" s="1016"/>
      <c r="Y213" s="1382"/>
      <c r="Z213" s="1382"/>
      <c r="AA213" s="646"/>
      <c r="AB213" s="1440"/>
      <c r="AD213" s="111" t="s">
        <v>683</v>
      </c>
      <c r="AE213" s="1447" t="s">
        <v>684</v>
      </c>
      <c r="AF213" s="1448"/>
      <c r="AG213" s="111" t="s">
        <v>648</v>
      </c>
      <c r="AH213" s="672">
        <f t="shared" ref="AH213:BM213" si="119">SUM(AH214:AH215)</f>
        <v>0</v>
      </c>
      <c r="AI213" s="672">
        <f t="shared" si="119"/>
        <v>0</v>
      </c>
      <c r="AJ213" s="672">
        <f t="shared" si="119"/>
        <v>0</v>
      </c>
      <c r="AK213" s="672">
        <f t="shared" si="119"/>
        <v>0</v>
      </c>
      <c r="AL213" s="672">
        <f t="shared" si="119"/>
        <v>0</v>
      </c>
      <c r="AM213" s="672">
        <f t="shared" si="119"/>
        <v>0</v>
      </c>
      <c r="AN213" s="672">
        <f t="shared" si="119"/>
        <v>0</v>
      </c>
      <c r="AO213" s="672">
        <f t="shared" si="119"/>
        <v>0</v>
      </c>
      <c r="AP213" s="672">
        <f t="shared" si="119"/>
        <v>0</v>
      </c>
      <c r="AQ213" s="672">
        <f t="shared" si="119"/>
        <v>0</v>
      </c>
      <c r="AR213" s="672">
        <f t="shared" si="119"/>
        <v>0</v>
      </c>
      <c r="AS213" s="672">
        <f t="shared" si="119"/>
        <v>0</v>
      </c>
      <c r="AT213" s="672">
        <f t="shared" si="119"/>
        <v>0</v>
      </c>
      <c r="AU213" s="672">
        <f t="shared" si="119"/>
        <v>0</v>
      </c>
      <c r="AV213" s="672">
        <f t="shared" si="119"/>
        <v>0</v>
      </c>
      <c r="AW213" s="672">
        <f t="shared" si="119"/>
        <v>0</v>
      </c>
      <c r="AX213" s="672">
        <f t="shared" si="119"/>
        <v>0</v>
      </c>
      <c r="AY213" s="672">
        <f t="shared" si="119"/>
        <v>0</v>
      </c>
      <c r="AZ213" s="672">
        <f t="shared" si="119"/>
        <v>0</v>
      </c>
      <c r="BA213" s="672">
        <f t="shared" si="119"/>
        <v>0</v>
      </c>
      <c r="BB213" s="672">
        <f t="shared" si="119"/>
        <v>0</v>
      </c>
      <c r="BC213" s="672">
        <f t="shared" si="119"/>
        <v>0</v>
      </c>
      <c r="BD213" s="672">
        <f t="shared" si="119"/>
        <v>0</v>
      </c>
      <c r="BE213" s="672">
        <f t="shared" si="119"/>
        <v>0</v>
      </c>
      <c r="BF213" s="672">
        <f t="shared" si="119"/>
        <v>0</v>
      </c>
      <c r="BG213" s="672">
        <f t="shared" si="119"/>
        <v>0</v>
      </c>
      <c r="BH213" s="672">
        <f t="shared" si="119"/>
        <v>0</v>
      </c>
      <c r="BI213" s="672">
        <f t="shared" si="119"/>
        <v>0</v>
      </c>
      <c r="BJ213" s="672">
        <f t="shared" si="119"/>
        <v>0</v>
      </c>
      <c r="BK213" s="672">
        <f t="shared" si="119"/>
        <v>0</v>
      </c>
      <c r="BL213" s="672">
        <f t="shared" si="119"/>
        <v>0</v>
      </c>
      <c r="BM213" s="672">
        <f t="shared" si="119"/>
        <v>0</v>
      </c>
      <c r="BN213" s="672">
        <f t="shared" ref="BN213:CS213" si="120">SUM(BN214:BN215)</f>
        <v>0</v>
      </c>
      <c r="BO213" s="672">
        <f t="shared" si="120"/>
        <v>0</v>
      </c>
      <c r="BP213" s="672">
        <f t="shared" si="120"/>
        <v>0</v>
      </c>
      <c r="BQ213" s="672">
        <f t="shared" si="120"/>
        <v>0</v>
      </c>
      <c r="BR213" s="672">
        <f t="shared" si="120"/>
        <v>0</v>
      </c>
      <c r="BS213" s="672">
        <f t="shared" si="120"/>
        <v>0</v>
      </c>
      <c r="BT213" s="672">
        <f t="shared" si="120"/>
        <v>0</v>
      </c>
      <c r="BU213" s="672">
        <f t="shared" si="120"/>
        <v>0</v>
      </c>
      <c r="BV213" s="672">
        <f t="shared" si="120"/>
        <v>0</v>
      </c>
      <c r="BW213" s="672">
        <f t="shared" si="120"/>
        <v>0</v>
      </c>
      <c r="BX213" s="672">
        <f t="shared" si="120"/>
        <v>0</v>
      </c>
      <c r="BY213" s="672">
        <f t="shared" si="120"/>
        <v>0</v>
      </c>
      <c r="BZ213" s="672">
        <f t="shared" si="120"/>
        <v>0</v>
      </c>
      <c r="CA213" s="672">
        <f t="shared" si="120"/>
        <v>0</v>
      </c>
      <c r="CB213" s="672">
        <f t="shared" si="120"/>
        <v>0</v>
      </c>
      <c r="CC213" s="672">
        <f t="shared" si="120"/>
        <v>0</v>
      </c>
      <c r="CD213" s="672">
        <f t="shared" si="120"/>
        <v>0</v>
      </c>
      <c r="CE213" s="672">
        <f t="shared" si="120"/>
        <v>0</v>
      </c>
      <c r="CF213" s="672">
        <f t="shared" si="120"/>
        <v>0</v>
      </c>
      <c r="CG213" s="672">
        <f t="shared" si="120"/>
        <v>0</v>
      </c>
      <c r="CH213" s="672">
        <f t="shared" si="120"/>
        <v>0</v>
      </c>
      <c r="CI213" s="672">
        <f t="shared" si="120"/>
        <v>0</v>
      </c>
      <c r="CJ213" s="672">
        <f t="shared" si="120"/>
        <v>0</v>
      </c>
      <c r="CK213" s="672">
        <f t="shared" si="120"/>
        <v>0</v>
      </c>
      <c r="CL213" s="672">
        <f t="shared" si="120"/>
        <v>0</v>
      </c>
      <c r="CM213" s="672">
        <f t="shared" si="120"/>
        <v>0</v>
      </c>
      <c r="CN213" s="672">
        <f t="shared" si="120"/>
        <v>0</v>
      </c>
      <c r="CO213" s="672">
        <f t="shared" si="120"/>
        <v>0</v>
      </c>
      <c r="CP213" s="672">
        <f t="shared" si="120"/>
        <v>0</v>
      </c>
      <c r="CQ213" s="672">
        <f t="shared" si="120"/>
        <v>0</v>
      </c>
      <c r="CR213" s="672">
        <f t="shared" si="120"/>
        <v>0</v>
      </c>
      <c r="CS213" s="672">
        <f t="shared" si="120"/>
        <v>0</v>
      </c>
      <c r="CT213" s="1106"/>
      <c r="CW213" s="902" t="s">
        <v>685</v>
      </c>
      <c r="CX213" s="907"/>
      <c r="CY213" s="907"/>
      <c r="CZ213" s="907"/>
      <c r="DA213" s="908"/>
      <c r="DB213" s="908"/>
    </row>
    <row r="214" spans="1:106" s="1057" customFormat="1" ht="16.5" hidden="1" customHeight="1">
      <c r="A214" s="769"/>
      <c r="B214" s="718"/>
      <c r="C214" s="1016"/>
      <c r="D214" s="1016"/>
      <c r="E214" s="623">
        <v>17.100000000000001</v>
      </c>
      <c r="F214" s="714" t="str">
        <f t="shared" ca="1" si="115"/>
        <v>1</v>
      </c>
      <c r="G214" s="750"/>
      <c r="H214" s="750"/>
      <c r="I214" s="750"/>
      <c r="J214" s="750"/>
      <c r="K214" s="750"/>
      <c r="L214" s="750"/>
      <c r="M214" s="750"/>
      <c r="N214" s="750"/>
      <c r="O214" s="750"/>
      <c r="P214" s="750"/>
      <c r="Q214" s="750"/>
      <c r="R214" s="714" t="s">
        <v>569</v>
      </c>
      <c r="S214" s="98" t="b">
        <f t="shared" ca="1" si="116"/>
        <v>1</v>
      </c>
      <c r="T214" s="98" t="b">
        <f>AD214&lt;&gt;"33.0"</f>
        <v>0</v>
      </c>
      <c r="U214" s="645" t="b">
        <f t="shared" ca="1" si="96"/>
        <v>0</v>
      </c>
      <c r="V214" s="1016"/>
      <c r="W214" s="1016"/>
      <c r="X214" s="98" t="s">
        <v>170</v>
      </c>
      <c r="Y214" s="1382"/>
      <c r="Z214" s="1382"/>
      <c r="AA214" s="646"/>
      <c r="AB214" s="1440"/>
      <c r="AD214" s="99" t="s">
        <v>686</v>
      </c>
      <c r="AE214" s="757"/>
      <c r="AF214" s="475"/>
      <c r="AG214" s="111" t="s">
        <v>648</v>
      </c>
      <c r="AH214" s="28">
        <f>AH$163*AH211</f>
        <v>0</v>
      </c>
      <c r="AI214" s="29">
        <f>AI$163*AI211</f>
        <v>0</v>
      </c>
      <c r="AJ214" s="29">
        <f>AJ$163*AJ211</f>
        <v>0</v>
      </c>
      <c r="AK214" s="29">
        <f>AK$163*AK211</f>
        <v>0</v>
      </c>
      <c r="AL214" s="674">
        <f>AM214+AN214</f>
        <v>0</v>
      </c>
      <c r="AM214" s="29">
        <f>AM$163*AM211</f>
        <v>0</v>
      </c>
      <c r="AN214" s="29">
        <f>AN$163*AN211</f>
        <v>0</v>
      </c>
      <c r="AO214" s="674">
        <f>AP214+AQ214</f>
        <v>0</v>
      </c>
      <c r="AP214" s="1111">
        <f>AP$163*AP211</f>
        <v>0</v>
      </c>
      <c r="AQ214" s="1111">
        <f>AQ$163*AQ211</f>
        <v>0</v>
      </c>
      <c r="AR214" s="674">
        <f>AS214+AT214</f>
        <v>0</v>
      </c>
      <c r="AS214" s="1111">
        <f>AS$163*AS211</f>
        <v>0</v>
      </c>
      <c r="AT214" s="1111">
        <f>AT$163*AT211</f>
        <v>0</v>
      </c>
      <c r="AU214" s="674">
        <f>AV214+AW214</f>
        <v>0</v>
      </c>
      <c r="AV214" s="29">
        <f>AV$163*AV211</f>
        <v>0</v>
      </c>
      <c r="AW214" s="29">
        <f>AW$163*AW211</f>
        <v>0</v>
      </c>
      <c r="AX214" s="674">
        <f>AY214+AZ214</f>
        <v>0</v>
      </c>
      <c r="AY214" s="29">
        <f>AY$163*AY211</f>
        <v>0</v>
      </c>
      <c r="AZ214" s="29">
        <f>AZ$163*AZ211</f>
        <v>0</v>
      </c>
      <c r="BA214" s="674">
        <f>BB214+BC214</f>
        <v>0</v>
      </c>
      <c r="BB214" s="29">
        <f>BB$163*BB211</f>
        <v>0</v>
      </c>
      <c r="BC214" s="29">
        <f>BC$163*BC211</f>
        <v>0</v>
      </c>
      <c r="BD214" s="674">
        <f>BE214+BF214</f>
        <v>0</v>
      </c>
      <c r="BE214" s="29">
        <f>BE$163*BE211</f>
        <v>0</v>
      </c>
      <c r="BF214" s="29">
        <f>BF$163*BF211</f>
        <v>0</v>
      </c>
      <c r="BG214" s="674">
        <f>BH214+BI214</f>
        <v>0</v>
      </c>
      <c r="BH214" s="29">
        <f>BH$163*BH211</f>
        <v>0</v>
      </c>
      <c r="BI214" s="29">
        <f>BI$163*BI211</f>
        <v>0</v>
      </c>
      <c r="BJ214" s="674">
        <f>BK214+BL214</f>
        <v>0</v>
      </c>
      <c r="BK214" s="29">
        <f>BK$163*BK211</f>
        <v>0</v>
      </c>
      <c r="BL214" s="29">
        <f>BL$163*BL211</f>
        <v>0</v>
      </c>
      <c r="BM214" s="674">
        <f>BN214+BO214</f>
        <v>0</v>
      </c>
      <c r="BN214" s="29">
        <f>BN$163*BN211</f>
        <v>0</v>
      </c>
      <c r="BO214" s="29">
        <f>BO$163*BO211</f>
        <v>0</v>
      </c>
      <c r="BP214" s="674">
        <f>BQ214+BR214</f>
        <v>0</v>
      </c>
      <c r="BQ214" s="762">
        <f>BQ$163*BQ211</f>
        <v>0</v>
      </c>
      <c r="BR214" s="762">
        <f>BR$163*BR211</f>
        <v>0</v>
      </c>
      <c r="BS214" s="674">
        <f>BT214+BU214</f>
        <v>0</v>
      </c>
      <c r="BT214" s="1111">
        <f>BT$163*BT211</f>
        <v>0</v>
      </c>
      <c r="BU214" s="1111">
        <f>BU$163*BU211</f>
        <v>0</v>
      </c>
      <c r="BV214" s="674">
        <f>BW214+BX214</f>
        <v>0</v>
      </c>
      <c r="BW214" s="1111">
        <f>BW$163*BW211</f>
        <v>0</v>
      </c>
      <c r="BX214" s="1111">
        <f>BX$163*BX211</f>
        <v>0</v>
      </c>
      <c r="BY214" s="674">
        <f>BZ214+CA214</f>
        <v>0</v>
      </c>
      <c r="BZ214" s="29">
        <f>BZ$163*BZ211</f>
        <v>0</v>
      </c>
      <c r="CA214" s="29">
        <f>CA$163*CA211</f>
        <v>0</v>
      </c>
      <c r="CB214" s="674">
        <f>CC214+CD214</f>
        <v>0</v>
      </c>
      <c r="CC214" s="29">
        <f>CC$163*CC211</f>
        <v>0</v>
      </c>
      <c r="CD214" s="29">
        <f>CD$163*CD211</f>
        <v>0</v>
      </c>
      <c r="CE214" s="674">
        <f>CF214+CG214</f>
        <v>0</v>
      </c>
      <c r="CF214" s="29">
        <f>CF$163*CF211</f>
        <v>0</v>
      </c>
      <c r="CG214" s="29">
        <f>CG$163*CG211</f>
        <v>0</v>
      </c>
      <c r="CH214" s="674">
        <f>CI214+CJ214</f>
        <v>0</v>
      </c>
      <c r="CI214" s="29">
        <f>CI$163*CI211</f>
        <v>0</v>
      </c>
      <c r="CJ214" s="29">
        <f>CJ$163*CJ211</f>
        <v>0</v>
      </c>
      <c r="CK214" s="674">
        <f>CL214+CM214</f>
        <v>0</v>
      </c>
      <c r="CL214" s="29">
        <f>CL$163*CL211</f>
        <v>0</v>
      </c>
      <c r="CM214" s="29">
        <f>CM$163*CM211</f>
        <v>0</v>
      </c>
      <c r="CN214" s="674">
        <f>CO214+CP214</f>
        <v>0</v>
      </c>
      <c r="CO214" s="29">
        <f>CO$163*CO211</f>
        <v>0</v>
      </c>
      <c r="CP214" s="29">
        <f>CP$163*CP211</f>
        <v>0</v>
      </c>
      <c r="CQ214" s="674">
        <f>CR214+CS214</f>
        <v>0</v>
      </c>
      <c r="CR214" s="29">
        <f>CR$163*CR211</f>
        <v>0</v>
      </c>
      <c r="CS214" s="29">
        <f>CS$163*CS211</f>
        <v>0</v>
      </c>
      <c r="CT214" s="22"/>
      <c r="CW214" s="902" t="s">
        <v>685</v>
      </c>
      <c r="CX214" s="907" t="s">
        <v>630</v>
      </c>
      <c r="CY214" s="911">
        <f>AE214</f>
        <v>0</v>
      </c>
      <c r="CZ214" s="911">
        <f>AF214</f>
        <v>0</v>
      </c>
      <c r="DA214" s="908"/>
      <c r="DB214" s="908"/>
    </row>
    <row r="215" spans="1:106" s="1057" customFormat="1" ht="15" hidden="1" customHeight="1">
      <c r="A215" s="769"/>
      <c r="B215" s="718"/>
      <c r="C215" s="1016"/>
      <c r="D215" s="1016"/>
      <c r="E215" s="623">
        <v>0</v>
      </c>
      <c r="F215" s="714" t="str">
        <f t="shared" ca="1" si="115"/>
        <v>1</v>
      </c>
      <c r="G215" s="750"/>
      <c r="H215" s="750"/>
      <c r="I215" s="750"/>
      <c r="J215" s="750"/>
      <c r="K215" s="750"/>
      <c r="L215" s="750"/>
      <c r="M215" s="750"/>
      <c r="N215" s="750"/>
      <c r="O215" s="750"/>
      <c r="P215" s="750"/>
      <c r="Q215" s="750"/>
      <c r="R215" s="1016"/>
      <c r="S215" s="98" t="b">
        <f t="shared" ca="1" si="116"/>
        <v>1</v>
      </c>
      <c r="T215" s="1016"/>
      <c r="U215" s="645" t="b">
        <f t="shared" ca="1" si="96"/>
        <v>1</v>
      </c>
      <c r="V215" s="1016"/>
      <c r="W215" s="1016"/>
      <c r="X215" s="756" t="str">
        <f>"{                  
         funcDyn: 'msg1',
         blok: 'blok_2',
         wsCross: 'Топливо 4.4',
         linkFormula: 'AE-AE#AF-AF',
         levelDyn: "&amp;Y139&amp;"
}"</f>
        <v>{                  
         funcDyn: 'msg1',
         blok: 'blok_2',
         wsCross: 'Топливо 4.4',
         linkFormula: 'AE-AE#AF-AF',
         levelDyn: 1
}</v>
      </c>
      <c r="Y215" s="1382"/>
      <c r="Z215" s="1382"/>
      <c r="AA215" s="646"/>
      <c r="AB215" s="1441"/>
      <c r="AD215" s="759"/>
      <c r="AE215" s="758" t="s">
        <v>172</v>
      </c>
      <c r="AF215" s="685"/>
      <c r="AG215" s="111"/>
      <c r="AH215" s="673"/>
      <c r="AI215" s="675"/>
      <c r="AJ215" s="675"/>
      <c r="AK215" s="675"/>
      <c r="AL215" s="675"/>
      <c r="AM215" s="675"/>
      <c r="AN215" s="675"/>
      <c r="AO215" s="675"/>
      <c r="AP215" s="675"/>
      <c r="AQ215" s="675"/>
      <c r="AR215" s="675"/>
      <c r="AS215" s="675"/>
      <c r="AT215" s="675"/>
      <c r="AU215" s="675"/>
      <c r="AV215" s="675"/>
      <c r="AW215" s="675"/>
      <c r="AX215" s="675"/>
      <c r="AY215" s="675"/>
      <c r="AZ215" s="675"/>
      <c r="BA215" s="675"/>
      <c r="BB215" s="675"/>
      <c r="BC215" s="675"/>
      <c r="BD215" s="675"/>
      <c r="BE215" s="675"/>
      <c r="BF215" s="675"/>
      <c r="BG215" s="675"/>
      <c r="BH215" s="675"/>
      <c r="BI215" s="675"/>
      <c r="BJ215" s="675"/>
      <c r="BK215" s="675"/>
      <c r="BL215" s="675"/>
      <c r="BM215" s="675"/>
      <c r="BN215" s="675"/>
      <c r="BO215" s="675"/>
      <c r="BP215" s="675"/>
      <c r="BQ215" s="675"/>
      <c r="BR215" s="675"/>
      <c r="BS215" s="675"/>
      <c r="BT215" s="675"/>
      <c r="BU215" s="675"/>
      <c r="BV215" s="675"/>
      <c r="BW215" s="675"/>
      <c r="BX215" s="675"/>
      <c r="BY215" s="675"/>
      <c r="BZ215" s="675"/>
      <c r="CA215" s="675"/>
      <c r="CB215" s="675"/>
      <c r="CC215" s="675"/>
      <c r="CD215" s="675"/>
      <c r="CE215" s="675"/>
      <c r="CF215" s="675"/>
      <c r="CG215" s="675"/>
      <c r="CH215" s="675"/>
      <c r="CI215" s="675"/>
      <c r="CJ215" s="675"/>
      <c r="CK215" s="675"/>
      <c r="CL215" s="675"/>
      <c r="CM215" s="675"/>
      <c r="CN215" s="675"/>
      <c r="CO215" s="675"/>
      <c r="CP215" s="675"/>
      <c r="CQ215" s="675"/>
      <c r="CR215" s="675"/>
      <c r="CS215" s="675"/>
      <c r="CT215" s="33"/>
      <c r="CW215" s="902" t="str">
        <f>IF(AND(ISNUMBER(VALUE(TRIM(SUBSTITUTE(AD215,".","")))),TRIM(SUBSTITUTE(AD215,".",""))&lt;&gt;""),"P"&amp;SUBSTITUTE(AD215,".",""),"")</f>
        <v/>
      </c>
      <c r="CX215" s="907"/>
      <c r="CY215" s="907"/>
      <c r="CZ215" s="907"/>
      <c r="DA215" s="908"/>
      <c r="DB215" s="908"/>
    </row>
    <row r="216" spans="1:106" s="1057" customFormat="1" ht="16.5" customHeight="1">
      <c r="A216" s="769"/>
      <c r="B216" s="718"/>
      <c r="C216" s="1016"/>
      <c r="D216" s="1016"/>
      <c r="E216" s="623">
        <v>17.100000000000001</v>
      </c>
      <c r="F216" s="714" t="str">
        <f t="shared" ca="1" si="115"/>
        <v>1</v>
      </c>
      <c r="G216" s="750"/>
      <c r="H216" s="750"/>
      <c r="I216" s="750"/>
      <c r="J216" s="750"/>
      <c r="K216" s="750"/>
      <c r="L216" s="750"/>
      <c r="M216" s="750"/>
      <c r="N216" s="750"/>
      <c r="O216" s="750"/>
      <c r="P216" s="750"/>
      <c r="Q216" s="750"/>
      <c r="R216" s="1016"/>
      <c r="S216" s="98" t="b">
        <f t="shared" ca="1" si="116"/>
        <v>1</v>
      </c>
      <c r="T216" s="1016"/>
      <c r="U216" s="645" t="b">
        <f t="shared" ca="1" si="96"/>
        <v>1</v>
      </c>
      <c r="V216" s="1016"/>
      <c r="W216" s="1016"/>
      <c r="X216" s="1016"/>
      <c r="Y216" s="1382"/>
      <c r="Z216" s="1382"/>
      <c r="AA216" s="646"/>
      <c r="AB216" s="1430" t="s">
        <v>687</v>
      </c>
      <c r="AD216" s="111" t="s">
        <v>688</v>
      </c>
      <c r="AE216" s="1442" t="s">
        <v>689</v>
      </c>
      <c r="AF216" s="1413"/>
      <c r="AG216" s="477"/>
      <c r="AH216" s="673"/>
      <c r="AI216" s="675"/>
      <c r="AJ216" s="675"/>
      <c r="AK216" s="675"/>
      <c r="AL216" s="675"/>
      <c r="AM216" s="675"/>
      <c r="AN216" s="675"/>
      <c r="AO216" s="675"/>
      <c r="AP216" s="675"/>
      <c r="AQ216" s="675"/>
      <c r="AR216" s="675"/>
      <c r="AS216" s="675"/>
      <c r="AT216" s="675"/>
      <c r="AU216" s="675"/>
      <c r="AV216" s="675"/>
      <c r="AW216" s="675"/>
      <c r="AX216" s="675"/>
      <c r="AY216" s="675"/>
      <c r="AZ216" s="675"/>
      <c r="BA216" s="675"/>
      <c r="BB216" s="675"/>
      <c r="BC216" s="675"/>
      <c r="BD216" s="675"/>
      <c r="BE216" s="675"/>
      <c r="BF216" s="675"/>
      <c r="BG216" s="675"/>
      <c r="BH216" s="675"/>
      <c r="BI216" s="675"/>
      <c r="BJ216" s="675"/>
      <c r="BK216" s="675"/>
      <c r="BL216" s="675"/>
      <c r="BM216" s="675"/>
      <c r="BN216" s="675"/>
      <c r="BO216" s="675"/>
      <c r="BP216" s="675"/>
      <c r="BQ216" s="675"/>
      <c r="BR216" s="675"/>
      <c r="BS216" s="675"/>
      <c r="BT216" s="675"/>
      <c r="BU216" s="675"/>
      <c r="BV216" s="675"/>
      <c r="BW216" s="675"/>
      <c r="BX216" s="675"/>
      <c r="BY216" s="675"/>
      <c r="BZ216" s="675"/>
      <c r="CA216" s="675"/>
      <c r="CB216" s="675"/>
      <c r="CC216" s="675"/>
      <c r="CD216" s="675"/>
      <c r="CE216" s="675"/>
      <c r="CF216" s="675"/>
      <c r="CG216" s="675"/>
      <c r="CH216" s="675"/>
      <c r="CI216" s="675"/>
      <c r="CJ216" s="675"/>
      <c r="CK216" s="675"/>
      <c r="CL216" s="675"/>
      <c r="CM216" s="675"/>
      <c r="CN216" s="675"/>
      <c r="CO216" s="675"/>
      <c r="CP216" s="675"/>
      <c r="CQ216" s="675"/>
      <c r="CR216" s="675"/>
      <c r="CS216" s="675"/>
      <c r="CT216" s="1106"/>
      <c r="CW216" s="902" t="s">
        <v>690</v>
      </c>
      <c r="CX216" s="907"/>
      <c r="CY216" s="907"/>
      <c r="CZ216" s="907"/>
      <c r="DA216" s="908"/>
      <c r="DB216" s="908"/>
    </row>
    <row r="217" spans="1:106" s="1057" customFormat="1" ht="16.5" hidden="1" customHeight="1">
      <c r="A217" s="769"/>
      <c r="B217" s="718"/>
      <c r="C217" s="1016"/>
      <c r="D217" s="1016"/>
      <c r="E217" s="623">
        <v>17.100000000000001</v>
      </c>
      <c r="F217" s="714" t="str">
        <f t="shared" ca="1" si="115"/>
        <v>1</v>
      </c>
      <c r="G217" s="750"/>
      <c r="H217" s="750"/>
      <c r="I217" s="750"/>
      <c r="J217" s="750"/>
      <c r="K217" s="750"/>
      <c r="L217" s="750"/>
      <c r="M217" s="750"/>
      <c r="N217" s="750"/>
      <c r="O217" s="750"/>
      <c r="P217" s="750"/>
      <c r="Q217" s="750"/>
      <c r="R217" s="1016"/>
      <c r="S217" s="98" t="b">
        <f t="shared" ca="1" si="116"/>
        <v>1</v>
      </c>
      <c r="T217" s="98" t="b">
        <f>AD217&lt;&gt;"34.0"</f>
        <v>0</v>
      </c>
      <c r="U217" s="645" t="b">
        <f t="shared" ca="1" si="96"/>
        <v>0</v>
      </c>
      <c r="V217" s="1016"/>
      <c r="W217" s="1016"/>
      <c r="X217" s="98" t="s">
        <v>170</v>
      </c>
      <c r="Y217" s="1382"/>
      <c r="Z217" s="1382"/>
      <c r="AA217" s="646"/>
      <c r="AB217" s="1431"/>
      <c r="AD217" s="99" t="s">
        <v>691</v>
      </c>
      <c r="AE217" s="757"/>
      <c r="AF217" s="475"/>
      <c r="AG217" s="111" t="s">
        <v>388</v>
      </c>
      <c r="AH217" s="32"/>
      <c r="AI217" s="36"/>
      <c r="AJ217" s="36"/>
      <c r="AK217" s="36"/>
      <c r="AL217" s="675"/>
      <c r="AM217" s="36"/>
      <c r="AN217" s="36"/>
      <c r="AO217" s="675"/>
      <c r="AP217" s="1115"/>
      <c r="AQ217" s="1115"/>
      <c r="AR217" s="675"/>
      <c r="AS217" s="1115"/>
      <c r="AT217" s="1115"/>
      <c r="AU217" s="675"/>
      <c r="AV217" s="36"/>
      <c r="AW217" s="36"/>
      <c r="AX217" s="675"/>
      <c r="AY217" s="36"/>
      <c r="AZ217" s="36"/>
      <c r="BA217" s="675"/>
      <c r="BB217" s="36"/>
      <c r="BC217" s="36"/>
      <c r="BD217" s="675"/>
      <c r="BE217" s="36"/>
      <c r="BF217" s="36"/>
      <c r="BG217" s="675"/>
      <c r="BH217" s="36"/>
      <c r="BI217" s="36"/>
      <c r="BJ217" s="675"/>
      <c r="BK217" s="36"/>
      <c r="BL217" s="36"/>
      <c r="BM217" s="675"/>
      <c r="BN217" s="36"/>
      <c r="BO217" s="36"/>
      <c r="BP217" s="675"/>
      <c r="BQ217" s="765"/>
      <c r="BR217" s="765"/>
      <c r="BS217" s="675"/>
      <c r="BT217" s="1115"/>
      <c r="BU217" s="1115"/>
      <c r="BV217" s="675"/>
      <c r="BW217" s="1115"/>
      <c r="BX217" s="1115"/>
      <c r="BY217" s="675"/>
      <c r="BZ217" s="36"/>
      <c r="CA217" s="36"/>
      <c r="CB217" s="675"/>
      <c r="CC217" s="36"/>
      <c r="CD217" s="36"/>
      <c r="CE217" s="675"/>
      <c r="CF217" s="36"/>
      <c r="CG217" s="36"/>
      <c r="CH217" s="675"/>
      <c r="CI217" s="36"/>
      <c r="CJ217" s="36"/>
      <c r="CK217" s="675"/>
      <c r="CL217" s="36"/>
      <c r="CM217" s="36"/>
      <c r="CN217" s="675"/>
      <c r="CO217" s="36"/>
      <c r="CP217" s="36"/>
      <c r="CQ217" s="675"/>
      <c r="CR217" s="36"/>
      <c r="CS217" s="36"/>
      <c r="CT217" s="22"/>
      <c r="CW217" s="902" t="s">
        <v>690</v>
      </c>
      <c r="CX217" s="907" t="s">
        <v>630</v>
      </c>
      <c r="CY217" s="911">
        <f>AE217</f>
        <v>0</v>
      </c>
      <c r="CZ217" s="911">
        <f>AF217</f>
        <v>0</v>
      </c>
      <c r="DA217" s="908"/>
      <c r="DB217" s="908"/>
    </row>
    <row r="218" spans="1:106" s="1057" customFormat="1" ht="15" hidden="1" customHeight="1">
      <c r="A218" s="769"/>
      <c r="B218" s="718"/>
      <c r="C218" s="1016"/>
      <c r="D218" s="1016"/>
      <c r="E218" s="623">
        <v>0</v>
      </c>
      <c r="F218" s="714" t="str">
        <f t="shared" ca="1" si="115"/>
        <v>1</v>
      </c>
      <c r="G218" s="750"/>
      <c r="H218" s="750"/>
      <c r="I218" s="750"/>
      <c r="J218" s="750"/>
      <c r="K218" s="750"/>
      <c r="L218" s="750"/>
      <c r="M218" s="750"/>
      <c r="N218" s="750"/>
      <c r="O218" s="750"/>
      <c r="P218" s="750"/>
      <c r="Q218" s="750"/>
      <c r="R218" s="1016"/>
      <c r="S218" s="98" t="b">
        <f t="shared" ca="1" si="116"/>
        <v>1</v>
      </c>
      <c r="T218" s="1016"/>
      <c r="U218" s="645" t="b">
        <f t="shared" ca="1" si="96"/>
        <v>1</v>
      </c>
      <c r="V218" s="1016"/>
      <c r="W218" s="1016"/>
      <c r="X218" s="756" t="str">
        <f>"{                  
         funcDyn: 'msg1',
         blok: 'blok_2',
         wsCross: 'Топливо 4.4',
         linkFormula: 'AE-AE#AF-AF',
         levelDyn: "&amp;Y139&amp;"
}"</f>
        <v>{                  
         funcDyn: 'msg1',
         blok: 'blok_2',
         wsCross: 'Топливо 4.4',
         linkFormula: 'AE-AE#AF-AF',
         levelDyn: 1
}</v>
      </c>
      <c r="Y218" s="1382"/>
      <c r="Z218" s="1382"/>
      <c r="AA218" s="646"/>
      <c r="AB218" s="1431"/>
      <c r="AD218" s="759"/>
      <c r="AE218" s="758" t="s">
        <v>172</v>
      </c>
      <c r="AF218" s="685"/>
      <c r="AG218" s="111"/>
      <c r="AH218" s="686"/>
      <c r="AI218" s="37"/>
      <c r="AJ218" s="37"/>
      <c r="AK218" s="37"/>
      <c r="AL218" s="675"/>
      <c r="AM218" s="37"/>
      <c r="AN218" s="37"/>
      <c r="AO218" s="675"/>
      <c r="AP218" s="37"/>
      <c r="AQ218" s="37"/>
      <c r="AR218" s="675"/>
      <c r="AS218" s="37"/>
      <c r="AT218" s="37"/>
      <c r="AU218" s="675"/>
      <c r="AV218" s="37"/>
      <c r="AW218" s="37"/>
      <c r="AX218" s="675"/>
      <c r="AY218" s="37"/>
      <c r="AZ218" s="37"/>
      <c r="BA218" s="675"/>
      <c r="BB218" s="37"/>
      <c r="BC218" s="37"/>
      <c r="BD218" s="675"/>
      <c r="BE218" s="37"/>
      <c r="BF218" s="37"/>
      <c r="BG218" s="675"/>
      <c r="BH218" s="37"/>
      <c r="BI218" s="37"/>
      <c r="BJ218" s="675"/>
      <c r="BK218" s="37"/>
      <c r="BL218" s="37"/>
      <c r="BM218" s="675"/>
      <c r="BN218" s="37"/>
      <c r="BO218" s="37"/>
      <c r="BP218" s="675"/>
      <c r="BQ218" s="37"/>
      <c r="BR218" s="37"/>
      <c r="BS218" s="675"/>
      <c r="BT218" s="37"/>
      <c r="BU218" s="37"/>
      <c r="BV218" s="675"/>
      <c r="BW218" s="37"/>
      <c r="BX218" s="37"/>
      <c r="BY218" s="675"/>
      <c r="BZ218" s="37"/>
      <c r="CA218" s="37"/>
      <c r="CB218" s="675"/>
      <c r="CC218" s="37"/>
      <c r="CD218" s="37"/>
      <c r="CE218" s="675"/>
      <c r="CF218" s="37"/>
      <c r="CG218" s="37"/>
      <c r="CH218" s="675"/>
      <c r="CI218" s="37"/>
      <c r="CJ218" s="37"/>
      <c r="CK218" s="675"/>
      <c r="CL218" s="37"/>
      <c r="CM218" s="37"/>
      <c r="CN218" s="675"/>
      <c r="CO218" s="37"/>
      <c r="CP218" s="37"/>
      <c r="CQ218" s="675"/>
      <c r="CR218" s="37"/>
      <c r="CS218" s="37"/>
      <c r="CT218" s="33"/>
      <c r="CW218" s="902" t="str">
        <f>IF(AND(ISNUMBER(VALUE(TRIM(SUBSTITUTE(AD218,".","")))),TRIM(SUBSTITUTE(AD218,".",""))&lt;&gt;""),"P"&amp;SUBSTITUTE(AD218,".",""),"")</f>
        <v/>
      </c>
      <c r="CX218" s="907"/>
      <c r="CY218" s="907"/>
      <c r="CZ218" s="907"/>
      <c r="DA218" s="908"/>
      <c r="DB218" s="908"/>
    </row>
    <row r="219" spans="1:106" s="1057" customFormat="1" ht="16.5" customHeight="1">
      <c r="A219" s="769"/>
      <c r="B219" s="718"/>
      <c r="C219" s="1016"/>
      <c r="D219" s="1016"/>
      <c r="E219" s="623">
        <v>17.100000000000001</v>
      </c>
      <c r="F219" s="714" t="str">
        <f t="shared" ca="1" si="115"/>
        <v>1</v>
      </c>
      <c r="G219" s="750"/>
      <c r="H219" s="750"/>
      <c r="I219" s="750"/>
      <c r="J219" s="750"/>
      <c r="K219" s="750"/>
      <c r="L219" s="750"/>
      <c r="M219" s="750"/>
      <c r="N219" s="750"/>
      <c r="O219" s="750"/>
      <c r="P219" s="750"/>
      <c r="Q219" s="750"/>
      <c r="R219" s="1016"/>
      <c r="S219" s="98" t="b">
        <f t="shared" ca="1" si="116"/>
        <v>1</v>
      </c>
      <c r="T219" s="1016"/>
      <c r="U219" s="645" t="b">
        <f t="shared" ca="1" si="96"/>
        <v>1</v>
      </c>
      <c r="V219" s="1016"/>
      <c r="W219" s="1016"/>
      <c r="X219" s="1016"/>
      <c r="Y219" s="1382"/>
      <c r="Z219" s="1382"/>
      <c r="AA219" s="646"/>
      <c r="AB219" s="1431"/>
      <c r="AD219" s="111" t="s">
        <v>692</v>
      </c>
      <c r="AE219" s="1442" t="s">
        <v>693</v>
      </c>
      <c r="AF219" s="1413"/>
      <c r="AG219" s="477"/>
      <c r="AH219" s="673"/>
      <c r="AI219" s="675"/>
      <c r="AJ219" s="675"/>
      <c r="AK219" s="675"/>
      <c r="AL219" s="675"/>
      <c r="AM219" s="675"/>
      <c r="AN219" s="675"/>
      <c r="AO219" s="675"/>
      <c r="AP219" s="675"/>
      <c r="AQ219" s="675"/>
      <c r="AR219" s="675"/>
      <c r="AS219" s="675"/>
      <c r="AT219" s="675"/>
      <c r="AU219" s="675"/>
      <c r="AV219" s="675"/>
      <c r="AW219" s="675"/>
      <c r="AX219" s="675"/>
      <c r="AY219" s="675"/>
      <c r="AZ219" s="675"/>
      <c r="BA219" s="675"/>
      <c r="BB219" s="675"/>
      <c r="BC219" s="675"/>
      <c r="BD219" s="675"/>
      <c r="BE219" s="675"/>
      <c r="BF219" s="675"/>
      <c r="BG219" s="675"/>
      <c r="BH219" s="675"/>
      <c r="BI219" s="675"/>
      <c r="BJ219" s="675"/>
      <c r="BK219" s="675"/>
      <c r="BL219" s="675"/>
      <c r="BM219" s="675"/>
      <c r="BN219" s="675"/>
      <c r="BO219" s="675"/>
      <c r="BP219" s="675"/>
      <c r="BQ219" s="675"/>
      <c r="BR219" s="675"/>
      <c r="BS219" s="675"/>
      <c r="BT219" s="675"/>
      <c r="BU219" s="675"/>
      <c r="BV219" s="675"/>
      <c r="BW219" s="675"/>
      <c r="BX219" s="675"/>
      <c r="BY219" s="675"/>
      <c r="BZ219" s="675"/>
      <c r="CA219" s="675"/>
      <c r="CB219" s="675"/>
      <c r="CC219" s="675"/>
      <c r="CD219" s="675"/>
      <c r="CE219" s="675"/>
      <c r="CF219" s="675"/>
      <c r="CG219" s="675"/>
      <c r="CH219" s="675"/>
      <c r="CI219" s="675"/>
      <c r="CJ219" s="675"/>
      <c r="CK219" s="675"/>
      <c r="CL219" s="675"/>
      <c r="CM219" s="675"/>
      <c r="CN219" s="675"/>
      <c r="CO219" s="675"/>
      <c r="CP219" s="675"/>
      <c r="CQ219" s="675"/>
      <c r="CR219" s="675"/>
      <c r="CS219" s="675"/>
      <c r="CT219" s="1106"/>
      <c r="CW219" s="902" t="s">
        <v>694</v>
      </c>
      <c r="CX219" s="907"/>
      <c r="CY219" s="907"/>
      <c r="CZ219" s="907"/>
      <c r="DA219" s="908"/>
      <c r="DB219" s="908"/>
    </row>
    <row r="220" spans="1:106" s="1057" customFormat="1" ht="16.5" hidden="1" customHeight="1">
      <c r="A220" s="769"/>
      <c r="B220" s="718"/>
      <c r="C220" s="1016"/>
      <c r="D220" s="1016"/>
      <c r="E220" s="623">
        <v>17.100000000000001</v>
      </c>
      <c r="F220" s="714" t="str">
        <f t="shared" ca="1" si="115"/>
        <v>1</v>
      </c>
      <c r="G220" s="750"/>
      <c r="H220" s="750"/>
      <c r="I220" s="750"/>
      <c r="J220" s="750"/>
      <c r="K220" s="750"/>
      <c r="L220" s="750"/>
      <c r="M220" s="750"/>
      <c r="N220" s="750"/>
      <c r="O220" s="750"/>
      <c r="P220" s="750"/>
      <c r="Q220" s="750"/>
      <c r="R220" s="1016"/>
      <c r="S220" s="98" t="b">
        <f t="shared" ca="1" si="116"/>
        <v>1</v>
      </c>
      <c r="T220" s="98" t="b">
        <f>AD220&lt;&gt;"35.0"</f>
        <v>0</v>
      </c>
      <c r="U220" s="645" t="b">
        <f t="shared" ref="U220:U283" ca="1" si="121">AND(S220,IF(ISBLANK(T220),TRUE,T220))</f>
        <v>0</v>
      </c>
      <c r="V220" s="1016"/>
      <c r="W220" s="1016"/>
      <c r="X220" s="98" t="s">
        <v>170</v>
      </c>
      <c r="Y220" s="1382"/>
      <c r="Z220" s="1382"/>
      <c r="AA220" s="646"/>
      <c r="AB220" s="1431"/>
      <c r="AD220" s="99" t="s">
        <v>695</v>
      </c>
      <c r="AE220" s="757"/>
      <c r="AF220" s="475"/>
      <c r="AG220" s="835" t="str">
        <f>"руб./"&amp;IFERROR(INDEX(fuel_ed_izm_list,MATCH(AE220,fuel_list,0)),"")</f>
        <v>руб./</v>
      </c>
      <c r="AH220" s="28">
        <f>IFERROR(AH224/AH175,0)*1000</f>
        <v>0</v>
      </c>
      <c r="AI220" s="28">
        <f>IFERROR(AI224/AI175,0)*1000</f>
        <v>0</v>
      </c>
      <c r="AJ220" s="28">
        <f>IFERROR(AJ224/AJ175,0)*1000</f>
        <v>0</v>
      </c>
      <c r="AK220" s="28">
        <f>IFERROR(AK224/AK175,0)*1000</f>
        <v>0</v>
      </c>
      <c r="AL220" s="674">
        <f>IFERROR(AL224/AL175,0)*1000</f>
        <v>0</v>
      </c>
      <c r="AM220" s="29"/>
      <c r="AN220" s="29"/>
      <c r="AO220" s="674">
        <f>IFERROR(AO224/AO175,0)*1000</f>
        <v>0</v>
      </c>
      <c r="AP220" s="1111"/>
      <c r="AQ220" s="1111"/>
      <c r="AR220" s="674">
        <f>IFERROR(AR224/AR175,0)*1000</f>
        <v>0</v>
      </c>
      <c r="AS220" s="1111"/>
      <c r="AT220" s="1111"/>
      <c r="AU220" s="674">
        <f>IFERROR(AU224/AU175,0)*1000</f>
        <v>0</v>
      </c>
      <c r="AV220" s="29"/>
      <c r="AW220" s="29"/>
      <c r="AX220" s="674">
        <f>IFERROR(AX224/AX175,0)*1000</f>
        <v>0</v>
      </c>
      <c r="AY220" s="29"/>
      <c r="AZ220" s="29"/>
      <c r="BA220" s="674">
        <f>IFERROR(BA224/BA175,0)*1000</f>
        <v>0</v>
      </c>
      <c r="BB220" s="29"/>
      <c r="BC220" s="29"/>
      <c r="BD220" s="674">
        <f>IFERROR(BD224/BD175,0)*1000</f>
        <v>0</v>
      </c>
      <c r="BE220" s="29"/>
      <c r="BF220" s="29"/>
      <c r="BG220" s="674">
        <f>IFERROR(BG224/BG175,0)*1000</f>
        <v>0</v>
      </c>
      <c r="BH220" s="29"/>
      <c r="BI220" s="29"/>
      <c r="BJ220" s="674">
        <f>IFERROR(BJ224/BJ175,0)*1000</f>
        <v>0</v>
      </c>
      <c r="BK220" s="29"/>
      <c r="BL220" s="29"/>
      <c r="BM220" s="674">
        <f>IFERROR(BM224/BM175,0)*1000</f>
        <v>0</v>
      </c>
      <c r="BN220" s="29"/>
      <c r="BO220" s="29"/>
      <c r="BP220" s="674">
        <f>IFERROR(BP224/BP175,0)*1000</f>
        <v>0</v>
      </c>
      <c r="BQ220" s="762"/>
      <c r="BR220" s="762"/>
      <c r="BS220" s="674">
        <f>IFERROR(BS224/BS175,0)*1000</f>
        <v>0</v>
      </c>
      <c r="BT220" s="1111"/>
      <c r="BU220" s="1111"/>
      <c r="BV220" s="674">
        <f>IFERROR(BV224/BV175,0)*1000</f>
        <v>0</v>
      </c>
      <c r="BW220" s="1111"/>
      <c r="BX220" s="1111"/>
      <c r="BY220" s="674">
        <f>IFERROR(BY224/BY175,0)*1000</f>
        <v>0</v>
      </c>
      <c r="BZ220" s="29"/>
      <c r="CA220" s="29"/>
      <c r="CB220" s="674">
        <f>IFERROR(CB224/CB175,0)*1000</f>
        <v>0</v>
      </c>
      <c r="CC220" s="29"/>
      <c r="CD220" s="29"/>
      <c r="CE220" s="674">
        <f>IFERROR(CE224/CE175,0)*1000</f>
        <v>0</v>
      </c>
      <c r="CF220" s="29"/>
      <c r="CG220" s="29"/>
      <c r="CH220" s="674">
        <f>IFERROR(CH224/CH175,0)*1000</f>
        <v>0</v>
      </c>
      <c r="CI220" s="29"/>
      <c r="CJ220" s="29"/>
      <c r="CK220" s="674">
        <f>IFERROR(CK224/CK175,0)*1000</f>
        <v>0</v>
      </c>
      <c r="CL220" s="29"/>
      <c r="CM220" s="29"/>
      <c r="CN220" s="674">
        <f>IFERROR(CN224/CN175,0)*1000</f>
        <v>0</v>
      </c>
      <c r="CO220" s="29"/>
      <c r="CP220" s="29"/>
      <c r="CQ220" s="674">
        <f>IFERROR(CQ224/CQ175,0)*1000</f>
        <v>0</v>
      </c>
      <c r="CR220" s="29"/>
      <c r="CS220" s="29"/>
      <c r="CT220" s="22"/>
      <c r="CW220" s="902" t="s">
        <v>694</v>
      </c>
      <c r="CX220" s="907" t="s">
        <v>630</v>
      </c>
      <c r="CY220" s="911">
        <f>AE220</f>
        <v>0</v>
      </c>
      <c r="CZ220" s="911">
        <f>AF220</f>
        <v>0</v>
      </c>
      <c r="DA220" s="908"/>
      <c r="DB220" s="908"/>
    </row>
    <row r="221" spans="1:106" s="1057" customFormat="1" ht="15" hidden="1" customHeight="1">
      <c r="A221" s="769"/>
      <c r="B221" s="718"/>
      <c r="C221" s="1016"/>
      <c r="D221" s="1016"/>
      <c r="E221" s="623">
        <v>0</v>
      </c>
      <c r="F221" s="714" t="str">
        <f t="shared" ca="1" si="115"/>
        <v>1</v>
      </c>
      <c r="G221" s="750"/>
      <c r="H221" s="750"/>
      <c r="I221" s="750"/>
      <c r="J221" s="750"/>
      <c r="K221" s="750"/>
      <c r="L221" s="750"/>
      <c r="M221" s="750"/>
      <c r="N221" s="750"/>
      <c r="O221" s="750"/>
      <c r="P221" s="750"/>
      <c r="Q221" s="750"/>
      <c r="R221" s="1016"/>
      <c r="S221" s="98" t="b">
        <f t="shared" ca="1" si="116"/>
        <v>1</v>
      </c>
      <c r="T221" s="1016"/>
      <c r="U221" s="645" t="b">
        <f t="shared" ca="1" si="121"/>
        <v>1</v>
      </c>
      <c r="V221" s="1016"/>
      <c r="W221" s="1016"/>
      <c r="X221" s="756" t="str">
        <f>"{                  
         funcDyn: 'msg1',
         blok: 'blok_2',
         wsCross: 'Топливо 4.4',
         linkFormula: 'AE-AE#AF-AF',
         levelDyn: "&amp;Y139&amp;"
}"</f>
        <v>{                  
         funcDyn: 'msg1',
         blok: 'blok_2',
         wsCross: 'Топливо 4.4',
         linkFormula: 'AE-AE#AF-AF',
         levelDyn: 1
}</v>
      </c>
      <c r="Y221" s="1382"/>
      <c r="Z221" s="1382"/>
      <c r="AA221" s="646"/>
      <c r="AB221" s="1431"/>
      <c r="AD221" s="759"/>
      <c r="AE221" s="758" t="s">
        <v>172</v>
      </c>
      <c r="AF221" s="685"/>
      <c r="AG221" s="111"/>
      <c r="AH221" s="673"/>
      <c r="AI221" s="675"/>
      <c r="AJ221" s="675"/>
      <c r="AK221" s="675"/>
      <c r="AL221" s="675"/>
      <c r="AM221" s="675"/>
      <c r="AN221" s="675"/>
      <c r="AO221" s="675"/>
      <c r="AP221" s="675"/>
      <c r="AQ221" s="675"/>
      <c r="AR221" s="675"/>
      <c r="AS221" s="675"/>
      <c r="AT221" s="675"/>
      <c r="AU221" s="675"/>
      <c r="AV221" s="675"/>
      <c r="AW221" s="675"/>
      <c r="AX221" s="675"/>
      <c r="AY221" s="675"/>
      <c r="AZ221" s="675"/>
      <c r="BA221" s="675"/>
      <c r="BB221" s="675"/>
      <c r="BC221" s="675"/>
      <c r="BD221" s="675"/>
      <c r="BE221" s="675"/>
      <c r="BF221" s="675"/>
      <c r="BG221" s="675"/>
      <c r="BH221" s="675"/>
      <c r="BI221" s="675"/>
      <c r="BJ221" s="675"/>
      <c r="BK221" s="675"/>
      <c r="BL221" s="675"/>
      <c r="BM221" s="675"/>
      <c r="BN221" s="675"/>
      <c r="BO221" s="675"/>
      <c r="BP221" s="675"/>
      <c r="BQ221" s="675"/>
      <c r="BR221" s="675"/>
      <c r="BS221" s="675"/>
      <c r="BT221" s="675"/>
      <c r="BU221" s="675"/>
      <c r="BV221" s="675"/>
      <c r="BW221" s="675"/>
      <c r="BX221" s="675"/>
      <c r="BY221" s="675"/>
      <c r="BZ221" s="675"/>
      <c r="CA221" s="675"/>
      <c r="CB221" s="675"/>
      <c r="CC221" s="675"/>
      <c r="CD221" s="675"/>
      <c r="CE221" s="675"/>
      <c r="CF221" s="675"/>
      <c r="CG221" s="675"/>
      <c r="CH221" s="675"/>
      <c r="CI221" s="675"/>
      <c r="CJ221" s="675"/>
      <c r="CK221" s="675"/>
      <c r="CL221" s="675"/>
      <c r="CM221" s="675"/>
      <c r="CN221" s="675"/>
      <c r="CO221" s="675"/>
      <c r="CP221" s="675"/>
      <c r="CQ221" s="675"/>
      <c r="CR221" s="675"/>
      <c r="CS221" s="675"/>
      <c r="CT221" s="33"/>
      <c r="CW221" s="902" t="str">
        <f>IF(AND(ISNUMBER(VALUE(TRIM(SUBSTITUTE(AD221,".","")))),TRIM(SUBSTITUTE(AD221,".",""))&lt;&gt;""),"P"&amp;SUBSTITUTE(AD221,".",""),"")</f>
        <v/>
      </c>
      <c r="CX221" s="907"/>
      <c r="CY221" s="907"/>
      <c r="CZ221" s="907"/>
      <c r="DA221" s="908"/>
      <c r="DB221" s="908"/>
    </row>
    <row r="222" spans="1:106" s="1057" customFormat="1" ht="16.5" customHeight="1">
      <c r="A222" s="769"/>
      <c r="B222" s="718"/>
      <c r="C222" s="1016"/>
      <c r="D222" s="1016"/>
      <c r="E222" s="623">
        <v>17.100000000000001</v>
      </c>
      <c r="F222" s="714" t="str">
        <f t="shared" ca="1" si="115"/>
        <v>1</v>
      </c>
      <c r="G222" s="750"/>
      <c r="H222" s="750"/>
      <c r="I222" s="750"/>
      <c r="J222" s="750"/>
      <c r="K222" s="750"/>
      <c r="L222" s="750"/>
      <c r="M222" s="750"/>
      <c r="N222" s="750"/>
      <c r="O222" s="750"/>
      <c r="P222" s="750"/>
      <c r="Q222" s="750"/>
      <c r="R222" s="1016"/>
      <c r="S222" s="98" t="b">
        <f t="shared" ca="1" si="116"/>
        <v>1</v>
      </c>
      <c r="T222" s="1016"/>
      <c r="U222" s="645" t="b">
        <f t="shared" ca="1" si="121"/>
        <v>1</v>
      </c>
      <c r="V222" s="1016"/>
      <c r="W222" s="1016"/>
      <c r="X222" s="1016"/>
      <c r="Y222" s="1382"/>
      <c r="Z222" s="1382"/>
      <c r="AA222" s="646"/>
      <c r="AB222" s="1431"/>
      <c r="AD222" s="111" t="s">
        <v>696</v>
      </c>
      <c r="AE222" s="1442" t="s">
        <v>697</v>
      </c>
      <c r="AF222" s="1413"/>
      <c r="AG222" s="111" t="s">
        <v>648</v>
      </c>
      <c r="AH222" s="672">
        <f t="shared" ref="AH222:BM222" si="122">SUM(AH224:AH225)</f>
        <v>0</v>
      </c>
      <c r="AI222" s="672">
        <f t="shared" si="122"/>
        <v>0</v>
      </c>
      <c r="AJ222" s="672">
        <f t="shared" si="122"/>
        <v>0</v>
      </c>
      <c r="AK222" s="672">
        <f t="shared" si="122"/>
        <v>0</v>
      </c>
      <c r="AL222" s="672">
        <f t="shared" si="122"/>
        <v>0</v>
      </c>
      <c r="AM222" s="672">
        <f t="shared" si="122"/>
        <v>0</v>
      </c>
      <c r="AN222" s="672">
        <f t="shared" si="122"/>
        <v>0</v>
      </c>
      <c r="AO222" s="672">
        <f t="shared" si="122"/>
        <v>0</v>
      </c>
      <c r="AP222" s="672">
        <f t="shared" si="122"/>
        <v>0</v>
      </c>
      <c r="AQ222" s="672">
        <f t="shared" si="122"/>
        <v>0</v>
      </c>
      <c r="AR222" s="672">
        <f t="shared" si="122"/>
        <v>0</v>
      </c>
      <c r="AS222" s="672">
        <f t="shared" si="122"/>
        <v>0</v>
      </c>
      <c r="AT222" s="672">
        <f t="shared" si="122"/>
        <v>0</v>
      </c>
      <c r="AU222" s="672">
        <f t="shared" si="122"/>
        <v>0</v>
      </c>
      <c r="AV222" s="672">
        <f t="shared" si="122"/>
        <v>0</v>
      </c>
      <c r="AW222" s="672">
        <f t="shared" si="122"/>
        <v>0</v>
      </c>
      <c r="AX222" s="672">
        <f t="shared" si="122"/>
        <v>0</v>
      </c>
      <c r="AY222" s="672">
        <f t="shared" si="122"/>
        <v>0</v>
      </c>
      <c r="AZ222" s="672">
        <f t="shared" si="122"/>
        <v>0</v>
      </c>
      <c r="BA222" s="672">
        <f t="shared" si="122"/>
        <v>0</v>
      </c>
      <c r="BB222" s="672">
        <f t="shared" si="122"/>
        <v>0</v>
      </c>
      <c r="BC222" s="672">
        <f t="shared" si="122"/>
        <v>0</v>
      </c>
      <c r="BD222" s="672">
        <f t="shared" si="122"/>
        <v>0</v>
      </c>
      <c r="BE222" s="672">
        <f t="shared" si="122"/>
        <v>0</v>
      </c>
      <c r="BF222" s="672">
        <f t="shared" si="122"/>
        <v>0</v>
      </c>
      <c r="BG222" s="672">
        <f t="shared" si="122"/>
        <v>0</v>
      </c>
      <c r="BH222" s="672">
        <f t="shared" si="122"/>
        <v>0</v>
      </c>
      <c r="BI222" s="672">
        <f t="shared" si="122"/>
        <v>0</v>
      </c>
      <c r="BJ222" s="672">
        <f t="shared" si="122"/>
        <v>0</v>
      </c>
      <c r="BK222" s="672">
        <f t="shared" si="122"/>
        <v>0</v>
      </c>
      <c r="BL222" s="672">
        <f t="shared" si="122"/>
        <v>0</v>
      </c>
      <c r="BM222" s="672">
        <f t="shared" si="122"/>
        <v>0</v>
      </c>
      <c r="BN222" s="672">
        <f t="shared" ref="BN222:CS222" si="123">SUM(BN224:BN225)</f>
        <v>0</v>
      </c>
      <c r="BO222" s="672">
        <f t="shared" si="123"/>
        <v>0</v>
      </c>
      <c r="BP222" s="672">
        <f t="shared" si="123"/>
        <v>0</v>
      </c>
      <c r="BQ222" s="672">
        <f t="shared" si="123"/>
        <v>0</v>
      </c>
      <c r="BR222" s="672">
        <f t="shared" si="123"/>
        <v>0</v>
      </c>
      <c r="BS222" s="672">
        <f t="shared" si="123"/>
        <v>0</v>
      </c>
      <c r="BT222" s="672">
        <f t="shared" si="123"/>
        <v>0</v>
      </c>
      <c r="BU222" s="672">
        <f t="shared" si="123"/>
        <v>0</v>
      </c>
      <c r="BV222" s="672">
        <f t="shared" si="123"/>
        <v>0</v>
      </c>
      <c r="BW222" s="672">
        <f t="shared" si="123"/>
        <v>0</v>
      </c>
      <c r="BX222" s="672">
        <f t="shared" si="123"/>
        <v>0</v>
      </c>
      <c r="BY222" s="672">
        <f t="shared" si="123"/>
        <v>0</v>
      </c>
      <c r="BZ222" s="672">
        <f t="shared" si="123"/>
        <v>0</v>
      </c>
      <c r="CA222" s="672">
        <f t="shared" si="123"/>
        <v>0</v>
      </c>
      <c r="CB222" s="672">
        <f t="shared" si="123"/>
        <v>0</v>
      </c>
      <c r="CC222" s="672">
        <f t="shared" si="123"/>
        <v>0</v>
      </c>
      <c r="CD222" s="672">
        <f t="shared" si="123"/>
        <v>0</v>
      </c>
      <c r="CE222" s="672">
        <f t="shared" si="123"/>
        <v>0</v>
      </c>
      <c r="CF222" s="672">
        <f t="shared" si="123"/>
        <v>0</v>
      </c>
      <c r="CG222" s="672">
        <f t="shared" si="123"/>
        <v>0</v>
      </c>
      <c r="CH222" s="672">
        <f t="shared" si="123"/>
        <v>0</v>
      </c>
      <c r="CI222" s="672">
        <f t="shared" si="123"/>
        <v>0</v>
      </c>
      <c r="CJ222" s="672">
        <f t="shared" si="123"/>
        <v>0</v>
      </c>
      <c r="CK222" s="672">
        <f t="shared" si="123"/>
        <v>0</v>
      </c>
      <c r="CL222" s="672">
        <f t="shared" si="123"/>
        <v>0</v>
      </c>
      <c r="CM222" s="672">
        <f t="shared" si="123"/>
        <v>0</v>
      </c>
      <c r="CN222" s="672">
        <f t="shared" si="123"/>
        <v>0</v>
      </c>
      <c r="CO222" s="672">
        <f t="shared" si="123"/>
        <v>0</v>
      </c>
      <c r="CP222" s="672">
        <f t="shared" si="123"/>
        <v>0</v>
      </c>
      <c r="CQ222" s="672">
        <f t="shared" si="123"/>
        <v>0</v>
      </c>
      <c r="CR222" s="672">
        <f t="shared" si="123"/>
        <v>0</v>
      </c>
      <c r="CS222" s="672">
        <f t="shared" si="123"/>
        <v>0</v>
      </c>
      <c r="CT222" s="1106"/>
      <c r="CW222" s="902" t="s">
        <v>698</v>
      </c>
      <c r="CX222" s="907"/>
      <c r="CY222" s="907"/>
      <c r="CZ222" s="907"/>
      <c r="DA222" s="908"/>
      <c r="DB222" s="908"/>
    </row>
    <row r="223" spans="1:106" s="1057" customFormat="1" ht="16.5" hidden="1" customHeight="1">
      <c r="A223" s="769"/>
      <c r="B223" s="718"/>
      <c r="C223" s="1016"/>
      <c r="D223" s="1016"/>
      <c r="E223" s="623">
        <v>17.100000000000001</v>
      </c>
      <c r="F223" s="714" t="str">
        <f t="shared" ca="1" si="115"/>
        <v>1</v>
      </c>
      <c r="G223" s="750"/>
      <c r="H223" s="750"/>
      <c r="I223" s="750"/>
      <c r="J223" s="750"/>
      <c r="K223" s="750"/>
      <c r="L223" s="750"/>
      <c r="M223" s="750"/>
      <c r="N223" s="750"/>
      <c r="O223" s="750"/>
      <c r="P223" s="750"/>
      <c r="Q223" s="750"/>
      <c r="R223" s="714" t="s">
        <v>569</v>
      </c>
      <c r="S223" s="98" t="b">
        <f t="shared" ca="1" si="116"/>
        <v>1</v>
      </c>
      <c r="T223" s="714" t="b">
        <v>0</v>
      </c>
      <c r="U223" s="645" t="b">
        <f t="shared" ca="1" si="121"/>
        <v>0</v>
      </c>
      <c r="V223" s="1016"/>
      <c r="W223" s="1016"/>
      <c r="X223" s="1016"/>
      <c r="Y223" s="1382"/>
      <c r="Z223" s="1382"/>
      <c r="AA223" s="646"/>
      <c r="AB223" s="1431"/>
      <c r="AD223" s="99" t="str">
        <f>AD222&amp;".0"</f>
        <v>36.0</v>
      </c>
      <c r="AE223" s="1445" t="s">
        <v>580</v>
      </c>
      <c r="AF223" s="1446"/>
      <c r="AG223" s="111" t="s">
        <v>648</v>
      </c>
      <c r="AH223" s="28">
        <f>AH$163*AH222</f>
        <v>0</v>
      </c>
      <c r="AI223" s="29">
        <f>AI$163*AI222</f>
        <v>0</v>
      </c>
      <c r="AJ223" s="29">
        <f>AJ$163*AJ222</f>
        <v>0</v>
      </c>
      <c r="AK223" s="29">
        <f>AK$163*AK222</f>
        <v>0</v>
      </c>
      <c r="AL223" s="674">
        <f>AM223+AN223</f>
        <v>0</v>
      </c>
      <c r="AM223" s="29">
        <f>AM$163*AM222</f>
        <v>0</v>
      </c>
      <c r="AN223" s="29">
        <f>AN$163*AN222</f>
        <v>0</v>
      </c>
      <c r="AO223" s="674">
        <f>AP223+AQ223</f>
        <v>0</v>
      </c>
      <c r="AP223" s="1111">
        <f>AP$163*AP222</f>
        <v>0</v>
      </c>
      <c r="AQ223" s="1111">
        <f>AQ$163*AQ222</f>
        <v>0</v>
      </c>
      <c r="AR223" s="674">
        <f>AS223+AT223</f>
        <v>0</v>
      </c>
      <c r="AS223" s="1111">
        <f>AS$163*AS222</f>
        <v>0</v>
      </c>
      <c r="AT223" s="1111">
        <f>AT$163*AT222</f>
        <v>0</v>
      </c>
      <c r="AU223" s="674">
        <f>AV223+AW223</f>
        <v>0</v>
      </c>
      <c r="AV223" s="29">
        <f>AV$163*AV222</f>
        <v>0</v>
      </c>
      <c r="AW223" s="29">
        <f>AW$163*AW222</f>
        <v>0</v>
      </c>
      <c r="AX223" s="674">
        <f>AY223+AZ223</f>
        <v>0</v>
      </c>
      <c r="AY223" s="29">
        <f>AY$163*AY222</f>
        <v>0</v>
      </c>
      <c r="AZ223" s="29">
        <f>AZ$163*AZ222</f>
        <v>0</v>
      </c>
      <c r="BA223" s="674">
        <f>BB223+BC223</f>
        <v>0</v>
      </c>
      <c r="BB223" s="29">
        <f>BB$163*BB222</f>
        <v>0</v>
      </c>
      <c r="BC223" s="29">
        <f>BC$163*BC222</f>
        <v>0</v>
      </c>
      <c r="BD223" s="674">
        <f>BE223+BF223</f>
        <v>0</v>
      </c>
      <c r="BE223" s="29">
        <f>BE$163*BE222</f>
        <v>0</v>
      </c>
      <c r="BF223" s="29">
        <f>BF$163*BF222</f>
        <v>0</v>
      </c>
      <c r="BG223" s="674">
        <f>BH223+BI223</f>
        <v>0</v>
      </c>
      <c r="BH223" s="29">
        <f>BH$163*BH222</f>
        <v>0</v>
      </c>
      <c r="BI223" s="29">
        <f>BI$163*BI222</f>
        <v>0</v>
      </c>
      <c r="BJ223" s="674">
        <f>BK223+BL223</f>
        <v>0</v>
      </c>
      <c r="BK223" s="29">
        <f>BK$163*BK222</f>
        <v>0</v>
      </c>
      <c r="BL223" s="29">
        <f>BL$163*BL222</f>
        <v>0</v>
      </c>
      <c r="BM223" s="674">
        <f>BN223+BO223</f>
        <v>0</v>
      </c>
      <c r="BN223" s="29">
        <f>BN$163*BN222</f>
        <v>0</v>
      </c>
      <c r="BO223" s="29">
        <f>BO$163*BO222</f>
        <v>0</v>
      </c>
      <c r="BP223" s="674">
        <f>BQ223+BR223</f>
        <v>0</v>
      </c>
      <c r="BQ223" s="762">
        <f>BQ$163*BQ222</f>
        <v>0</v>
      </c>
      <c r="BR223" s="762">
        <f>BR$163*BR222</f>
        <v>0</v>
      </c>
      <c r="BS223" s="674">
        <f>BT223+BU223</f>
        <v>0</v>
      </c>
      <c r="BT223" s="1111">
        <f>BT$163*BT222</f>
        <v>0</v>
      </c>
      <c r="BU223" s="1111">
        <f>BU$163*BU222</f>
        <v>0</v>
      </c>
      <c r="BV223" s="674">
        <f>BW223+BX223</f>
        <v>0</v>
      </c>
      <c r="BW223" s="1111">
        <f>BW$163*BW222</f>
        <v>0</v>
      </c>
      <c r="BX223" s="1111">
        <f>BX$163*BX222</f>
        <v>0</v>
      </c>
      <c r="BY223" s="674">
        <f>BZ223+CA223</f>
        <v>0</v>
      </c>
      <c r="BZ223" s="29">
        <f>BZ$163*BZ222</f>
        <v>0</v>
      </c>
      <c r="CA223" s="29">
        <f>CA$163*CA222</f>
        <v>0</v>
      </c>
      <c r="CB223" s="674">
        <f>CC223+CD223</f>
        <v>0</v>
      </c>
      <c r="CC223" s="29">
        <f>CC$163*CC222</f>
        <v>0</v>
      </c>
      <c r="CD223" s="29">
        <f>CD$163*CD222</f>
        <v>0</v>
      </c>
      <c r="CE223" s="674">
        <f>CF223+CG223</f>
        <v>0</v>
      </c>
      <c r="CF223" s="29">
        <f>CF$163*CF222</f>
        <v>0</v>
      </c>
      <c r="CG223" s="29">
        <f>CG$163*CG222</f>
        <v>0</v>
      </c>
      <c r="CH223" s="674">
        <f>CI223+CJ223</f>
        <v>0</v>
      </c>
      <c r="CI223" s="29">
        <f>CI$163*CI222</f>
        <v>0</v>
      </c>
      <c r="CJ223" s="29">
        <f>CJ$163*CJ222</f>
        <v>0</v>
      </c>
      <c r="CK223" s="674">
        <f>CL223+CM223</f>
        <v>0</v>
      </c>
      <c r="CL223" s="29">
        <f>CL$163*CL222</f>
        <v>0</v>
      </c>
      <c r="CM223" s="29">
        <f>CM$163*CM222</f>
        <v>0</v>
      </c>
      <c r="CN223" s="674">
        <f>CO223+CP223</f>
        <v>0</v>
      </c>
      <c r="CO223" s="29">
        <f>CO$163*CO222</f>
        <v>0</v>
      </c>
      <c r="CP223" s="29">
        <f>CP$163*CP222</f>
        <v>0</v>
      </c>
      <c r="CQ223" s="674">
        <f>CR223+CS223</f>
        <v>0</v>
      </c>
      <c r="CR223" s="29">
        <f>CR$163*CR222</f>
        <v>0</v>
      </c>
      <c r="CS223" s="29">
        <f>CS$163*CS222</f>
        <v>0</v>
      </c>
      <c r="CT223" s="22"/>
      <c r="CW223" s="902" t="s">
        <v>699</v>
      </c>
      <c r="CX223" s="907"/>
      <c r="CY223" s="907"/>
      <c r="CZ223" s="907"/>
      <c r="DA223" s="908"/>
      <c r="DB223" s="908"/>
    </row>
    <row r="224" spans="1:106" s="1057" customFormat="1" ht="16.5" hidden="1" customHeight="1">
      <c r="A224" s="769"/>
      <c r="B224" s="718"/>
      <c r="C224" s="1016"/>
      <c r="D224" s="1016"/>
      <c r="E224" s="623">
        <v>17.100000000000001</v>
      </c>
      <c r="F224" s="714" t="str">
        <f t="shared" ca="1" si="115"/>
        <v>1</v>
      </c>
      <c r="G224" s="750"/>
      <c r="H224" s="750"/>
      <c r="I224" s="750"/>
      <c r="J224" s="750"/>
      <c r="K224" s="750"/>
      <c r="L224" s="750"/>
      <c r="M224" s="750"/>
      <c r="N224" s="750"/>
      <c r="O224" s="750"/>
      <c r="P224" s="750"/>
      <c r="Q224" s="750"/>
      <c r="R224" s="1016"/>
      <c r="S224" s="98" t="b">
        <f t="shared" ca="1" si="116"/>
        <v>1</v>
      </c>
      <c r="T224" s="98" t="b">
        <f>AD224&lt;&gt;"36.0"</f>
        <v>0</v>
      </c>
      <c r="U224" s="645" t="b">
        <f t="shared" ca="1" si="121"/>
        <v>0</v>
      </c>
      <c r="V224" s="1016"/>
      <c r="W224" s="1016"/>
      <c r="X224" s="98" t="s">
        <v>170</v>
      </c>
      <c r="Y224" s="1382"/>
      <c r="Z224" s="1382"/>
      <c r="AA224" s="646"/>
      <c r="AB224" s="1431"/>
      <c r="AD224" s="99" t="s">
        <v>700</v>
      </c>
      <c r="AE224" s="757"/>
      <c r="AF224" s="475"/>
      <c r="AG224" s="111" t="s">
        <v>648</v>
      </c>
      <c r="AH224" s="28"/>
      <c r="AI224" s="29"/>
      <c r="AJ224" s="29"/>
      <c r="AK224" s="29"/>
      <c r="AL224" s="674">
        <f>AM224+AN224</f>
        <v>0</v>
      </c>
      <c r="AM224" s="29">
        <f>AM220*AM175/1000</f>
        <v>0</v>
      </c>
      <c r="AN224" s="29">
        <f>AN220*AN175/1000</f>
        <v>0</v>
      </c>
      <c r="AO224" s="674">
        <f>AP224+AQ224</f>
        <v>0</v>
      </c>
      <c r="AP224" s="1111">
        <f>AP220*AP175/1000</f>
        <v>0</v>
      </c>
      <c r="AQ224" s="1111">
        <f>AQ220*AQ175/1000</f>
        <v>0</v>
      </c>
      <c r="AR224" s="674">
        <f>AS224+AT224</f>
        <v>0</v>
      </c>
      <c r="AS224" s="1111">
        <f>AS220*AS175/1000</f>
        <v>0</v>
      </c>
      <c r="AT224" s="1111">
        <f>AT220*AT175/1000</f>
        <v>0</v>
      </c>
      <c r="AU224" s="674">
        <f>AV224+AW224</f>
        <v>0</v>
      </c>
      <c r="AV224" s="29">
        <f>AV220*AV175/1000</f>
        <v>0</v>
      </c>
      <c r="AW224" s="29">
        <f>AW220*AW175/1000</f>
        <v>0</v>
      </c>
      <c r="AX224" s="674">
        <f>AY224+AZ224</f>
        <v>0</v>
      </c>
      <c r="AY224" s="29">
        <f>AY220*AY175/1000</f>
        <v>0</v>
      </c>
      <c r="AZ224" s="29">
        <f>AZ220*AZ175/1000</f>
        <v>0</v>
      </c>
      <c r="BA224" s="674">
        <f>BB224+BC224</f>
        <v>0</v>
      </c>
      <c r="BB224" s="29">
        <f>BB220*BB175/1000</f>
        <v>0</v>
      </c>
      <c r="BC224" s="29">
        <f>BC220*BC175/1000</f>
        <v>0</v>
      </c>
      <c r="BD224" s="674">
        <f>BE224+BF224</f>
        <v>0</v>
      </c>
      <c r="BE224" s="29">
        <f>BE220*BE175/1000</f>
        <v>0</v>
      </c>
      <c r="BF224" s="29">
        <f>BF220*BF175/1000</f>
        <v>0</v>
      </c>
      <c r="BG224" s="674">
        <f>BH224+BI224</f>
        <v>0</v>
      </c>
      <c r="BH224" s="29">
        <f>BH220*BH175/1000</f>
        <v>0</v>
      </c>
      <c r="BI224" s="29">
        <f>BI220*BI175/1000</f>
        <v>0</v>
      </c>
      <c r="BJ224" s="674">
        <f>BK224+BL224</f>
        <v>0</v>
      </c>
      <c r="BK224" s="29">
        <f>BK220*BK175/1000</f>
        <v>0</v>
      </c>
      <c r="BL224" s="29">
        <f>BL220*BL175/1000</f>
        <v>0</v>
      </c>
      <c r="BM224" s="674">
        <f>BN224+BO224</f>
        <v>0</v>
      </c>
      <c r="BN224" s="29">
        <f>BN220*BN175/1000</f>
        <v>0</v>
      </c>
      <c r="BO224" s="29">
        <f>BO220*BO175/1000</f>
        <v>0</v>
      </c>
      <c r="BP224" s="674">
        <f>BQ224+BR224</f>
        <v>0</v>
      </c>
      <c r="BQ224" s="762">
        <f>BQ220*BQ175/1000</f>
        <v>0</v>
      </c>
      <c r="BR224" s="762">
        <f>BR220*BR175/1000</f>
        <v>0</v>
      </c>
      <c r="BS224" s="674">
        <f>BT224+BU224</f>
        <v>0</v>
      </c>
      <c r="BT224" s="1111">
        <f>BT220*BT175/1000</f>
        <v>0</v>
      </c>
      <c r="BU224" s="1111">
        <f>BU220*BU175/1000</f>
        <v>0</v>
      </c>
      <c r="BV224" s="674">
        <f>BW224+BX224</f>
        <v>0</v>
      </c>
      <c r="BW224" s="1111">
        <f>BW220*BW175/1000</f>
        <v>0</v>
      </c>
      <c r="BX224" s="1111">
        <f>BX220*BX175/1000</f>
        <v>0</v>
      </c>
      <c r="BY224" s="674">
        <f>BZ224+CA224</f>
        <v>0</v>
      </c>
      <c r="BZ224" s="29">
        <f>BZ220*BZ175/1000</f>
        <v>0</v>
      </c>
      <c r="CA224" s="29">
        <f>CA220*CA175/1000</f>
        <v>0</v>
      </c>
      <c r="CB224" s="674">
        <f>CC224+CD224</f>
        <v>0</v>
      </c>
      <c r="CC224" s="29">
        <f>CC220*CC175/1000</f>
        <v>0</v>
      </c>
      <c r="CD224" s="29">
        <f>CD220*CD175/1000</f>
        <v>0</v>
      </c>
      <c r="CE224" s="674">
        <f>CF224+CG224</f>
        <v>0</v>
      </c>
      <c r="CF224" s="29">
        <f>CF220*CF175/1000</f>
        <v>0</v>
      </c>
      <c r="CG224" s="29">
        <f>CG220*CG175/1000</f>
        <v>0</v>
      </c>
      <c r="CH224" s="674">
        <f>CI224+CJ224</f>
        <v>0</v>
      </c>
      <c r="CI224" s="29">
        <f>CI220*CI175/1000</f>
        <v>0</v>
      </c>
      <c r="CJ224" s="29">
        <f>CJ220*CJ175/1000</f>
        <v>0</v>
      </c>
      <c r="CK224" s="674">
        <f>CL224+CM224</f>
        <v>0</v>
      </c>
      <c r="CL224" s="29">
        <f>CL220*CL175/1000</f>
        <v>0</v>
      </c>
      <c r="CM224" s="29">
        <f>CM220*CM175/1000</f>
        <v>0</v>
      </c>
      <c r="CN224" s="674">
        <f>CO224+CP224</f>
        <v>0</v>
      </c>
      <c r="CO224" s="29">
        <f>CO220*CO175/1000</f>
        <v>0</v>
      </c>
      <c r="CP224" s="29">
        <f>CP220*CP175/1000</f>
        <v>0</v>
      </c>
      <c r="CQ224" s="674">
        <f>CR224+CS224</f>
        <v>0</v>
      </c>
      <c r="CR224" s="29">
        <f>CR220*CR175/1000</f>
        <v>0</v>
      </c>
      <c r="CS224" s="29">
        <f>CS220*CS175/1000</f>
        <v>0</v>
      </c>
      <c r="CT224" s="22"/>
      <c r="CW224" s="902" t="s">
        <v>699</v>
      </c>
      <c r="CX224" s="907" t="s">
        <v>630</v>
      </c>
      <c r="CY224" s="911">
        <f>AE224</f>
        <v>0</v>
      </c>
      <c r="CZ224" s="911">
        <f>AF224</f>
        <v>0</v>
      </c>
      <c r="DA224" s="908"/>
      <c r="DB224" s="908"/>
    </row>
    <row r="225" spans="1:106" s="1057" customFormat="1" ht="15" hidden="1" customHeight="1">
      <c r="A225" s="769"/>
      <c r="B225" s="718"/>
      <c r="C225" s="1016"/>
      <c r="D225" s="1016"/>
      <c r="E225" s="623">
        <v>0</v>
      </c>
      <c r="F225" s="714" t="str">
        <f t="shared" ca="1" si="115"/>
        <v>1</v>
      </c>
      <c r="G225" s="750"/>
      <c r="H225" s="750"/>
      <c r="I225" s="750"/>
      <c r="J225" s="750"/>
      <c r="K225" s="750"/>
      <c r="L225" s="750"/>
      <c r="M225" s="750"/>
      <c r="N225" s="750"/>
      <c r="O225" s="750"/>
      <c r="P225" s="750"/>
      <c r="Q225" s="750"/>
      <c r="R225" s="1016"/>
      <c r="S225" s="98" t="b">
        <f t="shared" ca="1" si="116"/>
        <v>1</v>
      </c>
      <c r="T225" s="1016"/>
      <c r="U225" s="645" t="b">
        <f t="shared" ca="1" si="121"/>
        <v>1</v>
      </c>
      <c r="V225" s="1016"/>
      <c r="W225" s="1016"/>
      <c r="X225" s="756" t="str">
        <f>"{                  
         funcDyn: 'msg1',
         blok: 'blok_2',
         wsCross: 'Топливо 4.4',
         linkFormula: 'AE-AE#AF-AF',
         levelDyn: "&amp;Y139&amp;"
}"</f>
        <v>{                  
         funcDyn: 'msg1',
         blok: 'blok_2',
         wsCross: 'Топливо 4.4',
         linkFormula: 'AE-AE#AF-AF',
         levelDyn: 1
}</v>
      </c>
      <c r="Y225" s="1382"/>
      <c r="Z225" s="1382"/>
      <c r="AA225" s="646"/>
      <c r="AB225" s="1431"/>
      <c r="AD225" s="759"/>
      <c r="AE225" s="758" t="s">
        <v>172</v>
      </c>
      <c r="AF225" s="685"/>
      <c r="AG225" s="111"/>
      <c r="AH225" s="673"/>
      <c r="AI225" s="675"/>
      <c r="AJ225" s="675"/>
      <c r="AK225" s="675"/>
      <c r="AL225" s="675"/>
      <c r="AM225" s="675"/>
      <c r="AN225" s="675"/>
      <c r="AO225" s="675"/>
      <c r="AP225" s="675"/>
      <c r="AQ225" s="675"/>
      <c r="AR225" s="675"/>
      <c r="AS225" s="675"/>
      <c r="AT225" s="675"/>
      <c r="AU225" s="675"/>
      <c r="AV225" s="675"/>
      <c r="AW225" s="675"/>
      <c r="AX225" s="675"/>
      <c r="AY225" s="675"/>
      <c r="AZ225" s="675"/>
      <c r="BA225" s="675"/>
      <c r="BB225" s="675"/>
      <c r="BC225" s="675"/>
      <c r="BD225" s="675"/>
      <c r="BE225" s="675"/>
      <c r="BF225" s="675"/>
      <c r="BG225" s="675"/>
      <c r="BH225" s="675"/>
      <c r="BI225" s="675"/>
      <c r="BJ225" s="675"/>
      <c r="BK225" s="675"/>
      <c r="BL225" s="675"/>
      <c r="BM225" s="675"/>
      <c r="BN225" s="675"/>
      <c r="BO225" s="675"/>
      <c r="BP225" s="675"/>
      <c r="BQ225" s="675"/>
      <c r="BR225" s="675"/>
      <c r="BS225" s="675"/>
      <c r="BT225" s="675"/>
      <c r="BU225" s="675"/>
      <c r="BV225" s="675"/>
      <c r="BW225" s="675"/>
      <c r="BX225" s="675"/>
      <c r="BY225" s="675"/>
      <c r="BZ225" s="675"/>
      <c r="CA225" s="675"/>
      <c r="CB225" s="675"/>
      <c r="CC225" s="675"/>
      <c r="CD225" s="675"/>
      <c r="CE225" s="675"/>
      <c r="CF225" s="675"/>
      <c r="CG225" s="675"/>
      <c r="CH225" s="675"/>
      <c r="CI225" s="675"/>
      <c r="CJ225" s="675"/>
      <c r="CK225" s="675"/>
      <c r="CL225" s="675"/>
      <c r="CM225" s="675"/>
      <c r="CN225" s="675"/>
      <c r="CO225" s="675"/>
      <c r="CP225" s="675"/>
      <c r="CQ225" s="675"/>
      <c r="CR225" s="675"/>
      <c r="CS225" s="675"/>
      <c r="CT225" s="33"/>
      <c r="CW225" s="902" t="str">
        <f>IF(AND(ISNUMBER(VALUE(TRIM(SUBSTITUTE(AD225,".","")))),TRIM(SUBSTITUTE(AD225,".",""))&lt;&gt;""),"P"&amp;SUBSTITUTE(AD225,".",""),"")</f>
        <v/>
      </c>
      <c r="CX225" s="907"/>
      <c r="CY225" s="907"/>
      <c r="CZ225" s="907"/>
      <c r="DA225" s="908"/>
      <c r="DB225" s="908"/>
    </row>
    <row r="226" spans="1:106" s="1057" customFormat="1" ht="29.25" customHeight="1">
      <c r="A226" s="769"/>
      <c r="B226" s="718"/>
      <c r="C226" s="1016"/>
      <c r="D226" s="1016"/>
      <c r="E226" s="623">
        <v>30</v>
      </c>
      <c r="F226" s="714" t="str">
        <f t="shared" ca="1" si="115"/>
        <v>1</v>
      </c>
      <c r="G226" s="750"/>
      <c r="H226" s="750"/>
      <c r="I226" s="750"/>
      <c r="J226" s="750"/>
      <c r="K226" s="750"/>
      <c r="L226" s="750"/>
      <c r="M226" s="750"/>
      <c r="N226" s="750"/>
      <c r="O226" s="750"/>
      <c r="P226" s="750"/>
      <c r="Q226" s="750"/>
      <c r="R226" s="714" t="s">
        <v>569</v>
      </c>
      <c r="S226" s="98" t="b">
        <f t="shared" ca="1" si="116"/>
        <v>1</v>
      </c>
      <c r="T226" s="1016"/>
      <c r="U226" s="645" t="b">
        <f t="shared" ca="1" si="121"/>
        <v>1</v>
      </c>
      <c r="V226" s="1016"/>
      <c r="W226" s="1016"/>
      <c r="X226" s="1016"/>
      <c r="Y226" s="1382"/>
      <c r="Z226" s="1382"/>
      <c r="AA226" s="646"/>
      <c r="AB226" s="1431"/>
      <c r="AD226" s="111" t="s">
        <v>701</v>
      </c>
      <c r="AE226" s="1447" t="s">
        <v>702</v>
      </c>
      <c r="AF226" s="1448"/>
      <c r="AG226" s="111" t="s">
        <v>648</v>
      </c>
      <c r="AH226" s="672">
        <f t="shared" ref="AH226:BM226" si="124">SUM(AH227:AH228)</f>
        <v>0</v>
      </c>
      <c r="AI226" s="672">
        <f t="shared" si="124"/>
        <v>0</v>
      </c>
      <c r="AJ226" s="672">
        <f t="shared" si="124"/>
        <v>0</v>
      </c>
      <c r="AK226" s="672">
        <f t="shared" si="124"/>
        <v>0</v>
      </c>
      <c r="AL226" s="672">
        <f t="shared" si="124"/>
        <v>0</v>
      </c>
      <c r="AM226" s="672">
        <f t="shared" si="124"/>
        <v>0</v>
      </c>
      <c r="AN226" s="672">
        <f t="shared" si="124"/>
        <v>0</v>
      </c>
      <c r="AO226" s="672">
        <f t="shared" si="124"/>
        <v>0</v>
      </c>
      <c r="AP226" s="672">
        <f t="shared" si="124"/>
        <v>0</v>
      </c>
      <c r="AQ226" s="672">
        <f t="shared" si="124"/>
        <v>0</v>
      </c>
      <c r="AR226" s="672">
        <f t="shared" si="124"/>
        <v>0</v>
      </c>
      <c r="AS226" s="672">
        <f t="shared" si="124"/>
        <v>0</v>
      </c>
      <c r="AT226" s="672">
        <f t="shared" si="124"/>
        <v>0</v>
      </c>
      <c r="AU226" s="672">
        <f t="shared" si="124"/>
        <v>0</v>
      </c>
      <c r="AV226" s="672">
        <f t="shared" si="124"/>
        <v>0</v>
      </c>
      <c r="AW226" s="672">
        <f t="shared" si="124"/>
        <v>0</v>
      </c>
      <c r="AX226" s="672">
        <f t="shared" si="124"/>
        <v>0</v>
      </c>
      <c r="AY226" s="672">
        <f t="shared" si="124"/>
        <v>0</v>
      </c>
      <c r="AZ226" s="672">
        <f t="shared" si="124"/>
        <v>0</v>
      </c>
      <c r="BA226" s="672">
        <f t="shared" si="124"/>
        <v>0</v>
      </c>
      <c r="BB226" s="672">
        <f t="shared" si="124"/>
        <v>0</v>
      </c>
      <c r="BC226" s="672">
        <f t="shared" si="124"/>
        <v>0</v>
      </c>
      <c r="BD226" s="672">
        <f t="shared" si="124"/>
        <v>0</v>
      </c>
      <c r="BE226" s="672">
        <f t="shared" si="124"/>
        <v>0</v>
      </c>
      <c r="BF226" s="672">
        <f t="shared" si="124"/>
        <v>0</v>
      </c>
      <c r="BG226" s="672">
        <f t="shared" si="124"/>
        <v>0</v>
      </c>
      <c r="BH226" s="672">
        <f t="shared" si="124"/>
        <v>0</v>
      </c>
      <c r="BI226" s="672">
        <f t="shared" si="124"/>
        <v>0</v>
      </c>
      <c r="BJ226" s="672">
        <f t="shared" si="124"/>
        <v>0</v>
      </c>
      <c r="BK226" s="672">
        <f t="shared" si="124"/>
        <v>0</v>
      </c>
      <c r="BL226" s="672">
        <f t="shared" si="124"/>
        <v>0</v>
      </c>
      <c r="BM226" s="672">
        <f t="shared" si="124"/>
        <v>0</v>
      </c>
      <c r="BN226" s="672">
        <f t="shared" ref="BN226:CS226" si="125">SUM(BN227:BN228)</f>
        <v>0</v>
      </c>
      <c r="BO226" s="672">
        <f t="shared" si="125"/>
        <v>0</v>
      </c>
      <c r="BP226" s="672">
        <f t="shared" si="125"/>
        <v>0</v>
      </c>
      <c r="BQ226" s="672">
        <f t="shared" si="125"/>
        <v>0</v>
      </c>
      <c r="BR226" s="672">
        <f t="shared" si="125"/>
        <v>0</v>
      </c>
      <c r="BS226" s="672">
        <f t="shared" si="125"/>
        <v>0</v>
      </c>
      <c r="BT226" s="672">
        <f t="shared" si="125"/>
        <v>0</v>
      </c>
      <c r="BU226" s="672">
        <f t="shared" si="125"/>
        <v>0</v>
      </c>
      <c r="BV226" s="672">
        <f t="shared" si="125"/>
        <v>0</v>
      </c>
      <c r="BW226" s="672">
        <f t="shared" si="125"/>
        <v>0</v>
      </c>
      <c r="BX226" s="672">
        <f t="shared" si="125"/>
        <v>0</v>
      </c>
      <c r="BY226" s="672">
        <f t="shared" si="125"/>
        <v>0</v>
      </c>
      <c r="BZ226" s="672">
        <f t="shared" si="125"/>
        <v>0</v>
      </c>
      <c r="CA226" s="672">
        <f t="shared" si="125"/>
        <v>0</v>
      </c>
      <c r="CB226" s="672">
        <f t="shared" si="125"/>
        <v>0</v>
      </c>
      <c r="CC226" s="672">
        <f t="shared" si="125"/>
        <v>0</v>
      </c>
      <c r="CD226" s="672">
        <f t="shared" si="125"/>
        <v>0</v>
      </c>
      <c r="CE226" s="672">
        <f t="shared" si="125"/>
        <v>0</v>
      </c>
      <c r="CF226" s="672">
        <f t="shared" si="125"/>
        <v>0</v>
      </c>
      <c r="CG226" s="672">
        <f t="shared" si="125"/>
        <v>0</v>
      </c>
      <c r="CH226" s="672">
        <f t="shared" si="125"/>
        <v>0</v>
      </c>
      <c r="CI226" s="672">
        <f t="shared" si="125"/>
        <v>0</v>
      </c>
      <c r="CJ226" s="672">
        <f t="shared" si="125"/>
        <v>0</v>
      </c>
      <c r="CK226" s="672">
        <f t="shared" si="125"/>
        <v>0</v>
      </c>
      <c r="CL226" s="672">
        <f t="shared" si="125"/>
        <v>0</v>
      </c>
      <c r="CM226" s="672">
        <f t="shared" si="125"/>
        <v>0</v>
      </c>
      <c r="CN226" s="672">
        <f t="shared" si="125"/>
        <v>0</v>
      </c>
      <c r="CO226" s="672">
        <f t="shared" si="125"/>
        <v>0</v>
      </c>
      <c r="CP226" s="672">
        <f t="shared" si="125"/>
        <v>0</v>
      </c>
      <c r="CQ226" s="672">
        <f t="shared" si="125"/>
        <v>0</v>
      </c>
      <c r="CR226" s="672">
        <f t="shared" si="125"/>
        <v>0</v>
      </c>
      <c r="CS226" s="672">
        <f t="shared" si="125"/>
        <v>0</v>
      </c>
      <c r="CT226" s="1106"/>
      <c r="CW226" s="902" t="s">
        <v>703</v>
      </c>
      <c r="CX226" s="907"/>
      <c r="CY226" s="907"/>
      <c r="CZ226" s="907"/>
      <c r="DA226" s="908"/>
      <c r="DB226" s="908"/>
    </row>
    <row r="227" spans="1:106" s="1057" customFormat="1" ht="16.5" hidden="1" customHeight="1">
      <c r="A227" s="769"/>
      <c r="B227" s="718"/>
      <c r="C227" s="1016"/>
      <c r="D227" s="1016"/>
      <c r="E227" s="623">
        <v>17.100000000000001</v>
      </c>
      <c r="F227" s="714" t="str">
        <f t="shared" ca="1" si="115"/>
        <v>1</v>
      </c>
      <c r="G227" s="750"/>
      <c r="H227" s="750"/>
      <c r="I227" s="750"/>
      <c r="J227" s="750"/>
      <c r="K227" s="750"/>
      <c r="L227" s="750"/>
      <c r="M227" s="750"/>
      <c r="N227" s="750"/>
      <c r="O227" s="750"/>
      <c r="P227" s="750"/>
      <c r="Q227" s="750"/>
      <c r="R227" s="714" t="s">
        <v>569</v>
      </c>
      <c r="S227" s="98" t="b">
        <f t="shared" ca="1" si="116"/>
        <v>1</v>
      </c>
      <c r="T227" s="98" t="b">
        <f>AD227&lt;&gt;"37.0"</f>
        <v>0</v>
      </c>
      <c r="U227" s="645" t="b">
        <f t="shared" ca="1" si="121"/>
        <v>0</v>
      </c>
      <c r="V227" s="1016"/>
      <c r="W227" s="1016"/>
      <c r="X227" s="98" t="s">
        <v>170</v>
      </c>
      <c r="Y227" s="1382"/>
      <c r="Z227" s="1382"/>
      <c r="AA227" s="646"/>
      <c r="AB227" s="1431"/>
      <c r="AD227" s="99" t="s">
        <v>704</v>
      </c>
      <c r="AE227" s="757"/>
      <c r="AF227" s="475"/>
      <c r="AG227" s="111" t="s">
        <v>648</v>
      </c>
      <c r="AH227" s="28">
        <f>AH$163*AH224</f>
        <v>0</v>
      </c>
      <c r="AI227" s="29">
        <f>AI$163*AI224</f>
        <v>0</v>
      </c>
      <c r="AJ227" s="29">
        <f>AJ$163*AJ224</f>
        <v>0</v>
      </c>
      <c r="AK227" s="29">
        <f>AK$163*AK224</f>
        <v>0</v>
      </c>
      <c r="AL227" s="674">
        <f>AM227+AN227</f>
        <v>0</v>
      </c>
      <c r="AM227" s="29">
        <f>AM$163*AM224</f>
        <v>0</v>
      </c>
      <c r="AN227" s="29">
        <f>AN$163*AN224</f>
        <v>0</v>
      </c>
      <c r="AO227" s="674">
        <f>AP227+AQ227</f>
        <v>0</v>
      </c>
      <c r="AP227" s="1111">
        <f>AP$163*AP224</f>
        <v>0</v>
      </c>
      <c r="AQ227" s="1111">
        <f>AQ$163*AQ224</f>
        <v>0</v>
      </c>
      <c r="AR227" s="674">
        <f>AS227+AT227</f>
        <v>0</v>
      </c>
      <c r="AS227" s="1111">
        <f>AS$163*AS224</f>
        <v>0</v>
      </c>
      <c r="AT227" s="1111">
        <f>AT$163*AT224</f>
        <v>0</v>
      </c>
      <c r="AU227" s="674">
        <f>AV227+AW227</f>
        <v>0</v>
      </c>
      <c r="AV227" s="29">
        <f>AV$163*AV224</f>
        <v>0</v>
      </c>
      <c r="AW227" s="29">
        <f>AW$163*AW224</f>
        <v>0</v>
      </c>
      <c r="AX227" s="674">
        <f>AY227+AZ227</f>
        <v>0</v>
      </c>
      <c r="AY227" s="29">
        <f>AY$163*AY224</f>
        <v>0</v>
      </c>
      <c r="AZ227" s="29">
        <f>AZ$163*AZ224</f>
        <v>0</v>
      </c>
      <c r="BA227" s="674">
        <f>BB227+BC227</f>
        <v>0</v>
      </c>
      <c r="BB227" s="29">
        <f>BB$163*BB224</f>
        <v>0</v>
      </c>
      <c r="BC227" s="29">
        <f>BC$163*BC224</f>
        <v>0</v>
      </c>
      <c r="BD227" s="674">
        <f>BE227+BF227</f>
        <v>0</v>
      </c>
      <c r="BE227" s="29">
        <f>BE$163*BE224</f>
        <v>0</v>
      </c>
      <c r="BF227" s="29">
        <f>BF$163*BF224</f>
        <v>0</v>
      </c>
      <c r="BG227" s="674">
        <f>BH227+BI227</f>
        <v>0</v>
      </c>
      <c r="BH227" s="29">
        <f>BH$163*BH224</f>
        <v>0</v>
      </c>
      <c r="BI227" s="29">
        <f>BI$163*BI224</f>
        <v>0</v>
      </c>
      <c r="BJ227" s="674">
        <f>BK227+BL227</f>
        <v>0</v>
      </c>
      <c r="BK227" s="29">
        <f>BK$163*BK224</f>
        <v>0</v>
      </c>
      <c r="BL227" s="29">
        <f>BL$163*BL224</f>
        <v>0</v>
      </c>
      <c r="BM227" s="674">
        <f>BN227+BO227</f>
        <v>0</v>
      </c>
      <c r="BN227" s="29">
        <f>BN$163*BN224</f>
        <v>0</v>
      </c>
      <c r="BO227" s="29">
        <f>BO$163*BO224</f>
        <v>0</v>
      </c>
      <c r="BP227" s="674">
        <f>BQ227+BR227</f>
        <v>0</v>
      </c>
      <c r="BQ227" s="762">
        <f>BQ$163*BQ224</f>
        <v>0</v>
      </c>
      <c r="BR227" s="762">
        <f>BR$163*BR224</f>
        <v>0</v>
      </c>
      <c r="BS227" s="674">
        <f>BT227+BU227</f>
        <v>0</v>
      </c>
      <c r="BT227" s="1111">
        <f>BT$163*BT224</f>
        <v>0</v>
      </c>
      <c r="BU227" s="1111">
        <f>BU$163*BU224</f>
        <v>0</v>
      </c>
      <c r="BV227" s="674">
        <f>BW227+BX227</f>
        <v>0</v>
      </c>
      <c r="BW227" s="1111">
        <f>BW$163*BW224</f>
        <v>0</v>
      </c>
      <c r="BX227" s="1111">
        <f>BX$163*BX224</f>
        <v>0</v>
      </c>
      <c r="BY227" s="674">
        <f>BZ227+CA227</f>
        <v>0</v>
      </c>
      <c r="BZ227" s="29">
        <f>BZ$163*BZ224</f>
        <v>0</v>
      </c>
      <c r="CA227" s="29">
        <f>CA$163*CA224</f>
        <v>0</v>
      </c>
      <c r="CB227" s="674">
        <f>CC227+CD227</f>
        <v>0</v>
      </c>
      <c r="CC227" s="29">
        <f>CC$163*CC224</f>
        <v>0</v>
      </c>
      <c r="CD227" s="29">
        <f>CD$163*CD224</f>
        <v>0</v>
      </c>
      <c r="CE227" s="674">
        <f>CF227+CG227</f>
        <v>0</v>
      </c>
      <c r="CF227" s="29">
        <f>CF$163*CF224</f>
        <v>0</v>
      </c>
      <c r="CG227" s="29">
        <f>CG$163*CG224</f>
        <v>0</v>
      </c>
      <c r="CH227" s="674">
        <f>CI227+CJ227</f>
        <v>0</v>
      </c>
      <c r="CI227" s="29">
        <f>CI$163*CI224</f>
        <v>0</v>
      </c>
      <c r="CJ227" s="29">
        <f>CJ$163*CJ224</f>
        <v>0</v>
      </c>
      <c r="CK227" s="674">
        <f>CL227+CM227</f>
        <v>0</v>
      </c>
      <c r="CL227" s="29">
        <f>CL$163*CL224</f>
        <v>0</v>
      </c>
      <c r="CM227" s="29">
        <f>CM$163*CM224</f>
        <v>0</v>
      </c>
      <c r="CN227" s="674">
        <f>CO227+CP227</f>
        <v>0</v>
      </c>
      <c r="CO227" s="29">
        <f>CO$163*CO224</f>
        <v>0</v>
      </c>
      <c r="CP227" s="29">
        <f>CP$163*CP224</f>
        <v>0</v>
      </c>
      <c r="CQ227" s="674">
        <f>CR227+CS227</f>
        <v>0</v>
      </c>
      <c r="CR227" s="29">
        <f>CR$163*CR224</f>
        <v>0</v>
      </c>
      <c r="CS227" s="29">
        <f>CS$163*CS224</f>
        <v>0</v>
      </c>
      <c r="CT227" s="22"/>
      <c r="CW227" s="902" t="s">
        <v>703</v>
      </c>
      <c r="CX227" s="907" t="s">
        <v>630</v>
      </c>
      <c r="CY227" s="911">
        <f>AE227</f>
        <v>0</v>
      </c>
      <c r="CZ227" s="911">
        <f>AF227</f>
        <v>0</v>
      </c>
      <c r="DA227" s="908"/>
      <c r="DB227" s="908"/>
    </row>
    <row r="228" spans="1:106" s="1057" customFormat="1" ht="15" hidden="1" customHeight="1">
      <c r="A228" s="769"/>
      <c r="B228" s="718"/>
      <c r="C228" s="1016"/>
      <c r="D228" s="1016"/>
      <c r="E228" s="623">
        <v>0</v>
      </c>
      <c r="F228" s="714" t="str">
        <f t="shared" ca="1" si="115"/>
        <v>1</v>
      </c>
      <c r="G228" s="750"/>
      <c r="H228" s="750"/>
      <c r="I228" s="750"/>
      <c r="J228" s="750"/>
      <c r="K228" s="750"/>
      <c r="L228" s="750"/>
      <c r="M228" s="750"/>
      <c r="N228" s="750"/>
      <c r="O228" s="750"/>
      <c r="P228" s="750"/>
      <c r="Q228" s="750"/>
      <c r="R228" s="1016"/>
      <c r="S228" s="98" t="b">
        <f t="shared" ca="1" si="116"/>
        <v>1</v>
      </c>
      <c r="T228" s="1016"/>
      <c r="U228" s="645" t="b">
        <f t="shared" ca="1" si="121"/>
        <v>1</v>
      </c>
      <c r="V228" s="1016"/>
      <c r="W228" s="1016"/>
      <c r="X228" s="756" t="str">
        <f>"{                  
         funcDyn: 'msg1',
         blok: 'blok_2',
         wsCross: 'Топливо 4.4',
         linkFormula: 'AE-AE#AF-AF',
         levelDyn: "&amp;Y139&amp;"
}"</f>
        <v>{                  
         funcDyn: 'msg1',
         blok: 'blok_2',
         wsCross: 'Топливо 4.4',
         linkFormula: 'AE-AE#AF-AF',
         levelDyn: 1
}</v>
      </c>
      <c r="Y228" s="1382"/>
      <c r="Z228" s="1382"/>
      <c r="AA228" s="646"/>
      <c r="AB228" s="1432"/>
      <c r="AD228" s="759"/>
      <c r="AE228" s="758" t="s">
        <v>172</v>
      </c>
      <c r="AF228" s="685"/>
      <c r="AG228" s="111"/>
      <c r="AH228" s="673"/>
      <c r="AI228" s="675"/>
      <c r="AJ228" s="675"/>
      <c r="AK228" s="675"/>
      <c r="AL228" s="675"/>
      <c r="AM228" s="675"/>
      <c r="AN228" s="675"/>
      <c r="AO228" s="675"/>
      <c r="AP228" s="675"/>
      <c r="AQ228" s="675"/>
      <c r="AR228" s="675"/>
      <c r="AS228" s="675"/>
      <c r="AT228" s="675"/>
      <c r="AU228" s="675"/>
      <c r="AV228" s="675"/>
      <c r="AW228" s="675"/>
      <c r="AX228" s="675"/>
      <c r="AY228" s="675"/>
      <c r="AZ228" s="675"/>
      <c r="BA228" s="675"/>
      <c r="BB228" s="675"/>
      <c r="BC228" s="675"/>
      <c r="BD228" s="675"/>
      <c r="BE228" s="675"/>
      <c r="BF228" s="675"/>
      <c r="BG228" s="675"/>
      <c r="BH228" s="675"/>
      <c r="BI228" s="675"/>
      <c r="BJ228" s="675"/>
      <c r="BK228" s="675"/>
      <c r="BL228" s="675"/>
      <c r="BM228" s="675"/>
      <c r="BN228" s="675"/>
      <c r="BO228" s="675"/>
      <c r="BP228" s="675"/>
      <c r="BQ228" s="675"/>
      <c r="BR228" s="675"/>
      <c r="BS228" s="675"/>
      <c r="BT228" s="675"/>
      <c r="BU228" s="675"/>
      <c r="BV228" s="675"/>
      <c r="BW228" s="675"/>
      <c r="BX228" s="675"/>
      <c r="BY228" s="675"/>
      <c r="BZ228" s="675"/>
      <c r="CA228" s="675"/>
      <c r="CB228" s="675"/>
      <c r="CC228" s="675"/>
      <c r="CD228" s="675"/>
      <c r="CE228" s="675"/>
      <c r="CF228" s="675"/>
      <c r="CG228" s="675"/>
      <c r="CH228" s="675"/>
      <c r="CI228" s="675"/>
      <c r="CJ228" s="675"/>
      <c r="CK228" s="675"/>
      <c r="CL228" s="675"/>
      <c r="CM228" s="675"/>
      <c r="CN228" s="675"/>
      <c r="CO228" s="675"/>
      <c r="CP228" s="675"/>
      <c r="CQ228" s="675"/>
      <c r="CR228" s="675"/>
      <c r="CS228" s="675"/>
      <c r="CT228" s="33"/>
      <c r="CW228" s="902" t="str">
        <f>IF(AND(ISNUMBER(VALUE(TRIM(SUBSTITUTE(AD228,".","")))),TRIM(SUBSTITUTE(AD228,".",""))&lt;&gt;""),"P"&amp;SUBSTITUTE(AD228,".",""),"")</f>
        <v/>
      </c>
      <c r="CX228" s="907"/>
      <c r="CY228" s="907"/>
      <c r="CZ228" s="907"/>
      <c r="DA228" s="908"/>
      <c r="DB228" s="908"/>
    </row>
    <row r="229" spans="1:106" s="1057" customFormat="1" ht="16.5" customHeight="1">
      <c r="A229" s="769"/>
      <c r="B229" s="718"/>
      <c r="C229" s="1016"/>
      <c r="D229" s="1016"/>
      <c r="E229" s="623">
        <v>17.100000000000001</v>
      </c>
      <c r="F229" s="714" t="str">
        <f t="shared" ca="1" si="115"/>
        <v>1</v>
      </c>
      <c r="G229" s="750"/>
      <c r="H229" s="750"/>
      <c r="I229" s="750"/>
      <c r="J229" s="750"/>
      <c r="K229" s="750"/>
      <c r="L229" s="750"/>
      <c r="M229" s="750"/>
      <c r="N229" s="750"/>
      <c r="O229" s="750"/>
      <c r="P229" s="750"/>
      <c r="Q229" s="750"/>
      <c r="R229" s="1016"/>
      <c r="S229" s="98" t="b">
        <f t="shared" ca="1" si="116"/>
        <v>1</v>
      </c>
      <c r="T229" s="1016"/>
      <c r="U229" s="645" t="b">
        <f t="shared" ca="1" si="121"/>
        <v>1</v>
      </c>
      <c r="V229" s="1016"/>
      <c r="W229" s="1016"/>
      <c r="X229" s="1016"/>
      <c r="Y229" s="1382"/>
      <c r="Z229" s="1382"/>
      <c r="AA229" s="646"/>
      <c r="AB229" s="1430" t="s">
        <v>705</v>
      </c>
      <c r="AD229" s="111" t="s">
        <v>706</v>
      </c>
      <c r="AE229" s="1442" t="s">
        <v>707</v>
      </c>
      <c r="AF229" s="1413"/>
      <c r="AG229" s="111" t="s">
        <v>648</v>
      </c>
      <c r="AH229" s="672">
        <f t="shared" ref="AH229:BM229" si="126">SUM(AH231:AH232)</f>
        <v>0</v>
      </c>
      <c r="AI229" s="672">
        <f t="shared" si="126"/>
        <v>0</v>
      </c>
      <c r="AJ229" s="672">
        <f t="shared" si="126"/>
        <v>0</v>
      </c>
      <c r="AK229" s="672">
        <f t="shared" si="126"/>
        <v>0</v>
      </c>
      <c r="AL229" s="672">
        <f t="shared" si="126"/>
        <v>0</v>
      </c>
      <c r="AM229" s="672">
        <f t="shared" si="126"/>
        <v>0</v>
      </c>
      <c r="AN229" s="672">
        <f t="shared" si="126"/>
        <v>0</v>
      </c>
      <c r="AO229" s="672">
        <f t="shared" si="126"/>
        <v>0</v>
      </c>
      <c r="AP229" s="672">
        <f t="shared" si="126"/>
        <v>0</v>
      </c>
      <c r="AQ229" s="672">
        <f t="shared" si="126"/>
        <v>0</v>
      </c>
      <c r="AR229" s="672">
        <f t="shared" si="126"/>
        <v>0</v>
      </c>
      <c r="AS229" s="672">
        <f t="shared" si="126"/>
        <v>0</v>
      </c>
      <c r="AT229" s="672">
        <f t="shared" si="126"/>
        <v>0</v>
      </c>
      <c r="AU229" s="672">
        <f t="shared" si="126"/>
        <v>0</v>
      </c>
      <c r="AV229" s="672">
        <f t="shared" si="126"/>
        <v>0</v>
      </c>
      <c r="AW229" s="672">
        <f t="shared" si="126"/>
        <v>0</v>
      </c>
      <c r="AX229" s="672">
        <f t="shared" si="126"/>
        <v>0</v>
      </c>
      <c r="AY229" s="672">
        <f t="shared" si="126"/>
        <v>0</v>
      </c>
      <c r="AZ229" s="672">
        <f t="shared" si="126"/>
        <v>0</v>
      </c>
      <c r="BA229" s="672">
        <f t="shared" si="126"/>
        <v>0</v>
      </c>
      <c r="BB229" s="672">
        <f t="shared" si="126"/>
        <v>0</v>
      </c>
      <c r="BC229" s="672">
        <f t="shared" si="126"/>
        <v>0</v>
      </c>
      <c r="BD229" s="672">
        <f t="shared" si="126"/>
        <v>0</v>
      </c>
      <c r="BE229" s="672">
        <f t="shared" si="126"/>
        <v>0</v>
      </c>
      <c r="BF229" s="672">
        <f t="shared" si="126"/>
        <v>0</v>
      </c>
      <c r="BG229" s="672">
        <f t="shared" si="126"/>
        <v>0</v>
      </c>
      <c r="BH229" s="672">
        <f t="shared" si="126"/>
        <v>0</v>
      </c>
      <c r="BI229" s="672">
        <f t="shared" si="126"/>
        <v>0</v>
      </c>
      <c r="BJ229" s="672">
        <f t="shared" si="126"/>
        <v>0</v>
      </c>
      <c r="BK229" s="672">
        <f t="shared" si="126"/>
        <v>0</v>
      </c>
      <c r="BL229" s="672">
        <f t="shared" si="126"/>
        <v>0</v>
      </c>
      <c r="BM229" s="672">
        <f t="shared" si="126"/>
        <v>0</v>
      </c>
      <c r="BN229" s="672">
        <f t="shared" ref="BN229:CS229" si="127">SUM(BN231:BN232)</f>
        <v>0</v>
      </c>
      <c r="BO229" s="672">
        <f t="shared" si="127"/>
        <v>0</v>
      </c>
      <c r="BP229" s="672">
        <f t="shared" si="127"/>
        <v>0</v>
      </c>
      <c r="BQ229" s="672">
        <f t="shared" si="127"/>
        <v>0</v>
      </c>
      <c r="BR229" s="672">
        <f t="shared" si="127"/>
        <v>0</v>
      </c>
      <c r="BS229" s="672">
        <f t="shared" si="127"/>
        <v>0</v>
      </c>
      <c r="BT229" s="672">
        <f t="shared" si="127"/>
        <v>0</v>
      </c>
      <c r="BU229" s="672">
        <f t="shared" si="127"/>
        <v>0</v>
      </c>
      <c r="BV229" s="672">
        <f t="shared" si="127"/>
        <v>0</v>
      </c>
      <c r="BW229" s="672">
        <f t="shared" si="127"/>
        <v>0</v>
      </c>
      <c r="BX229" s="672">
        <f t="shared" si="127"/>
        <v>0</v>
      </c>
      <c r="BY229" s="672">
        <f t="shared" si="127"/>
        <v>0</v>
      </c>
      <c r="BZ229" s="672">
        <f t="shared" si="127"/>
        <v>0</v>
      </c>
      <c r="CA229" s="672">
        <f t="shared" si="127"/>
        <v>0</v>
      </c>
      <c r="CB229" s="672">
        <f t="shared" si="127"/>
        <v>0</v>
      </c>
      <c r="CC229" s="672">
        <f t="shared" si="127"/>
        <v>0</v>
      </c>
      <c r="CD229" s="672">
        <f t="shared" si="127"/>
        <v>0</v>
      </c>
      <c r="CE229" s="672">
        <f t="shared" si="127"/>
        <v>0</v>
      </c>
      <c r="CF229" s="672">
        <f t="shared" si="127"/>
        <v>0</v>
      </c>
      <c r="CG229" s="672">
        <f t="shared" si="127"/>
        <v>0</v>
      </c>
      <c r="CH229" s="672">
        <f t="shared" si="127"/>
        <v>0</v>
      </c>
      <c r="CI229" s="672">
        <f t="shared" si="127"/>
        <v>0</v>
      </c>
      <c r="CJ229" s="672">
        <f t="shared" si="127"/>
        <v>0</v>
      </c>
      <c r="CK229" s="672">
        <f t="shared" si="127"/>
        <v>0</v>
      </c>
      <c r="CL229" s="672">
        <f t="shared" si="127"/>
        <v>0</v>
      </c>
      <c r="CM229" s="672">
        <f t="shared" si="127"/>
        <v>0</v>
      </c>
      <c r="CN229" s="672">
        <f t="shared" si="127"/>
        <v>0</v>
      </c>
      <c r="CO229" s="672">
        <f t="shared" si="127"/>
        <v>0</v>
      </c>
      <c r="CP229" s="672">
        <f t="shared" si="127"/>
        <v>0</v>
      </c>
      <c r="CQ229" s="672">
        <f t="shared" si="127"/>
        <v>0</v>
      </c>
      <c r="CR229" s="672">
        <f t="shared" si="127"/>
        <v>0</v>
      </c>
      <c r="CS229" s="672">
        <f t="shared" si="127"/>
        <v>0</v>
      </c>
      <c r="CT229" s="1106"/>
      <c r="CW229" s="902" t="s">
        <v>708</v>
      </c>
      <c r="CX229" s="907"/>
      <c r="CY229" s="907"/>
      <c r="CZ229" s="907"/>
      <c r="DA229" s="908"/>
      <c r="DB229" s="908"/>
    </row>
    <row r="230" spans="1:106" s="1057" customFormat="1" ht="16.5" hidden="1" customHeight="1">
      <c r="A230" s="769"/>
      <c r="B230" s="718"/>
      <c r="C230" s="1016"/>
      <c r="D230" s="1016"/>
      <c r="E230" s="623">
        <v>17.100000000000001</v>
      </c>
      <c r="F230" s="714" t="str">
        <f t="shared" ca="1" si="115"/>
        <v>1</v>
      </c>
      <c r="G230" s="750"/>
      <c r="H230" s="750"/>
      <c r="I230" s="750"/>
      <c r="J230" s="750"/>
      <c r="K230" s="750"/>
      <c r="L230" s="750"/>
      <c r="M230" s="750"/>
      <c r="N230" s="750"/>
      <c r="O230" s="750"/>
      <c r="P230" s="750"/>
      <c r="Q230" s="750"/>
      <c r="R230" s="714" t="s">
        <v>569</v>
      </c>
      <c r="S230" s="98" t="b">
        <f t="shared" ca="1" si="116"/>
        <v>1</v>
      </c>
      <c r="T230" s="714" t="b">
        <v>0</v>
      </c>
      <c r="U230" s="645" t="b">
        <f t="shared" ca="1" si="121"/>
        <v>0</v>
      </c>
      <c r="V230" s="1016"/>
      <c r="W230" s="1016"/>
      <c r="X230" s="1016"/>
      <c r="Y230" s="1382"/>
      <c r="Z230" s="1382"/>
      <c r="AA230" s="646"/>
      <c r="AB230" s="1431"/>
      <c r="AD230" s="99" t="str">
        <f>AD229&amp;".0"</f>
        <v>38.0</v>
      </c>
      <c r="AE230" s="1445" t="s">
        <v>580</v>
      </c>
      <c r="AF230" s="1446"/>
      <c r="AG230" s="111" t="s">
        <v>648</v>
      </c>
      <c r="AH230" s="28">
        <f>AH$163*AH229</f>
        <v>0</v>
      </c>
      <c r="AI230" s="29">
        <f>AI$163*AI229</f>
        <v>0</v>
      </c>
      <c r="AJ230" s="29">
        <f>AJ$163*AJ229</f>
        <v>0</v>
      </c>
      <c r="AK230" s="29">
        <f>AK$163*AK229</f>
        <v>0</v>
      </c>
      <c r="AL230" s="674">
        <f>AM230+AN230</f>
        <v>0</v>
      </c>
      <c r="AM230" s="29">
        <f>AM$163*AM229</f>
        <v>0</v>
      </c>
      <c r="AN230" s="29">
        <f>AN$163*AN229</f>
        <v>0</v>
      </c>
      <c r="AO230" s="674">
        <f>AP230+AQ230</f>
        <v>0</v>
      </c>
      <c r="AP230" s="1111">
        <f>AP$163*AP229</f>
        <v>0</v>
      </c>
      <c r="AQ230" s="1111">
        <f>AQ$163*AQ229</f>
        <v>0</v>
      </c>
      <c r="AR230" s="674">
        <f>AS230+AT230</f>
        <v>0</v>
      </c>
      <c r="AS230" s="1111">
        <f>AS$163*AS229</f>
        <v>0</v>
      </c>
      <c r="AT230" s="1111">
        <f>AT$163*AT229</f>
        <v>0</v>
      </c>
      <c r="AU230" s="674">
        <f>AV230+AW230</f>
        <v>0</v>
      </c>
      <c r="AV230" s="29">
        <f>AV$163*AV229</f>
        <v>0</v>
      </c>
      <c r="AW230" s="29">
        <f>AW$163*AW229</f>
        <v>0</v>
      </c>
      <c r="AX230" s="674">
        <f>AY230+AZ230</f>
        <v>0</v>
      </c>
      <c r="AY230" s="29">
        <f>AY$163*AY229</f>
        <v>0</v>
      </c>
      <c r="AZ230" s="29">
        <f>AZ$163*AZ229</f>
        <v>0</v>
      </c>
      <c r="BA230" s="674">
        <f>BB230+BC230</f>
        <v>0</v>
      </c>
      <c r="BB230" s="29">
        <f>BB$163*BB229</f>
        <v>0</v>
      </c>
      <c r="BC230" s="29">
        <f>BC$163*BC229</f>
        <v>0</v>
      </c>
      <c r="BD230" s="674">
        <f>BE230+BF230</f>
        <v>0</v>
      </c>
      <c r="BE230" s="29">
        <f>BE$163*BE229</f>
        <v>0</v>
      </c>
      <c r="BF230" s="29">
        <f>BF$163*BF229</f>
        <v>0</v>
      </c>
      <c r="BG230" s="674">
        <f>BH230+BI230</f>
        <v>0</v>
      </c>
      <c r="BH230" s="29">
        <f>BH$163*BH229</f>
        <v>0</v>
      </c>
      <c r="BI230" s="29">
        <f>BI$163*BI229</f>
        <v>0</v>
      </c>
      <c r="BJ230" s="674">
        <f>BK230+BL230</f>
        <v>0</v>
      </c>
      <c r="BK230" s="29">
        <f>BK$163*BK229</f>
        <v>0</v>
      </c>
      <c r="BL230" s="29">
        <f>BL$163*BL229</f>
        <v>0</v>
      </c>
      <c r="BM230" s="674">
        <f>BN230+BO230</f>
        <v>0</v>
      </c>
      <c r="BN230" s="29">
        <f>BN$163*BN229</f>
        <v>0</v>
      </c>
      <c r="BO230" s="29">
        <f>BO$163*BO229</f>
        <v>0</v>
      </c>
      <c r="BP230" s="674">
        <f>BQ230+BR230</f>
        <v>0</v>
      </c>
      <c r="BQ230" s="762">
        <f>BQ$163*BQ229</f>
        <v>0</v>
      </c>
      <c r="BR230" s="762">
        <f>BR$163*BR229</f>
        <v>0</v>
      </c>
      <c r="BS230" s="674">
        <f>BT230+BU230</f>
        <v>0</v>
      </c>
      <c r="BT230" s="1111">
        <f>BT$163*BT229</f>
        <v>0</v>
      </c>
      <c r="BU230" s="1111">
        <f>BU$163*BU229</f>
        <v>0</v>
      </c>
      <c r="BV230" s="674">
        <f>BW230+BX230</f>
        <v>0</v>
      </c>
      <c r="BW230" s="1111">
        <f>BW$163*BW229</f>
        <v>0</v>
      </c>
      <c r="BX230" s="1111">
        <f>BX$163*BX229</f>
        <v>0</v>
      </c>
      <c r="BY230" s="674">
        <f>BZ230+CA230</f>
        <v>0</v>
      </c>
      <c r="BZ230" s="29">
        <f>BZ$163*BZ229</f>
        <v>0</v>
      </c>
      <c r="CA230" s="29">
        <f>CA$163*CA229</f>
        <v>0</v>
      </c>
      <c r="CB230" s="674">
        <f>CC230+CD230</f>
        <v>0</v>
      </c>
      <c r="CC230" s="29">
        <f>CC$163*CC229</f>
        <v>0</v>
      </c>
      <c r="CD230" s="29">
        <f>CD$163*CD229</f>
        <v>0</v>
      </c>
      <c r="CE230" s="674">
        <f>CF230+CG230</f>
        <v>0</v>
      </c>
      <c r="CF230" s="29">
        <f>CF$163*CF229</f>
        <v>0</v>
      </c>
      <c r="CG230" s="29">
        <f>CG$163*CG229</f>
        <v>0</v>
      </c>
      <c r="CH230" s="674">
        <f>CI230+CJ230</f>
        <v>0</v>
      </c>
      <c r="CI230" s="29">
        <f>CI$163*CI229</f>
        <v>0</v>
      </c>
      <c r="CJ230" s="29">
        <f>CJ$163*CJ229</f>
        <v>0</v>
      </c>
      <c r="CK230" s="674">
        <f>CL230+CM230</f>
        <v>0</v>
      </c>
      <c r="CL230" s="29">
        <f>CL$163*CL229</f>
        <v>0</v>
      </c>
      <c r="CM230" s="29">
        <f>CM$163*CM229</f>
        <v>0</v>
      </c>
      <c r="CN230" s="674">
        <f>CO230+CP230</f>
        <v>0</v>
      </c>
      <c r="CO230" s="29">
        <f>CO$163*CO229</f>
        <v>0</v>
      </c>
      <c r="CP230" s="29">
        <f>CP$163*CP229</f>
        <v>0</v>
      </c>
      <c r="CQ230" s="674">
        <f>CR230+CS230</f>
        <v>0</v>
      </c>
      <c r="CR230" s="29">
        <f>CR$163*CR229</f>
        <v>0</v>
      </c>
      <c r="CS230" s="29">
        <f>CS$163*CS229</f>
        <v>0</v>
      </c>
      <c r="CT230" s="22"/>
      <c r="CW230" s="902" t="s">
        <v>709</v>
      </c>
      <c r="CX230" s="907"/>
      <c r="CY230" s="907"/>
      <c r="CZ230" s="907"/>
      <c r="DA230" s="908"/>
      <c r="DB230" s="908"/>
    </row>
    <row r="231" spans="1:106" s="1057" customFormat="1" ht="16.5" hidden="1" customHeight="1">
      <c r="A231" s="769"/>
      <c r="B231" s="718"/>
      <c r="C231" s="1016"/>
      <c r="D231" s="1016"/>
      <c r="E231" s="623">
        <v>17.100000000000001</v>
      </c>
      <c r="F231" s="714" t="str">
        <f t="shared" ca="1" si="115"/>
        <v>1</v>
      </c>
      <c r="G231" s="750"/>
      <c r="H231" s="750"/>
      <c r="I231" s="750"/>
      <c r="J231" s="750"/>
      <c r="K231" s="750"/>
      <c r="L231" s="750"/>
      <c r="M231" s="750"/>
      <c r="N231" s="750"/>
      <c r="O231" s="750"/>
      <c r="P231" s="750"/>
      <c r="Q231" s="750"/>
      <c r="R231" s="1016"/>
      <c r="S231" s="98" t="b">
        <f t="shared" ca="1" si="116"/>
        <v>1</v>
      </c>
      <c r="T231" s="98" t="b">
        <f>AD231&lt;&gt;"38.0"</f>
        <v>0</v>
      </c>
      <c r="U231" s="645" t="b">
        <f t="shared" ca="1" si="121"/>
        <v>0</v>
      </c>
      <c r="V231" s="1016"/>
      <c r="W231" s="1016"/>
      <c r="X231" s="98" t="s">
        <v>170</v>
      </c>
      <c r="Y231" s="1382"/>
      <c r="Z231" s="1382"/>
      <c r="AA231" s="646"/>
      <c r="AB231" s="1431"/>
      <c r="AD231" s="99" t="s">
        <v>710</v>
      </c>
      <c r="AE231" s="757"/>
      <c r="AF231" s="475"/>
      <c r="AG231" s="111" t="s">
        <v>648</v>
      </c>
      <c r="AH231" s="28"/>
      <c r="AI231" s="29"/>
      <c r="AJ231" s="29"/>
      <c r="AK231" s="29"/>
      <c r="AL231" s="674">
        <f>AM231+AN231</f>
        <v>0</v>
      </c>
      <c r="AM231" s="29"/>
      <c r="AN231" s="29"/>
      <c r="AO231" s="674">
        <f>AP231+AQ231</f>
        <v>0</v>
      </c>
      <c r="AP231" s="1111"/>
      <c r="AQ231" s="1111"/>
      <c r="AR231" s="674">
        <f>AS231+AT231</f>
        <v>0</v>
      </c>
      <c r="AS231" s="1111"/>
      <c r="AT231" s="1111"/>
      <c r="AU231" s="674">
        <f>AV231+AW231</f>
        <v>0</v>
      </c>
      <c r="AV231" s="29"/>
      <c r="AW231" s="29"/>
      <c r="AX231" s="674">
        <f>AY231+AZ231</f>
        <v>0</v>
      </c>
      <c r="AY231" s="29"/>
      <c r="AZ231" s="29"/>
      <c r="BA231" s="674">
        <f>BB231+BC231</f>
        <v>0</v>
      </c>
      <c r="BB231" s="29"/>
      <c r="BC231" s="29"/>
      <c r="BD231" s="674">
        <f>BE231+BF231</f>
        <v>0</v>
      </c>
      <c r="BE231" s="29"/>
      <c r="BF231" s="29"/>
      <c r="BG231" s="674">
        <f>BH231+BI231</f>
        <v>0</v>
      </c>
      <c r="BH231" s="29"/>
      <c r="BI231" s="29"/>
      <c r="BJ231" s="674">
        <f>BK231+BL231</f>
        <v>0</v>
      </c>
      <c r="BK231" s="29"/>
      <c r="BL231" s="29"/>
      <c r="BM231" s="674">
        <f>BN231+BO231</f>
        <v>0</v>
      </c>
      <c r="BN231" s="29"/>
      <c r="BO231" s="29"/>
      <c r="BP231" s="674">
        <f>BQ231+BR231</f>
        <v>0</v>
      </c>
      <c r="BQ231" s="762"/>
      <c r="BR231" s="762"/>
      <c r="BS231" s="674">
        <f>BT231+BU231</f>
        <v>0</v>
      </c>
      <c r="BT231" s="1111"/>
      <c r="BU231" s="1111"/>
      <c r="BV231" s="674">
        <f>BW231+BX231</f>
        <v>0</v>
      </c>
      <c r="BW231" s="1111"/>
      <c r="BX231" s="1111"/>
      <c r="BY231" s="674">
        <f>BZ231+CA231</f>
        <v>0</v>
      </c>
      <c r="BZ231" s="29"/>
      <c r="CA231" s="29"/>
      <c r="CB231" s="674">
        <f>CC231+CD231</f>
        <v>0</v>
      </c>
      <c r="CC231" s="29"/>
      <c r="CD231" s="29"/>
      <c r="CE231" s="674">
        <f>CF231+CG231</f>
        <v>0</v>
      </c>
      <c r="CF231" s="29"/>
      <c r="CG231" s="29"/>
      <c r="CH231" s="674">
        <f>CI231+CJ231</f>
        <v>0</v>
      </c>
      <c r="CI231" s="29"/>
      <c r="CJ231" s="29"/>
      <c r="CK231" s="674">
        <f>CL231+CM231</f>
        <v>0</v>
      </c>
      <c r="CL231" s="29"/>
      <c r="CM231" s="29"/>
      <c r="CN231" s="674">
        <f>CO231+CP231</f>
        <v>0</v>
      </c>
      <c r="CO231" s="29"/>
      <c r="CP231" s="29"/>
      <c r="CQ231" s="674">
        <f>CR231+CS231</f>
        <v>0</v>
      </c>
      <c r="CR231" s="29"/>
      <c r="CS231" s="29"/>
      <c r="CT231" s="22"/>
      <c r="CW231" s="902" t="s">
        <v>709</v>
      </c>
      <c r="CX231" s="907" t="s">
        <v>630</v>
      </c>
      <c r="CY231" s="911">
        <f>AE231</f>
        <v>0</v>
      </c>
      <c r="CZ231" s="911">
        <f>AF231</f>
        <v>0</v>
      </c>
      <c r="DA231" s="908"/>
      <c r="DB231" s="908"/>
    </row>
    <row r="232" spans="1:106" s="1057" customFormat="1" ht="15" hidden="1" customHeight="1">
      <c r="A232" s="769"/>
      <c r="B232" s="718"/>
      <c r="C232" s="1016"/>
      <c r="D232" s="1016"/>
      <c r="E232" s="623">
        <v>0</v>
      </c>
      <c r="F232" s="714" t="str">
        <f t="shared" ca="1" si="115"/>
        <v>1</v>
      </c>
      <c r="G232" s="750"/>
      <c r="H232" s="750"/>
      <c r="I232" s="750"/>
      <c r="J232" s="750"/>
      <c r="K232" s="750"/>
      <c r="L232" s="750"/>
      <c r="M232" s="750"/>
      <c r="N232" s="750"/>
      <c r="O232" s="750"/>
      <c r="P232" s="750"/>
      <c r="Q232" s="750"/>
      <c r="R232" s="1016"/>
      <c r="S232" s="98" t="b">
        <f t="shared" ca="1" si="116"/>
        <v>1</v>
      </c>
      <c r="T232" s="1016"/>
      <c r="U232" s="645" t="b">
        <f t="shared" ca="1" si="121"/>
        <v>1</v>
      </c>
      <c r="V232" s="1016"/>
      <c r="W232" s="1016"/>
      <c r="X232" s="756" t="str">
        <f>"{                  
         funcDyn: 'msg1',
         blok: 'blok_2',
         wsCross: 'Топливо 4.4',
         linkFormula: 'AE-AE#AF-AF',
         levelDyn: "&amp;Y139&amp;"
}"</f>
        <v>{                  
         funcDyn: 'msg1',
         blok: 'blok_2',
         wsCross: 'Топливо 4.4',
         linkFormula: 'AE-AE#AF-AF',
         levelDyn: 1
}</v>
      </c>
      <c r="Y232" s="1382"/>
      <c r="Z232" s="1382"/>
      <c r="AA232" s="646"/>
      <c r="AB232" s="1431"/>
      <c r="AD232" s="759"/>
      <c r="AE232" s="758" t="s">
        <v>172</v>
      </c>
      <c r="AF232" s="685"/>
      <c r="AG232" s="111"/>
      <c r="AH232" s="673"/>
      <c r="AI232" s="675"/>
      <c r="AJ232" s="675"/>
      <c r="AK232" s="675"/>
      <c r="AL232" s="675"/>
      <c r="AM232" s="675"/>
      <c r="AN232" s="675"/>
      <c r="AO232" s="675"/>
      <c r="AP232" s="675"/>
      <c r="AQ232" s="675"/>
      <c r="AR232" s="675"/>
      <c r="AS232" s="675"/>
      <c r="AT232" s="675"/>
      <c r="AU232" s="675"/>
      <c r="AV232" s="675"/>
      <c r="AW232" s="675"/>
      <c r="AX232" s="675"/>
      <c r="AY232" s="675"/>
      <c r="AZ232" s="675"/>
      <c r="BA232" s="675"/>
      <c r="BB232" s="675"/>
      <c r="BC232" s="675"/>
      <c r="BD232" s="675"/>
      <c r="BE232" s="675"/>
      <c r="BF232" s="675"/>
      <c r="BG232" s="675"/>
      <c r="BH232" s="675"/>
      <c r="BI232" s="675"/>
      <c r="BJ232" s="675"/>
      <c r="BK232" s="675"/>
      <c r="BL232" s="675"/>
      <c r="BM232" s="675"/>
      <c r="BN232" s="675"/>
      <c r="BO232" s="675"/>
      <c r="BP232" s="675"/>
      <c r="BQ232" s="675"/>
      <c r="BR232" s="675"/>
      <c r="BS232" s="675"/>
      <c r="BT232" s="675"/>
      <c r="BU232" s="675"/>
      <c r="BV232" s="675"/>
      <c r="BW232" s="675"/>
      <c r="BX232" s="675"/>
      <c r="BY232" s="675"/>
      <c r="BZ232" s="675"/>
      <c r="CA232" s="675"/>
      <c r="CB232" s="675"/>
      <c r="CC232" s="675"/>
      <c r="CD232" s="675"/>
      <c r="CE232" s="675"/>
      <c r="CF232" s="675"/>
      <c r="CG232" s="675"/>
      <c r="CH232" s="675"/>
      <c r="CI232" s="675"/>
      <c r="CJ232" s="675"/>
      <c r="CK232" s="675"/>
      <c r="CL232" s="675"/>
      <c r="CM232" s="675"/>
      <c r="CN232" s="675"/>
      <c r="CO232" s="675"/>
      <c r="CP232" s="675"/>
      <c r="CQ232" s="675"/>
      <c r="CR232" s="675"/>
      <c r="CS232" s="675"/>
      <c r="CT232" s="33"/>
      <c r="CW232" s="902" t="str">
        <f>IF(AND(ISNUMBER(VALUE(TRIM(SUBSTITUTE(AD232,".","")))),TRIM(SUBSTITUTE(AD232,".",""))&lt;&gt;""),"P"&amp;SUBSTITUTE(AD232,".",""),"")</f>
        <v/>
      </c>
      <c r="CX232" s="907"/>
      <c r="CY232" s="907"/>
      <c r="CZ232" s="907"/>
      <c r="DA232" s="908"/>
      <c r="DB232" s="908"/>
    </row>
    <row r="233" spans="1:106" s="1057" customFormat="1" ht="29.25" customHeight="1">
      <c r="A233" s="769"/>
      <c r="B233" s="718"/>
      <c r="C233" s="1016"/>
      <c r="D233" s="1016"/>
      <c r="E233" s="623">
        <v>30</v>
      </c>
      <c r="F233" s="714" t="str">
        <f t="shared" ca="1" si="115"/>
        <v>1</v>
      </c>
      <c r="G233" s="750"/>
      <c r="H233" s="750"/>
      <c r="I233" s="750"/>
      <c r="J233" s="750"/>
      <c r="K233" s="750"/>
      <c r="L233" s="750"/>
      <c r="M233" s="750"/>
      <c r="N233" s="750"/>
      <c r="O233" s="750"/>
      <c r="P233" s="750"/>
      <c r="Q233" s="750"/>
      <c r="R233" s="714" t="s">
        <v>569</v>
      </c>
      <c r="S233" s="98" t="b">
        <f t="shared" ca="1" si="116"/>
        <v>1</v>
      </c>
      <c r="T233" s="1016"/>
      <c r="U233" s="645" t="b">
        <f t="shared" ca="1" si="121"/>
        <v>1</v>
      </c>
      <c r="V233" s="1016"/>
      <c r="W233" s="1016"/>
      <c r="X233" s="1016"/>
      <c r="Y233" s="1382"/>
      <c r="Z233" s="1382"/>
      <c r="AA233" s="646"/>
      <c r="AB233" s="1431"/>
      <c r="AD233" s="111" t="s">
        <v>711</v>
      </c>
      <c r="AE233" s="1447" t="s">
        <v>712</v>
      </c>
      <c r="AF233" s="1448"/>
      <c r="AG233" s="111" t="s">
        <v>648</v>
      </c>
      <c r="AH233" s="672">
        <f t="shared" ref="AH233:BM233" si="128">SUM(AH234:AH235)</f>
        <v>0</v>
      </c>
      <c r="AI233" s="672">
        <f t="shared" si="128"/>
        <v>0</v>
      </c>
      <c r="AJ233" s="672">
        <f t="shared" si="128"/>
        <v>0</v>
      </c>
      <c r="AK233" s="672">
        <f t="shared" si="128"/>
        <v>0</v>
      </c>
      <c r="AL233" s="672">
        <f t="shared" si="128"/>
        <v>0</v>
      </c>
      <c r="AM233" s="672">
        <f t="shared" si="128"/>
        <v>0</v>
      </c>
      <c r="AN233" s="672">
        <f t="shared" si="128"/>
        <v>0</v>
      </c>
      <c r="AO233" s="672">
        <f t="shared" si="128"/>
        <v>0</v>
      </c>
      <c r="AP233" s="672">
        <f t="shared" si="128"/>
        <v>0</v>
      </c>
      <c r="AQ233" s="672">
        <f t="shared" si="128"/>
        <v>0</v>
      </c>
      <c r="AR233" s="672">
        <f t="shared" si="128"/>
        <v>0</v>
      </c>
      <c r="AS233" s="672">
        <f t="shared" si="128"/>
        <v>0</v>
      </c>
      <c r="AT233" s="672">
        <f t="shared" si="128"/>
        <v>0</v>
      </c>
      <c r="AU233" s="672">
        <f t="shared" si="128"/>
        <v>0</v>
      </c>
      <c r="AV233" s="672">
        <f t="shared" si="128"/>
        <v>0</v>
      </c>
      <c r="AW233" s="672">
        <f t="shared" si="128"/>
        <v>0</v>
      </c>
      <c r="AX233" s="672">
        <f t="shared" si="128"/>
        <v>0</v>
      </c>
      <c r="AY233" s="672">
        <f t="shared" si="128"/>
        <v>0</v>
      </c>
      <c r="AZ233" s="672">
        <f t="shared" si="128"/>
        <v>0</v>
      </c>
      <c r="BA233" s="672">
        <f t="shared" si="128"/>
        <v>0</v>
      </c>
      <c r="BB233" s="672">
        <f t="shared" si="128"/>
        <v>0</v>
      </c>
      <c r="BC233" s="672">
        <f t="shared" si="128"/>
        <v>0</v>
      </c>
      <c r="BD233" s="672">
        <f t="shared" si="128"/>
        <v>0</v>
      </c>
      <c r="BE233" s="672">
        <f t="shared" si="128"/>
        <v>0</v>
      </c>
      <c r="BF233" s="672">
        <f t="shared" si="128"/>
        <v>0</v>
      </c>
      <c r="BG233" s="672">
        <f t="shared" si="128"/>
        <v>0</v>
      </c>
      <c r="BH233" s="672">
        <f t="shared" si="128"/>
        <v>0</v>
      </c>
      <c r="BI233" s="672">
        <f t="shared" si="128"/>
        <v>0</v>
      </c>
      <c r="BJ233" s="672">
        <f t="shared" si="128"/>
        <v>0</v>
      </c>
      <c r="BK233" s="672">
        <f t="shared" si="128"/>
        <v>0</v>
      </c>
      <c r="BL233" s="672">
        <f t="shared" si="128"/>
        <v>0</v>
      </c>
      <c r="BM233" s="672">
        <f t="shared" si="128"/>
        <v>0</v>
      </c>
      <c r="BN233" s="672">
        <f t="shared" ref="BN233:CS233" si="129">SUM(BN234:BN235)</f>
        <v>0</v>
      </c>
      <c r="BO233" s="672">
        <f t="shared" si="129"/>
        <v>0</v>
      </c>
      <c r="BP233" s="672">
        <f t="shared" si="129"/>
        <v>0</v>
      </c>
      <c r="BQ233" s="672">
        <f t="shared" si="129"/>
        <v>0</v>
      </c>
      <c r="BR233" s="672">
        <f t="shared" si="129"/>
        <v>0</v>
      </c>
      <c r="BS233" s="672">
        <f t="shared" si="129"/>
        <v>0</v>
      </c>
      <c r="BT233" s="672">
        <f t="shared" si="129"/>
        <v>0</v>
      </c>
      <c r="BU233" s="672">
        <f t="shared" si="129"/>
        <v>0</v>
      </c>
      <c r="BV233" s="672">
        <f t="shared" si="129"/>
        <v>0</v>
      </c>
      <c r="BW233" s="672">
        <f t="shared" si="129"/>
        <v>0</v>
      </c>
      <c r="BX233" s="672">
        <f t="shared" si="129"/>
        <v>0</v>
      </c>
      <c r="BY233" s="672">
        <f t="shared" si="129"/>
        <v>0</v>
      </c>
      <c r="BZ233" s="672">
        <f t="shared" si="129"/>
        <v>0</v>
      </c>
      <c r="CA233" s="672">
        <f t="shared" si="129"/>
        <v>0</v>
      </c>
      <c r="CB233" s="672">
        <f t="shared" si="129"/>
        <v>0</v>
      </c>
      <c r="CC233" s="672">
        <f t="shared" si="129"/>
        <v>0</v>
      </c>
      <c r="CD233" s="672">
        <f t="shared" si="129"/>
        <v>0</v>
      </c>
      <c r="CE233" s="672">
        <f t="shared" si="129"/>
        <v>0</v>
      </c>
      <c r="CF233" s="672">
        <f t="shared" si="129"/>
        <v>0</v>
      </c>
      <c r="CG233" s="672">
        <f t="shared" si="129"/>
        <v>0</v>
      </c>
      <c r="CH233" s="672">
        <f t="shared" si="129"/>
        <v>0</v>
      </c>
      <c r="CI233" s="672">
        <f t="shared" si="129"/>
        <v>0</v>
      </c>
      <c r="CJ233" s="672">
        <f t="shared" si="129"/>
        <v>0</v>
      </c>
      <c r="CK233" s="672">
        <f t="shared" si="129"/>
        <v>0</v>
      </c>
      <c r="CL233" s="672">
        <f t="shared" si="129"/>
        <v>0</v>
      </c>
      <c r="CM233" s="672">
        <f t="shared" si="129"/>
        <v>0</v>
      </c>
      <c r="CN233" s="672">
        <f t="shared" si="129"/>
        <v>0</v>
      </c>
      <c r="CO233" s="672">
        <f t="shared" si="129"/>
        <v>0</v>
      </c>
      <c r="CP233" s="672">
        <f t="shared" si="129"/>
        <v>0</v>
      </c>
      <c r="CQ233" s="672">
        <f t="shared" si="129"/>
        <v>0</v>
      </c>
      <c r="CR233" s="672">
        <f t="shared" si="129"/>
        <v>0</v>
      </c>
      <c r="CS233" s="672">
        <f t="shared" si="129"/>
        <v>0</v>
      </c>
      <c r="CT233" s="1106"/>
      <c r="CW233" s="902" t="s">
        <v>713</v>
      </c>
      <c r="CX233" s="907"/>
      <c r="CY233" s="907"/>
      <c r="CZ233" s="907"/>
      <c r="DA233" s="908"/>
      <c r="DB233" s="908"/>
    </row>
    <row r="234" spans="1:106" s="1057" customFormat="1" ht="16.5" hidden="1" customHeight="1">
      <c r="A234" s="769"/>
      <c r="B234" s="718"/>
      <c r="C234" s="1016"/>
      <c r="D234" s="1016"/>
      <c r="E234" s="623">
        <v>17.100000000000001</v>
      </c>
      <c r="F234" s="714" t="str">
        <f t="shared" ca="1" si="115"/>
        <v>1</v>
      </c>
      <c r="G234" s="750"/>
      <c r="H234" s="750"/>
      <c r="I234" s="750"/>
      <c r="J234" s="750"/>
      <c r="K234" s="750"/>
      <c r="L234" s="750"/>
      <c r="M234" s="750"/>
      <c r="N234" s="750"/>
      <c r="O234" s="750"/>
      <c r="P234" s="750"/>
      <c r="Q234" s="750"/>
      <c r="R234" s="714" t="s">
        <v>569</v>
      </c>
      <c r="S234" s="98" t="b">
        <f t="shared" ca="1" si="116"/>
        <v>1</v>
      </c>
      <c r="T234" s="98" t="b">
        <f>AD234&lt;&gt;"39.0"</f>
        <v>0</v>
      </c>
      <c r="U234" s="645" t="b">
        <f t="shared" ca="1" si="121"/>
        <v>0</v>
      </c>
      <c r="V234" s="1016"/>
      <c r="W234" s="1016"/>
      <c r="X234" s="98" t="s">
        <v>170</v>
      </c>
      <c r="Y234" s="1382"/>
      <c r="Z234" s="1382"/>
      <c r="AA234" s="646"/>
      <c r="AB234" s="1431"/>
      <c r="AD234" s="99" t="s">
        <v>714</v>
      </c>
      <c r="AE234" s="757"/>
      <c r="AF234" s="475"/>
      <c r="AG234" s="111" t="s">
        <v>648</v>
      </c>
      <c r="AH234" s="28">
        <f>AH$163*AH231</f>
        <v>0</v>
      </c>
      <c r="AI234" s="29">
        <f>AI$163*AI231</f>
        <v>0</v>
      </c>
      <c r="AJ234" s="29">
        <f>AJ$163*AJ231</f>
        <v>0</v>
      </c>
      <c r="AK234" s="29">
        <f>AK$163*AK231</f>
        <v>0</v>
      </c>
      <c r="AL234" s="674">
        <f>AM234+AN234</f>
        <v>0</v>
      </c>
      <c r="AM234" s="29">
        <f>AM$163*AM231</f>
        <v>0</v>
      </c>
      <c r="AN234" s="29">
        <f>AN$163*AN231</f>
        <v>0</v>
      </c>
      <c r="AO234" s="674">
        <f>AP234+AQ234</f>
        <v>0</v>
      </c>
      <c r="AP234" s="1111">
        <f>AP$163*AP231</f>
        <v>0</v>
      </c>
      <c r="AQ234" s="1111">
        <f>AQ$163*AQ231</f>
        <v>0</v>
      </c>
      <c r="AR234" s="674">
        <f>AS234+AT234</f>
        <v>0</v>
      </c>
      <c r="AS234" s="1111">
        <f>AS$163*AS231</f>
        <v>0</v>
      </c>
      <c r="AT234" s="1111">
        <f>AT$163*AT231</f>
        <v>0</v>
      </c>
      <c r="AU234" s="674">
        <f>AV234+AW234</f>
        <v>0</v>
      </c>
      <c r="AV234" s="29">
        <f>AV$163*AV231</f>
        <v>0</v>
      </c>
      <c r="AW234" s="29">
        <f>AW$163*AW231</f>
        <v>0</v>
      </c>
      <c r="AX234" s="674">
        <f>AY234+AZ234</f>
        <v>0</v>
      </c>
      <c r="AY234" s="29">
        <f>AY$163*AY231</f>
        <v>0</v>
      </c>
      <c r="AZ234" s="29">
        <f>AZ$163*AZ231</f>
        <v>0</v>
      </c>
      <c r="BA234" s="674">
        <f>BB234+BC234</f>
        <v>0</v>
      </c>
      <c r="BB234" s="29">
        <f>BB$163*BB231</f>
        <v>0</v>
      </c>
      <c r="BC234" s="29">
        <f>BC$163*BC231</f>
        <v>0</v>
      </c>
      <c r="BD234" s="674">
        <f>BE234+BF234</f>
        <v>0</v>
      </c>
      <c r="BE234" s="29">
        <f>BE$163*BE231</f>
        <v>0</v>
      </c>
      <c r="BF234" s="29">
        <f>BF$163*BF231</f>
        <v>0</v>
      </c>
      <c r="BG234" s="674">
        <f>BH234+BI234</f>
        <v>0</v>
      </c>
      <c r="BH234" s="29">
        <f>BH$163*BH231</f>
        <v>0</v>
      </c>
      <c r="BI234" s="29">
        <f>BI$163*BI231</f>
        <v>0</v>
      </c>
      <c r="BJ234" s="674">
        <f>BK234+BL234</f>
        <v>0</v>
      </c>
      <c r="BK234" s="29">
        <f>BK$163*BK231</f>
        <v>0</v>
      </c>
      <c r="BL234" s="29">
        <f>BL$163*BL231</f>
        <v>0</v>
      </c>
      <c r="BM234" s="674">
        <f>BN234+BO234</f>
        <v>0</v>
      </c>
      <c r="BN234" s="29">
        <f>BN$163*BN231</f>
        <v>0</v>
      </c>
      <c r="BO234" s="29">
        <f>BO$163*BO231</f>
        <v>0</v>
      </c>
      <c r="BP234" s="674">
        <f>BQ234+BR234</f>
        <v>0</v>
      </c>
      <c r="BQ234" s="762">
        <f>BQ$163*BQ231</f>
        <v>0</v>
      </c>
      <c r="BR234" s="762">
        <f>BR$163*BR231</f>
        <v>0</v>
      </c>
      <c r="BS234" s="674">
        <f>BT234+BU234</f>
        <v>0</v>
      </c>
      <c r="BT234" s="1111">
        <f>BT$163*BT231</f>
        <v>0</v>
      </c>
      <c r="BU234" s="1111">
        <f>BU$163*BU231</f>
        <v>0</v>
      </c>
      <c r="BV234" s="674">
        <f>BW234+BX234</f>
        <v>0</v>
      </c>
      <c r="BW234" s="1111">
        <f>BW$163*BW231</f>
        <v>0</v>
      </c>
      <c r="BX234" s="1111">
        <f>BX$163*BX231</f>
        <v>0</v>
      </c>
      <c r="BY234" s="674">
        <f>BZ234+CA234</f>
        <v>0</v>
      </c>
      <c r="BZ234" s="29">
        <f>BZ$163*BZ231</f>
        <v>0</v>
      </c>
      <c r="CA234" s="29">
        <f>CA$163*CA231</f>
        <v>0</v>
      </c>
      <c r="CB234" s="674">
        <f>CC234+CD234</f>
        <v>0</v>
      </c>
      <c r="CC234" s="29">
        <f>CC$163*CC231</f>
        <v>0</v>
      </c>
      <c r="CD234" s="29">
        <f>CD$163*CD231</f>
        <v>0</v>
      </c>
      <c r="CE234" s="674">
        <f>CF234+CG234</f>
        <v>0</v>
      </c>
      <c r="CF234" s="29">
        <f>CF$163*CF231</f>
        <v>0</v>
      </c>
      <c r="CG234" s="29">
        <f>CG$163*CG231</f>
        <v>0</v>
      </c>
      <c r="CH234" s="674">
        <f>CI234+CJ234</f>
        <v>0</v>
      </c>
      <c r="CI234" s="29">
        <f>CI$163*CI231</f>
        <v>0</v>
      </c>
      <c r="CJ234" s="29">
        <f>CJ$163*CJ231</f>
        <v>0</v>
      </c>
      <c r="CK234" s="674">
        <f>CL234+CM234</f>
        <v>0</v>
      </c>
      <c r="CL234" s="29">
        <f>CL$163*CL231</f>
        <v>0</v>
      </c>
      <c r="CM234" s="29">
        <f>CM$163*CM231</f>
        <v>0</v>
      </c>
      <c r="CN234" s="674">
        <f>CO234+CP234</f>
        <v>0</v>
      </c>
      <c r="CO234" s="29">
        <f>CO$163*CO231</f>
        <v>0</v>
      </c>
      <c r="CP234" s="29">
        <f>CP$163*CP231</f>
        <v>0</v>
      </c>
      <c r="CQ234" s="674">
        <f>CR234+CS234</f>
        <v>0</v>
      </c>
      <c r="CR234" s="29">
        <f>CR$163*CR231</f>
        <v>0</v>
      </c>
      <c r="CS234" s="29">
        <f>CS$163*CS231</f>
        <v>0</v>
      </c>
      <c r="CT234" s="22"/>
      <c r="CW234" s="902" t="s">
        <v>713</v>
      </c>
      <c r="CX234" s="907" t="s">
        <v>630</v>
      </c>
      <c r="CY234" s="911">
        <f>AE234</f>
        <v>0</v>
      </c>
      <c r="CZ234" s="911">
        <f>AF234</f>
        <v>0</v>
      </c>
      <c r="DA234" s="908"/>
      <c r="DB234" s="908"/>
    </row>
    <row r="235" spans="1:106" s="1057" customFormat="1" ht="15" hidden="1" customHeight="1">
      <c r="A235" s="769"/>
      <c r="B235" s="718"/>
      <c r="C235" s="1016"/>
      <c r="D235" s="1016"/>
      <c r="E235" s="623">
        <v>0</v>
      </c>
      <c r="F235" s="714" t="str">
        <f t="shared" ca="1" si="115"/>
        <v>1</v>
      </c>
      <c r="G235" s="750"/>
      <c r="H235" s="750"/>
      <c r="I235" s="750"/>
      <c r="J235" s="750"/>
      <c r="K235" s="750"/>
      <c r="L235" s="750"/>
      <c r="M235" s="750"/>
      <c r="N235" s="750"/>
      <c r="O235" s="750"/>
      <c r="P235" s="750"/>
      <c r="Q235" s="750"/>
      <c r="R235" s="1016"/>
      <c r="S235" s="98" t="b">
        <f t="shared" ca="1" si="116"/>
        <v>1</v>
      </c>
      <c r="T235" s="1016"/>
      <c r="U235" s="645" t="b">
        <f t="shared" ca="1" si="121"/>
        <v>1</v>
      </c>
      <c r="V235" s="1016"/>
      <c r="W235" s="1016"/>
      <c r="X235" s="756" t="str">
        <f>"{                  
         funcDyn: 'msg1',
         blok: 'blok_2',
         wsCross: 'Топливо 4.4',
         linkFormula: 'AE-AE#AF-AF',
         levelDyn: "&amp;Y139&amp;"
}"</f>
        <v>{                  
         funcDyn: 'msg1',
         blok: 'blok_2',
         wsCross: 'Топливо 4.4',
         linkFormula: 'AE-AE#AF-AF',
         levelDyn: 1
}</v>
      </c>
      <c r="Y235" s="1382"/>
      <c r="Z235" s="1382"/>
      <c r="AA235" s="646"/>
      <c r="AB235" s="1432"/>
      <c r="AD235" s="759"/>
      <c r="AE235" s="758" t="s">
        <v>172</v>
      </c>
      <c r="AF235" s="685"/>
      <c r="AG235" s="111"/>
      <c r="AH235" s="673"/>
      <c r="AI235" s="675"/>
      <c r="AJ235" s="675"/>
      <c r="AK235" s="675"/>
      <c r="AL235" s="675"/>
      <c r="AM235" s="675"/>
      <c r="AN235" s="675"/>
      <c r="AO235" s="675"/>
      <c r="AP235" s="675"/>
      <c r="AQ235" s="675"/>
      <c r="AR235" s="675"/>
      <c r="AS235" s="675"/>
      <c r="AT235" s="675"/>
      <c r="AU235" s="675"/>
      <c r="AV235" s="675"/>
      <c r="AW235" s="675"/>
      <c r="AX235" s="675"/>
      <c r="AY235" s="675"/>
      <c r="AZ235" s="675"/>
      <c r="BA235" s="675"/>
      <c r="BB235" s="675"/>
      <c r="BC235" s="675"/>
      <c r="BD235" s="675"/>
      <c r="BE235" s="675"/>
      <c r="BF235" s="675"/>
      <c r="BG235" s="675"/>
      <c r="BH235" s="675"/>
      <c r="BI235" s="675"/>
      <c r="BJ235" s="675"/>
      <c r="BK235" s="675"/>
      <c r="BL235" s="675"/>
      <c r="BM235" s="675"/>
      <c r="BN235" s="675"/>
      <c r="BO235" s="675"/>
      <c r="BP235" s="675"/>
      <c r="BQ235" s="675"/>
      <c r="BR235" s="675"/>
      <c r="BS235" s="675"/>
      <c r="BT235" s="675"/>
      <c r="BU235" s="675"/>
      <c r="BV235" s="675"/>
      <c r="BW235" s="675"/>
      <c r="BX235" s="675"/>
      <c r="BY235" s="675"/>
      <c r="BZ235" s="675"/>
      <c r="CA235" s="675"/>
      <c r="CB235" s="675"/>
      <c r="CC235" s="675"/>
      <c r="CD235" s="675"/>
      <c r="CE235" s="675"/>
      <c r="CF235" s="675"/>
      <c r="CG235" s="675"/>
      <c r="CH235" s="675"/>
      <c r="CI235" s="675"/>
      <c r="CJ235" s="675"/>
      <c r="CK235" s="675"/>
      <c r="CL235" s="675"/>
      <c r="CM235" s="675"/>
      <c r="CN235" s="675"/>
      <c r="CO235" s="675"/>
      <c r="CP235" s="675"/>
      <c r="CQ235" s="675"/>
      <c r="CR235" s="675"/>
      <c r="CS235" s="675"/>
      <c r="CT235" s="33"/>
      <c r="CW235" s="902" t="str">
        <f>IF(AND(ISNUMBER(VALUE(TRIM(SUBSTITUTE(AD235,".","")))),TRIM(SUBSTITUTE(AD235,".",""))&lt;&gt;""),"P"&amp;SUBSTITUTE(AD235,".",""),"")</f>
        <v/>
      </c>
      <c r="CX235" s="907"/>
      <c r="CY235" s="907"/>
      <c r="CZ235" s="907"/>
      <c r="DA235" s="908"/>
      <c r="DB235" s="908"/>
    </row>
    <row r="236" spans="1:106" s="1057" customFormat="1" ht="16.5" customHeight="1">
      <c r="A236" s="769"/>
      <c r="B236" s="718"/>
      <c r="C236" s="1016"/>
      <c r="D236" s="1016"/>
      <c r="E236" s="623">
        <v>17.100000000000001</v>
      </c>
      <c r="F236" s="714" t="str">
        <f t="shared" ref="F236:F267" ca="1" si="130">OFFSET(G236,-1,-1)</f>
        <v>1</v>
      </c>
      <c r="G236" s="750"/>
      <c r="H236" s="750"/>
      <c r="I236" s="750"/>
      <c r="J236" s="750"/>
      <c r="K236" s="750"/>
      <c r="L236" s="750"/>
      <c r="M236" s="750"/>
      <c r="N236" s="750"/>
      <c r="O236" s="750"/>
      <c r="P236" s="750"/>
      <c r="Q236" s="750"/>
      <c r="R236" s="1016"/>
      <c r="S236" s="98" t="b">
        <f t="shared" ref="S236:S267" ca="1" si="131">OFFSET(T236,-1,-1)</f>
        <v>1</v>
      </c>
      <c r="T236" s="1016"/>
      <c r="U236" s="645" t="b">
        <f t="shared" ca="1" si="121"/>
        <v>1</v>
      </c>
      <c r="V236" s="1016"/>
      <c r="W236" s="1016"/>
      <c r="X236" s="1016"/>
      <c r="Y236" s="1382"/>
      <c r="Z236" s="1382"/>
      <c r="AA236" s="646"/>
      <c r="AB236" s="1472" t="s">
        <v>715</v>
      </c>
      <c r="AD236" s="111" t="s">
        <v>716</v>
      </c>
      <c r="AE236" s="1447" t="s">
        <v>717</v>
      </c>
      <c r="AF236" s="1448"/>
      <c r="AG236" s="111" t="s">
        <v>648</v>
      </c>
      <c r="AH236" s="672">
        <f t="shared" ref="AH236:BM236" si="132">SUM(AH240:AH241)</f>
        <v>0</v>
      </c>
      <c r="AI236" s="672">
        <f t="shared" si="132"/>
        <v>0</v>
      </c>
      <c r="AJ236" s="672">
        <f t="shared" si="132"/>
        <v>0</v>
      </c>
      <c r="AK236" s="672">
        <f t="shared" si="132"/>
        <v>0</v>
      </c>
      <c r="AL236" s="672">
        <f t="shared" si="132"/>
        <v>0</v>
      </c>
      <c r="AM236" s="672">
        <f t="shared" si="132"/>
        <v>0</v>
      </c>
      <c r="AN236" s="672">
        <f t="shared" si="132"/>
        <v>0</v>
      </c>
      <c r="AO236" s="672">
        <f t="shared" si="132"/>
        <v>0</v>
      </c>
      <c r="AP236" s="672">
        <f t="shared" si="132"/>
        <v>0</v>
      </c>
      <c r="AQ236" s="672">
        <f t="shared" si="132"/>
        <v>0</v>
      </c>
      <c r="AR236" s="672">
        <f t="shared" si="132"/>
        <v>0</v>
      </c>
      <c r="AS236" s="672">
        <f t="shared" si="132"/>
        <v>0</v>
      </c>
      <c r="AT236" s="672">
        <f t="shared" si="132"/>
        <v>0</v>
      </c>
      <c r="AU236" s="672">
        <f t="shared" si="132"/>
        <v>0</v>
      </c>
      <c r="AV236" s="672">
        <f t="shared" si="132"/>
        <v>0</v>
      </c>
      <c r="AW236" s="672">
        <f t="shared" si="132"/>
        <v>0</v>
      </c>
      <c r="AX236" s="672">
        <f t="shared" si="132"/>
        <v>0</v>
      </c>
      <c r="AY236" s="672">
        <f t="shared" si="132"/>
        <v>0</v>
      </c>
      <c r="AZ236" s="672">
        <f t="shared" si="132"/>
        <v>0</v>
      </c>
      <c r="BA236" s="672">
        <f t="shared" si="132"/>
        <v>0</v>
      </c>
      <c r="BB236" s="672">
        <f t="shared" si="132"/>
        <v>0</v>
      </c>
      <c r="BC236" s="672">
        <f t="shared" si="132"/>
        <v>0</v>
      </c>
      <c r="BD236" s="672">
        <f t="shared" si="132"/>
        <v>0</v>
      </c>
      <c r="BE236" s="672">
        <f t="shared" si="132"/>
        <v>0</v>
      </c>
      <c r="BF236" s="672">
        <f t="shared" si="132"/>
        <v>0</v>
      </c>
      <c r="BG236" s="672">
        <f t="shared" si="132"/>
        <v>0</v>
      </c>
      <c r="BH236" s="672">
        <f t="shared" si="132"/>
        <v>0</v>
      </c>
      <c r="BI236" s="672">
        <f t="shared" si="132"/>
        <v>0</v>
      </c>
      <c r="BJ236" s="672">
        <f t="shared" si="132"/>
        <v>0</v>
      </c>
      <c r="BK236" s="672">
        <f t="shared" si="132"/>
        <v>0</v>
      </c>
      <c r="BL236" s="672">
        <f t="shared" si="132"/>
        <v>0</v>
      </c>
      <c r="BM236" s="672">
        <f t="shared" si="132"/>
        <v>0</v>
      </c>
      <c r="BN236" s="672">
        <f t="shared" ref="BN236:CS236" si="133">SUM(BN240:BN241)</f>
        <v>0</v>
      </c>
      <c r="BO236" s="672">
        <f t="shared" si="133"/>
        <v>0</v>
      </c>
      <c r="BP236" s="672">
        <f t="shared" si="133"/>
        <v>0</v>
      </c>
      <c r="BQ236" s="672">
        <f t="shared" si="133"/>
        <v>0</v>
      </c>
      <c r="BR236" s="672">
        <f t="shared" si="133"/>
        <v>0</v>
      </c>
      <c r="BS236" s="672">
        <f t="shared" si="133"/>
        <v>0</v>
      </c>
      <c r="BT236" s="672">
        <f t="shared" si="133"/>
        <v>0</v>
      </c>
      <c r="BU236" s="672">
        <f t="shared" si="133"/>
        <v>0</v>
      </c>
      <c r="BV236" s="672">
        <f t="shared" si="133"/>
        <v>0</v>
      </c>
      <c r="BW236" s="672">
        <f t="shared" si="133"/>
        <v>0</v>
      </c>
      <c r="BX236" s="672">
        <f t="shared" si="133"/>
        <v>0</v>
      </c>
      <c r="BY236" s="672">
        <f t="shared" si="133"/>
        <v>0</v>
      </c>
      <c r="BZ236" s="672">
        <f t="shared" si="133"/>
        <v>0</v>
      </c>
      <c r="CA236" s="672">
        <f t="shared" si="133"/>
        <v>0</v>
      </c>
      <c r="CB236" s="672">
        <f t="shared" si="133"/>
        <v>0</v>
      </c>
      <c r="CC236" s="672">
        <f t="shared" si="133"/>
        <v>0</v>
      </c>
      <c r="CD236" s="672">
        <f t="shared" si="133"/>
        <v>0</v>
      </c>
      <c r="CE236" s="672">
        <f t="shared" si="133"/>
        <v>0</v>
      </c>
      <c r="CF236" s="672">
        <f t="shared" si="133"/>
        <v>0</v>
      </c>
      <c r="CG236" s="672">
        <f t="shared" si="133"/>
        <v>0</v>
      </c>
      <c r="CH236" s="672">
        <f t="shared" si="133"/>
        <v>0</v>
      </c>
      <c r="CI236" s="672">
        <f t="shared" si="133"/>
        <v>0</v>
      </c>
      <c r="CJ236" s="672">
        <f t="shared" si="133"/>
        <v>0</v>
      </c>
      <c r="CK236" s="672">
        <f t="shared" si="133"/>
        <v>0</v>
      </c>
      <c r="CL236" s="672">
        <f t="shared" si="133"/>
        <v>0</v>
      </c>
      <c r="CM236" s="672">
        <f t="shared" si="133"/>
        <v>0</v>
      </c>
      <c r="CN236" s="672">
        <f t="shared" si="133"/>
        <v>0</v>
      </c>
      <c r="CO236" s="672">
        <f t="shared" si="133"/>
        <v>0</v>
      </c>
      <c r="CP236" s="672">
        <f t="shared" si="133"/>
        <v>0</v>
      </c>
      <c r="CQ236" s="672">
        <f t="shared" si="133"/>
        <v>0</v>
      </c>
      <c r="CR236" s="672">
        <f t="shared" si="133"/>
        <v>0</v>
      </c>
      <c r="CS236" s="672">
        <f t="shared" si="133"/>
        <v>0</v>
      </c>
      <c r="CT236" s="1106"/>
      <c r="CW236" s="902" t="s">
        <v>718</v>
      </c>
      <c r="CX236" s="907"/>
      <c r="CY236" s="907"/>
      <c r="CZ236" s="907"/>
      <c r="DA236" s="908"/>
      <c r="DB236" s="908"/>
    </row>
    <row r="237" spans="1:106" s="1057" customFormat="1" ht="16.5" customHeight="1">
      <c r="A237" s="769"/>
      <c r="B237" s="718"/>
      <c r="C237" s="1016"/>
      <c r="D237" s="1016"/>
      <c r="E237" s="623">
        <v>17.100000000000001</v>
      </c>
      <c r="F237" s="714" t="str">
        <f t="shared" ca="1" si="130"/>
        <v>1</v>
      </c>
      <c r="G237" s="566" t="str">
        <f>IF(J139="вода+пар","топливо","")</f>
        <v/>
      </c>
      <c r="H237" s="750"/>
      <c r="I237" s="750"/>
      <c r="J237" s="750"/>
      <c r="K237" s="750"/>
      <c r="L237" s="750"/>
      <c r="M237" s="750"/>
      <c r="N237" s="750"/>
      <c r="O237" s="750"/>
      <c r="P237" s="750"/>
      <c r="Q237" s="750"/>
      <c r="R237" s="714" t="s">
        <v>569</v>
      </c>
      <c r="S237" s="98" t="b">
        <f t="shared" ca="1" si="131"/>
        <v>1</v>
      </c>
      <c r="T237" s="1016"/>
      <c r="U237" s="645" t="b">
        <f t="shared" ca="1" si="121"/>
        <v>1</v>
      </c>
      <c r="V237" s="1016"/>
      <c r="W237" s="1016"/>
      <c r="X237" s="1016"/>
      <c r="Y237" s="1382"/>
      <c r="Z237" s="1382"/>
      <c r="AA237" s="646"/>
      <c r="AB237" s="1473"/>
      <c r="AD237" s="99" t="str">
        <f>AD236&amp;".0"</f>
        <v>40.0</v>
      </c>
      <c r="AE237" s="1449" t="s">
        <v>580</v>
      </c>
      <c r="AF237" s="1450"/>
      <c r="AG237" s="111" t="s">
        <v>648</v>
      </c>
      <c r="AH237" s="1117">
        <f>AH$163*AH236</f>
        <v>0</v>
      </c>
      <c r="AI237" s="1118">
        <f>AI$163*AI236</f>
        <v>0</v>
      </c>
      <c r="AJ237" s="1118">
        <f>AJ$163*AJ236</f>
        <v>0</v>
      </c>
      <c r="AK237" s="1118">
        <f>AK$163*AK236</f>
        <v>0</v>
      </c>
      <c r="AL237" s="674">
        <f>AM237+AN237</f>
        <v>0</v>
      </c>
      <c r="AM237" s="1118">
        <f>AM$163*AM236</f>
        <v>0</v>
      </c>
      <c r="AN237" s="1118">
        <f>AN$163*AN236</f>
        <v>0</v>
      </c>
      <c r="AO237" s="674">
        <f>AP237+AQ237</f>
        <v>0</v>
      </c>
      <c r="AP237" s="1111">
        <f>AP$163*AP236</f>
        <v>0</v>
      </c>
      <c r="AQ237" s="1111">
        <f>AQ$163*AQ236</f>
        <v>0</v>
      </c>
      <c r="AR237" s="674">
        <f>AS237+AT237</f>
        <v>0</v>
      </c>
      <c r="AS237" s="1111">
        <f>AS$163*AS236</f>
        <v>0</v>
      </c>
      <c r="AT237" s="1111">
        <f>AT$163*AT236</f>
        <v>0</v>
      </c>
      <c r="AU237" s="674">
        <f>AV237+AW237</f>
        <v>0</v>
      </c>
      <c r="AV237" s="1118">
        <f>AV$163*AV236</f>
        <v>0</v>
      </c>
      <c r="AW237" s="1118">
        <f>AW$163*AW236</f>
        <v>0</v>
      </c>
      <c r="AX237" s="674">
        <f>AY237+AZ237</f>
        <v>0</v>
      </c>
      <c r="AY237" s="1118">
        <f>AY$163*AY236</f>
        <v>0</v>
      </c>
      <c r="AZ237" s="1118">
        <f>AZ$163*AZ236</f>
        <v>0</v>
      </c>
      <c r="BA237" s="674">
        <f>BB237+BC237</f>
        <v>0</v>
      </c>
      <c r="BB237" s="1118">
        <f>BB$163*BB236</f>
        <v>0</v>
      </c>
      <c r="BC237" s="1118">
        <f>BC$163*BC236</f>
        <v>0</v>
      </c>
      <c r="BD237" s="674">
        <f>BE237+BF237</f>
        <v>0</v>
      </c>
      <c r="BE237" s="1118">
        <f>BE$163*BE236</f>
        <v>0</v>
      </c>
      <c r="BF237" s="1118">
        <f>BF$163*BF236</f>
        <v>0</v>
      </c>
      <c r="BG237" s="674">
        <f>BH237+BI237</f>
        <v>0</v>
      </c>
      <c r="BH237" s="1118">
        <f>BH$163*BH236</f>
        <v>0</v>
      </c>
      <c r="BI237" s="1118">
        <f>BI$163*BI236</f>
        <v>0</v>
      </c>
      <c r="BJ237" s="674">
        <f>BK237+BL237</f>
        <v>0</v>
      </c>
      <c r="BK237" s="1118">
        <f>BK$163*BK236</f>
        <v>0</v>
      </c>
      <c r="BL237" s="1118">
        <f>BL$163*BL236</f>
        <v>0</v>
      </c>
      <c r="BM237" s="674">
        <f>BN237+BO237</f>
        <v>0</v>
      </c>
      <c r="BN237" s="1118">
        <f>BN$163*BN236</f>
        <v>0</v>
      </c>
      <c r="BO237" s="1118">
        <f>BO$163*BO236</f>
        <v>0</v>
      </c>
      <c r="BP237" s="674">
        <f>BQ237+BR237</f>
        <v>0</v>
      </c>
      <c r="BQ237" s="762">
        <f>BQ$163*BQ236</f>
        <v>0</v>
      </c>
      <c r="BR237" s="762">
        <f>BR$163*BR236</f>
        <v>0</v>
      </c>
      <c r="BS237" s="674">
        <f>BT237+BU237</f>
        <v>0</v>
      </c>
      <c r="BT237" s="1111">
        <f>BT$163*BT236</f>
        <v>0</v>
      </c>
      <c r="BU237" s="1111">
        <f>BU$163*BU236</f>
        <v>0</v>
      </c>
      <c r="BV237" s="674">
        <f>BW237+BX237</f>
        <v>0</v>
      </c>
      <c r="BW237" s="1111">
        <f>BW$163*BW236</f>
        <v>0</v>
      </c>
      <c r="BX237" s="1111">
        <f>BX$163*BX236</f>
        <v>0</v>
      </c>
      <c r="BY237" s="674">
        <f>BZ237+CA237</f>
        <v>0</v>
      </c>
      <c r="BZ237" s="1118">
        <f>BZ$163*BZ236</f>
        <v>0</v>
      </c>
      <c r="CA237" s="1118">
        <f>CA$163*CA236</f>
        <v>0</v>
      </c>
      <c r="CB237" s="674">
        <f>CC237+CD237</f>
        <v>0</v>
      </c>
      <c r="CC237" s="1118">
        <f>CC$163*CC236</f>
        <v>0</v>
      </c>
      <c r="CD237" s="1118">
        <f>CD$163*CD236</f>
        <v>0</v>
      </c>
      <c r="CE237" s="674">
        <f>CF237+CG237</f>
        <v>0</v>
      </c>
      <c r="CF237" s="1118">
        <f>CF$163*CF236</f>
        <v>0</v>
      </c>
      <c r="CG237" s="1118">
        <f>CG$163*CG236</f>
        <v>0</v>
      </c>
      <c r="CH237" s="674">
        <f>CI237+CJ237</f>
        <v>0</v>
      </c>
      <c r="CI237" s="1118">
        <f>CI$163*CI236</f>
        <v>0</v>
      </c>
      <c r="CJ237" s="1118">
        <f>CJ$163*CJ236</f>
        <v>0</v>
      </c>
      <c r="CK237" s="674">
        <f>CL237+CM237</f>
        <v>0</v>
      </c>
      <c r="CL237" s="1118">
        <f>CL$163*CL236</f>
        <v>0</v>
      </c>
      <c r="CM237" s="1118">
        <f>CM$163*CM236</f>
        <v>0</v>
      </c>
      <c r="CN237" s="674">
        <f>CO237+CP237</f>
        <v>0</v>
      </c>
      <c r="CO237" s="1118">
        <f>CO$163*CO236</f>
        <v>0</v>
      </c>
      <c r="CP237" s="1118">
        <f>CP$163*CP236</f>
        <v>0</v>
      </c>
      <c r="CQ237" s="674">
        <f>CR237+CS237</f>
        <v>0</v>
      </c>
      <c r="CR237" s="1118">
        <f>CR$163*CR236</f>
        <v>0</v>
      </c>
      <c r="CS237" s="1118">
        <f>CS$163*CS236</f>
        <v>0</v>
      </c>
      <c r="CT237" s="1106"/>
      <c r="CW237" s="902" t="s">
        <v>719</v>
      </c>
      <c r="CX237" s="907"/>
      <c r="CY237" s="907"/>
      <c r="CZ237" s="907"/>
      <c r="DA237" s="908"/>
      <c r="DB237" s="908"/>
    </row>
    <row r="238" spans="1:106" s="1057" customFormat="1" ht="16.5" customHeight="1">
      <c r="A238" s="769"/>
      <c r="B238" s="718"/>
      <c r="C238" s="1016"/>
      <c r="D238" s="1016"/>
      <c r="E238" s="623">
        <v>17.100000000000001</v>
      </c>
      <c r="F238" s="714" t="str">
        <f t="shared" ca="1" si="130"/>
        <v>1</v>
      </c>
      <c r="G238" s="566" t="str">
        <f>IF(J139="вода","топливо","")</f>
        <v/>
      </c>
      <c r="H238" s="750"/>
      <c r="I238" s="750"/>
      <c r="J238" s="750"/>
      <c r="K238" s="750"/>
      <c r="L238" s="750"/>
      <c r="M238" s="750"/>
      <c r="N238" s="750"/>
      <c r="O238" s="750"/>
      <c r="P238" s="750"/>
      <c r="Q238" s="750"/>
      <c r="R238" s="1016"/>
      <c r="S238" s="98" t="b">
        <f t="shared" ca="1" si="131"/>
        <v>1</v>
      </c>
      <c r="T238" s="1016"/>
      <c r="U238" s="645" t="b">
        <f t="shared" ca="1" si="121"/>
        <v>1</v>
      </c>
      <c r="V238" s="1016"/>
      <c r="W238" s="1016"/>
      <c r="X238" s="1016"/>
      <c r="Y238" s="1382"/>
      <c r="Z238" s="1382"/>
      <c r="AA238" s="646"/>
      <c r="AB238" s="1473"/>
      <c r="AD238" s="760" t="s">
        <v>720</v>
      </c>
      <c r="AE238" s="1451" t="s">
        <v>493</v>
      </c>
      <c r="AF238" s="1452"/>
      <c r="AG238" s="250" t="s">
        <v>648</v>
      </c>
      <c r="AH238" s="676">
        <f t="shared" ref="AH238:BM238" si="134">AH237-AH239</f>
        <v>0</v>
      </c>
      <c r="AI238" s="676">
        <f t="shared" si="134"/>
        <v>0</v>
      </c>
      <c r="AJ238" s="676">
        <f t="shared" si="134"/>
        <v>0</v>
      </c>
      <c r="AK238" s="676">
        <f t="shared" si="134"/>
        <v>0</v>
      </c>
      <c r="AL238" s="676">
        <f t="shared" si="134"/>
        <v>0</v>
      </c>
      <c r="AM238" s="676">
        <f t="shared" si="134"/>
        <v>0</v>
      </c>
      <c r="AN238" s="676">
        <f t="shared" si="134"/>
        <v>0</v>
      </c>
      <c r="AO238" s="676">
        <f t="shared" si="134"/>
        <v>0</v>
      </c>
      <c r="AP238" s="676">
        <f t="shared" si="134"/>
        <v>0</v>
      </c>
      <c r="AQ238" s="676">
        <f t="shared" si="134"/>
        <v>0</v>
      </c>
      <c r="AR238" s="676">
        <f t="shared" si="134"/>
        <v>0</v>
      </c>
      <c r="AS238" s="676">
        <f t="shared" si="134"/>
        <v>0</v>
      </c>
      <c r="AT238" s="676">
        <f t="shared" si="134"/>
        <v>0</v>
      </c>
      <c r="AU238" s="676">
        <f t="shared" si="134"/>
        <v>0</v>
      </c>
      <c r="AV238" s="676">
        <f t="shared" si="134"/>
        <v>0</v>
      </c>
      <c r="AW238" s="676">
        <f t="shared" si="134"/>
        <v>0</v>
      </c>
      <c r="AX238" s="676">
        <f t="shared" si="134"/>
        <v>0</v>
      </c>
      <c r="AY238" s="676">
        <f t="shared" si="134"/>
        <v>0</v>
      </c>
      <c r="AZ238" s="676">
        <f t="shared" si="134"/>
        <v>0</v>
      </c>
      <c r="BA238" s="676">
        <f t="shared" si="134"/>
        <v>0</v>
      </c>
      <c r="BB238" s="676">
        <f t="shared" si="134"/>
        <v>0</v>
      </c>
      <c r="BC238" s="676">
        <f t="shared" si="134"/>
        <v>0</v>
      </c>
      <c r="BD238" s="676">
        <f t="shared" si="134"/>
        <v>0</v>
      </c>
      <c r="BE238" s="676">
        <f t="shared" si="134"/>
        <v>0</v>
      </c>
      <c r="BF238" s="676">
        <f t="shared" si="134"/>
        <v>0</v>
      </c>
      <c r="BG238" s="676">
        <f t="shared" si="134"/>
        <v>0</v>
      </c>
      <c r="BH238" s="676">
        <f t="shared" si="134"/>
        <v>0</v>
      </c>
      <c r="BI238" s="676">
        <f t="shared" si="134"/>
        <v>0</v>
      </c>
      <c r="BJ238" s="676">
        <f t="shared" si="134"/>
        <v>0</v>
      </c>
      <c r="BK238" s="676">
        <f t="shared" si="134"/>
        <v>0</v>
      </c>
      <c r="BL238" s="676">
        <f t="shared" si="134"/>
        <v>0</v>
      </c>
      <c r="BM238" s="676">
        <f t="shared" si="134"/>
        <v>0</v>
      </c>
      <c r="BN238" s="676">
        <f t="shared" ref="BN238:CS238" si="135">BN237-BN239</f>
        <v>0</v>
      </c>
      <c r="BO238" s="676">
        <f t="shared" si="135"/>
        <v>0</v>
      </c>
      <c r="BP238" s="676">
        <f t="shared" si="135"/>
        <v>0</v>
      </c>
      <c r="BQ238" s="676">
        <f t="shared" si="135"/>
        <v>0</v>
      </c>
      <c r="BR238" s="676">
        <f t="shared" si="135"/>
        <v>0</v>
      </c>
      <c r="BS238" s="676">
        <f t="shared" si="135"/>
        <v>0</v>
      </c>
      <c r="BT238" s="676">
        <f t="shared" si="135"/>
        <v>0</v>
      </c>
      <c r="BU238" s="676">
        <f t="shared" si="135"/>
        <v>0</v>
      </c>
      <c r="BV238" s="676">
        <f t="shared" si="135"/>
        <v>0</v>
      </c>
      <c r="BW238" s="676">
        <f t="shared" si="135"/>
        <v>0</v>
      </c>
      <c r="BX238" s="676">
        <f t="shared" si="135"/>
        <v>0</v>
      </c>
      <c r="BY238" s="676">
        <f t="shared" si="135"/>
        <v>0</v>
      </c>
      <c r="BZ238" s="676">
        <f t="shared" si="135"/>
        <v>0</v>
      </c>
      <c r="CA238" s="676">
        <f t="shared" si="135"/>
        <v>0</v>
      </c>
      <c r="CB238" s="676">
        <f t="shared" si="135"/>
        <v>0</v>
      </c>
      <c r="CC238" s="676">
        <f t="shared" si="135"/>
        <v>0</v>
      </c>
      <c r="CD238" s="676">
        <f t="shared" si="135"/>
        <v>0</v>
      </c>
      <c r="CE238" s="676">
        <f t="shared" si="135"/>
        <v>0</v>
      </c>
      <c r="CF238" s="676">
        <f t="shared" si="135"/>
        <v>0</v>
      </c>
      <c r="CG238" s="676">
        <f t="shared" si="135"/>
        <v>0</v>
      </c>
      <c r="CH238" s="676">
        <f t="shared" si="135"/>
        <v>0</v>
      </c>
      <c r="CI238" s="676">
        <f t="shared" si="135"/>
        <v>0</v>
      </c>
      <c r="CJ238" s="676">
        <f t="shared" si="135"/>
        <v>0</v>
      </c>
      <c r="CK238" s="676">
        <f t="shared" si="135"/>
        <v>0</v>
      </c>
      <c r="CL238" s="676">
        <f t="shared" si="135"/>
        <v>0</v>
      </c>
      <c r="CM238" s="676">
        <f t="shared" si="135"/>
        <v>0</v>
      </c>
      <c r="CN238" s="676">
        <f t="shared" si="135"/>
        <v>0</v>
      </c>
      <c r="CO238" s="676">
        <f t="shared" si="135"/>
        <v>0</v>
      </c>
      <c r="CP238" s="676">
        <f t="shared" si="135"/>
        <v>0</v>
      </c>
      <c r="CQ238" s="676">
        <f t="shared" si="135"/>
        <v>0</v>
      </c>
      <c r="CR238" s="676">
        <f t="shared" si="135"/>
        <v>0</v>
      </c>
      <c r="CS238" s="676">
        <f t="shared" si="135"/>
        <v>0</v>
      </c>
      <c r="CT238" s="1106"/>
      <c r="CW238" s="902" t="s">
        <v>721</v>
      </c>
      <c r="CX238" s="907"/>
      <c r="CY238" s="907"/>
      <c r="CZ238" s="907"/>
      <c r="DA238" s="908"/>
      <c r="DB238" s="908"/>
    </row>
    <row r="239" spans="1:106" s="1057" customFormat="1" ht="16.5" customHeight="1">
      <c r="A239" s="769"/>
      <c r="B239" s="718"/>
      <c r="C239" s="1016"/>
      <c r="D239" s="1016"/>
      <c r="E239" s="623">
        <v>17.100000000000001</v>
      </c>
      <c r="F239" s="714" t="str">
        <f t="shared" ca="1" si="130"/>
        <v>1</v>
      </c>
      <c r="G239" s="566" t="str">
        <f>IF(J139="пар","топливо","")</f>
        <v/>
      </c>
      <c r="H239" s="750"/>
      <c r="I239" s="750"/>
      <c r="J239" s="750"/>
      <c r="K239" s="750"/>
      <c r="L239" s="750"/>
      <c r="M239" s="750"/>
      <c r="N239" s="750"/>
      <c r="O239" s="750"/>
      <c r="P239" s="750"/>
      <c r="Q239" s="750"/>
      <c r="R239" s="1016"/>
      <c r="S239" s="98" t="b">
        <f t="shared" ca="1" si="131"/>
        <v>1</v>
      </c>
      <c r="T239" s="1016"/>
      <c r="U239" s="645" t="b">
        <f t="shared" ca="1" si="121"/>
        <v>1</v>
      </c>
      <c r="V239" s="1016"/>
      <c r="W239" s="1016"/>
      <c r="X239" s="1016"/>
      <c r="Y239" s="1382"/>
      <c r="Z239" s="1382"/>
      <c r="AA239" s="646"/>
      <c r="AB239" s="1473"/>
      <c r="AD239" s="760" t="s">
        <v>722</v>
      </c>
      <c r="AE239" s="1451" t="s">
        <v>504</v>
      </c>
      <c r="AF239" s="1452"/>
      <c r="AG239" s="250" t="s">
        <v>648</v>
      </c>
      <c r="AH239" s="1119"/>
      <c r="AI239" s="1119"/>
      <c r="AJ239" s="1119"/>
      <c r="AK239" s="1119"/>
      <c r="AL239" s="1119"/>
      <c r="AM239" s="1119"/>
      <c r="AN239" s="1119"/>
      <c r="AO239" s="1116"/>
      <c r="AP239" s="1116"/>
      <c r="AQ239" s="1116"/>
      <c r="AR239" s="1116"/>
      <c r="AS239" s="1116"/>
      <c r="AT239" s="1116"/>
      <c r="AU239" s="1119"/>
      <c r="AV239" s="1119"/>
      <c r="AW239" s="1119"/>
      <c r="AX239" s="1119"/>
      <c r="AY239" s="1119"/>
      <c r="AZ239" s="1119"/>
      <c r="BA239" s="1119"/>
      <c r="BB239" s="1119"/>
      <c r="BC239" s="1119"/>
      <c r="BD239" s="1119"/>
      <c r="BE239" s="1119"/>
      <c r="BF239" s="1119"/>
      <c r="BG239" s="1119"/>
      <c r="BH239" s="1119"/>
      <c r="BI239" s="1119"/>
      <c r="BJ239" s="1119"/>
      <c r="BK239" s="1119"/>
      <c r="BL239" s="1119"/>
      <c r="BM239" s="1119"/>
      <c r="BN239" s="1119"/>
      <c r="BO239" s="1119"/>
      <c r="BP239" s="766"/>
      <c r="BQ239" s="766"/>
      <c r="BR239" s="766"/>
      <c r="BS239" s="1116"/>
      <c r="BT239" s="1116"/>
      <c r="BU239" s="1116"/>
      <c r="BV239" s="1116"/>
      <c r="BW239" s="1116"/>
      <c r="BX239" s="1116"/>
      <c r="BY239" s="1119"/>
      <c r="BZ239" s="1119"/>
      <c r="CA239" s="1119"/>
      <c r="CB239" s="1119"/>
      <c r="CC239" s="1119"/>
      <c r="CD239" s="1119"/>
      <c r="CE239" s="1119"/>
      <c r="CF239" s="1119"/>
      <c r="CG239" s="1119"/>
      <c r="CH239" s="1119"/>
      <c r="CI239" s="1119"/>
      <c r="CJ239" s="1119"/>
      <c r="CK239" s="1119"/>
      <c r="CL239" s="1119"/>
      <c r="CM239" s="1119"/>
      <c r="CN239" s="1119"/>
      <c r="CO239" s="1119"/>
      <c r="CP239" s="1119"/>
      <c r="CQ239" s="1119"/>
      <c r="CR239" s="1119"/>
      <c r="CS239" s="1119"/>
      <c r="CT239" s="1106"/>
      <c r="CW239" s="902" t="s">
        <v>723</v>
      </c>
      <c r="CX239" s="907"/>
      <c r="CY239" s="907"/>
      <c r="CZ239" s="907"/>
      <c r="DA239" s="908"/>
      <c r="DB239" s="908"/>
    </row>
    <row r="240" spans="1:106" s="1057" customFormat="1" ht="16.5" hidden="1" customHeight="1">
      <c r="A240" s="769"/>
      <c r="B240" s="718"/>
      <c r="C240" s="1016"/>
      <c r="D240" s="1016"/>
      <c r="E240" s="623">
        <v>17.100000000000001</v>
      </c>
      <c r="F240" s="714" t="str">
        <f t="shared" ca="1" si="130"/>
        <v>1</v>
      </c>
      <c r="G240" s="750"/>
      <c r="H240" s="750"/>
      <c r="I240" s="750"/>
      <c r="J240" s="750"/>
      <c r="K240" s="750"/>
      <c r="L240" s="750"/>
      <c r="M240" s="750"/>
      <c r="N240" s="750"/>
      <c r="O240" s="750"/>
      <c r="P240" s="750"/>
      <c r="Q240" s="750"/>
      <c r="R240" s="1016"/>
      <c r="S240" s="98" t="b">
        <f t="shared" ca="1" si="131"/>
        <v>1</v>
      </c>
      <c r="T240" s="98" t="b">
        <f>AD240&lt;&gt;"40.0"</f>
        <v>0</v>
      </c>
      <c r="U240" s="645" t="b">
        <f t="shared" ca="1" si="121"/>
        <v>0</v>
      </c>
      <c r="V240" s="1016"/>
      <c r="W240" s="1016"/>
      <c r="X240" s="98" t="s">
        <v>170</v>
      </c>
      <c r="Y240" s="1382"/>
      <c r="Z240" s="1382"/>
      <c r="AA240" s="646"/>
      <c r="AB240" s="1473"/>
      <c r="AD240" s="99" t="s">
        <v>724</v>
      </c>
      <c r="AE240" s="757"/>
      <c r="AF240" s="475"/>
      <c r="AG240" s="111" t="s">
        <v>648</v>
      </c>
      <c r="AH240" s="672">
        <f t="shared" ref="AH240:BM240" si="136">AH185+AH198+AH211+AH224+AH231</f>
        <v>0</v>
      </c>
      <c r="AI240" s="672">
        <f t="shared" si="136"/>
        <v>0</v>
      </c>
      <c r="AJ240" s="672">
        <f t="shared" si="136"/>
        <v>0</v>
      </c>
      <c r="AK240" s="672">
        <f t="shared" si="136"/>
        <v>0</v>
      </c>
      <c r="AL240" s="672">
        <f t="shared" si="136"/>
        <v>0</v>
      </c>
      <c r="AM240" s="672">
        <f t="shared" si="136"/>
        <v>0</v>
      </c>
      <c r="AN240" s="672">
        <f t="shared" si="136"/>
        <v>0</v>
      </c>
      <c r="AO240" s="672">
        <f t="shared" si="136"/>
        <v>0</v>
      </c>
      <c r="AP240" s="672">
        <f t="shared" si="136"/>
        <v>0</v>
      </c>
      <c r="AQ240" s="672">
        <f t="shared" si="136"/>
        <v>0</v>
      </c>
      <c r="AR240" s="672">
        <f t="shared" si="136"/>
        <v>0</v>
      </c>
      <c r="AS240" s="672">
        <f t="shared" si="136"/>
        <v>0</v>
      </c>
      <c r="AT240" s="672">
        <f t="shared" si="136"/>
        <v>0</v>
      </c>
      <c r="AU240" s="672">
        <f t="shared" si="136"/>
        <v>0</v>
      </c>
      <c r="AV240" s="672">
        <f t="shared" si="136"/>
        <v>0</v>
      </c>
      <c r="AW240" s="672">
        <f t="shared" si="136"/>
        <v>0</v>
      </c>
      <c r="AX240" s="672">
        <f t="shared" si="136"/>
        <v>0</v>
      </c>
      <c r="AY240" s="672">
        <f t="shared" si="136"/>
        <v>0</v>
      </c>
      <c r="AZ240" s="672">
        <f t="shared" si="136"/>
        <v>0</v>
      </c>
      <c r="BA240" s="672">
        <f t="shared" si="136"/>
        <v>0</v>
      </c>
      <c r="BB240" s="672">
        <f t="shared" si="136"/>
        <v>0</v>
      </c>
      <c r="BC240" s="672">
        <f t="shared" si="136"/>
        <v>0</v>
      </c>
      <c r="BD240" s="672">
        <f t="shared" si="136"/>
        <v>0</v>
      </c>
      <c r="BE240" s="672">
        <f t="shared" si="136"/>
        <v>0</v>
      </c>
      <c r="BF240" s="672">
        <f t="shared" si="136"/>
        <v>0</v>
      </c>
      <c r="BG240" s="672">
        <f t="shared" si="136"/>
        <v>0</v>
      </c>
      <c r="BH240" s="672">
        <f t="shared" si="136"/>
        <v>0</v>
      </c>
      <c r="BI240" s="672">
        <f t="shared" si="136"/>
        <v>0</v>
      </c>
      <c r="BJ240" s="672">
        <f t="shared" si="136"/>
        <v>0</v>
      </c>
      <c r="BK240" s="672">
        <f t="shared" si="136"/>
        <v>0</v>
      </c>
      <c r="BL240" s="672">
        <f t="shared" si="136"/>
        <v>0</v>
      </c>
      <c r="BM240" s="672">
        <f t="shared" si="136"/>
        <v>0</v>
      </c>
      <c r="BN240" s="672">
        <f t="shared" ref="BN240:CS240" si="137">BN185+BN198+BN211+BN224+BN231</f>
        <v>0</v>
      </c>
      <c r="BO240" s="672">
        <f t="shared" si="137"/>
        <v>0</v>
      </c>
      <c r="BP240" s="672">
        <f t="shared" si="137"/>
        <v>0</v>
      </c>
      <c r="BQ240" s="672">
        <f t="shared" si="137"/>
        <v>0</v>
      </c>
      <c r="BR240" s="672">
        <f t="shared" si="137"/>
        <v>0</v>
      </c>
      <c r="BS240" s="672">
        <f t="shared" si="137"/>
        <v>0</v>
      </c>
      <c r="BT240" s="672">
        <f t="shared" si="137"/>
        <v>0</v>
      </c>
      <c r="BU240" s="672">
        <f t="shared" si="137"/>
        <v>0</v>
      </c>
      <c r="BV240" s="672">
        <f t="shared" si="137"/>
        <v>0</v>
      </c>
      <c r="BW240" s="672">
        <f t="shared" si="137"/>
        <v>0</v>
      </c>
      <c r="BX240" s="672">
        <f t="shared" si="137"/>
        <v>0</v>
      </c>
      <c r="BY240" s="672">
        <f t="shared" si="137"/>
        <v>0</v>
      </c>
      <c r="BZ240" s="672">
        <f t="shared" si="137"/>
        <v>0</v>
      </c>
      <c r="CA240" s="672">
        <f t="shared" si="137"/>
        <v>0</v>
      </c>
      <c r="CB240" s="672">
        <f t="shared" si="137"/>
        <v>0</v>
      </c>
      <c r="CC240" s="672">
        <f t="shared" si="137"/>
        <v>0</v>
      </c>
      <c r="CD240" s="672">
        <f t="shared" si="137"/>
        <v>0</v>
      </c>
      <c r="CE240" s="672">
        <f t="shared" si="137"/>
        <v>0</v>
      </c>
      <c r="CF240" s="672">
        <f t="shared" si="137"/>
        <v>0</v>
      </c>
      <c r="CG240" s="672">
        <f t="shared" si="137"/>
        <v>0</v>
      </c>
      <c r="CH240" s="672">
        <f t="shared" si="137"/>
        <v>0</v>
      </c>
      <c r="CI240" s="672">
        <f t="shared" si="137"/>
        <v>0</v>
      </c>
      <c r="CJ240" s="672">
        <f t="shared" si="137"/>
        <v>0</v>
      </c>
      <c r="CK240" s="672">
        <f t="shared" si="137"/>
        <v>0</v>
      </c>
      <c r="CL240" s="672">
        <f t="shared" si="137"/>
        <v>0</v>
      </c>
      <c r="CM240" s="672">
        <f t="shared" si="137"/>
        <v>0</v>
      </c>
      <c r="CN240" s="672">
        <f t="shared" si="137"/>
        <v>0</v>
      </c>
      <c r="CO240" s="672">
        <f t="shared" si="137"/>
        <v>0</v>
      </c>
      <c r="CP240" s="672">
        <f t="shared" si="137"/>
        <v>0</v>
      </c>
      <c r="CQ240" s="672">
        <f t="shared" si="137"/>
        <v>0</v>
      </c>
      <c r="CR240" s="672">
        <f t="shared" si="137"/>
        <v>0</v>
      </c>
      <c r="CS240" s="672">
        <f t="shared" si="137"/>
        <v>0</v>
      </c>
      <c r="CT240" s="22"/>
      <c r="CW240" s="902" t="s">
        <v>725</v>
      </c>
      <c r="CX240" s="907" t="s">
        <v>630</v>
      </c>
      <c r="CY240" s="911">
        <f>AE240</f>
        <v>0</v>
      </c>
      <c r="CZ240" s="911">
        <f>AF240</f>
        <v>0</v>
      </c>
      <c r="DA240" s="908"/>
      <c r="DB240" s="908"/>
    </row>
    <row r="241" spans="1:106" s="1057" customFormat="1" ht="15" hidden="1" customHeight="1">
      <c r="A241" s="769"/>
      <c r="B241" s="718"/>
      <c r="C241" s="1016"/>
      <c r="D241" s="1016"/>
      <c r="E241" s="623">
        <v>0</v>
      </c>
      <c r="F241" s="714" t="str">
        <f t="shared" ca="1" si="130"/>
        <v>1</v>
      </c>
      <c r="G241" s="750"/>
      <c r="H241" s="750"/>
      <c r="I241" s="750"/>
      <c r="J241" s="750"/>
      <c r="K241" s="750"/>
      <c r="L241" s="750"/>
      <c r="M241" s="750"/>
      <c r="N241" s="750"/>
      <c r="O241" s="750"/>
      <c r="P241" s="750"/>
      <c r="Q241" s="750"/>
      <c r="R241" s="1016"/>
      <c r="S241" s="98" t="b">
        <f t="shared" ca="1" si="131"/>
        <v>1</v>
      </c>
      <c r="T241" s="1016"/>
      <c r="U241" s="645" t="b">
        <f t="shared" ca="1" si="121"/>
        <v>1</v>
      </c>
      <c r="V241" s="1016"/>
      <c r="W241" s="1016"/>
      <c r="X241" s="756" t="str">
        <f>"{                  
         funcDyn: 'msg1',
         blok: 'blok_2',
         wsCross: 'Топливо 4.4',
         linkFormula: 'AE-AE#AF-AF',
         levelDyn: "&amp;Y139&amp;"
}"</f>
        <v>{                  
         funcDyn: 'msg1',
         blok: 'blok_2',
         wsCross: 'Топливо 4.4',
         linkFormula: 'AE-AE#AF-AF',
         levelDyn: 1
}</v>
      </c>
      <c r="Y241" s="1382"/>
      <c r="Z241" s="1382"/>
      <c r="AA241" s="646"/>
      <c r="AB241" s="1473"/>
      <c r="AD241" s="759"/>
      <c r="AE241" s="758" t="s">
        <v>172</v>
      </c>
      <c r="AF241" s="685"/>
      <c r="AG241" s="111"/>
      <c r="AH241" s="673"/>
      <c r="AI241" s="675"/>
      <c r="AJ241" s="675"/>
      <c r="AK241" s="675"/>
      <c r="AL241" s="675"/>
      <c r="AM241" s="675"/>
      <c r="AN241" s="675"/>
      <c r="AO241" s="675"/>
      <c r="AP241" s="675"/>
      <c r="AQ241" s="675"/>
      <c r="AR241" s="675"/>
      <c r="AS241" s="675"/>
      <c r="AT241" s="675"/>
      <c r="AU241" s="675"/>
      <c r="AV241" s="675"/>
      <c r="AW241" s="675"/>
      <c r="AX241" s="675"/>
      <c r="AY241" s="675"/>
      <c r="AZ241" s="675"/>
      <c r="BA241" s="675"/>
      <c r="BB241" s="675"/>
      <c r="BC241" s="675"/>
      <c r="BD241" s="675"/>
      <c r="BE241" s="675"/>
      <c r="BF241" s="675"/>
      <c r="BG241" s="675"/>
      <c r="BH241" s="675"/>
      <c r="BI241" s="675"/>
      <c r="BJ241" s="675"/>
      <c r="BK241" s="675"/>
      <c r="BL241" s="675"/>
      <c r="BM241" s="675"/>
      <c r="BN241" s="675"/>
      <c r="BO241" s="675"/>
      <c r="BP241" s="675"/>
      <c r="BQ241" s="675"/>
      <c r="BR241" s="675"/>
      <c r="BS241" s="675"/>
      <c r="BT241" s="675"/>
      <c r="BU241" s="675"/>
      <c r="BV241" s="675"/>
      <c r="BW241" s="675"/>
      <c r="BX241" s="675"/>
      <c r="BY241" s="675"/>
      <c r="BZ241" s="675"/>
      <c r="CA241" s="675"/>
      <c r="CB241" s="675"/>
      <c r="CC241" s="675"/>
      <c r="CD241" s="675"/>
      <c r="CE241" s="675"/>
      <c r="CF241" s="675"/>
      <c r="CG241" s="675"/>
      <c r="CH241" s="675"/>
      <c r="CI241" s="675"/>
      <c r="CJ241" s="675"/>
      <c r="CK241" s="675"/>
      <c r="CL241" s="675"/>
      <c r="CM241" s="675"/>
      <c r="CN241" s="675"/>
      <c r="CO241" s="675"/>
      <c r="CP241" s="675"/>
      <c r="CQ241" s="675"/>
      <c r="CR241" s="675"/>
      <c r="CS241" s="675"/>
      <c r="CT241" s="33"/>
      <c r="CW241" s="902" t="str">
        <f>IF(AND(ISNUMBER(VALUE(TRIM(SUBSTITUTE(AD241,".","")))),TRIM(SUBSTITUTE(AD241,".",""))&lt;&gt;""),"P"&amp;SUBSTITUTE(AD241,".",""),"")</f>
        <v/>
      </c>
      <c r="CX241" s="907"/>
      <c r="CY241" s="907"/>
      <c r="CZ241" s="907"/>
      <c r="DA241" s="908"/>
      <c r="DB241" s="908"/>
    </row>
    <row r="242" spans="1:106" s="1057" customFormat="1" ht="16.5" customHeight="1">
      <c r="A242" s="769"/>
      <c r="B242" s="718"/>
      <c r="C242" s="1016"/>
      <c r="D242" s="1016"/>
      <c r="E242" s="623">
        <v>17.100000000000001</v>
      </c>
      <c r="F242" s="714" t="str">
        <f t="shared" ca="1" si="130"/>
        <v>1</v>
      </c>
      <c r="G242" s="750"/>
      <c r="H242" s="750"/>
      <c r="I242" s="750"/>
      <c r="J242" s="750"/>
      <c r="K242" s="750"/>
      <c r="L242" s="750"/>
      <c r="M242" s="750"/>
      <c r="N242" s="750"/>
      <c r="O242" s="750"/>
      <c r="P242" s="750"/>
      <c r="Q242" s="750"/>
      <c r="R242" s="1016"/>
      <c r="S242" s="98" t="b">
        <f t="shared" ca="1" si="131"/>
        <v>1</v>
      </c>
      <c r="T242" s="1016"/>
      <c r="U242" s="645" t="b">
        <f t="shared" ca="1" si="121"/>
        <v>1</v>
      </c>
      <c r="V242" s="1016"/>
      <c r="W242" s="1016"/>
      <c r="X242" s="1016"/>
      <c r="Y242" s="1382"/>
      <c r="Z242" s="1382"/>
      <c r="AA242" s="646"/>
      <c r="AB242" s="1473"/>
      <c r="AD242" s="111" t="s">
        <v>726</v>
      </c>
      <c r="AE242" s="1442" t="s">
        <v>727</v>
      </c>
      <c r="AF242" s="1413"/>
      <c r="AG242" s="111" t="s">
        <v>728</v>
      </c>
      <c r="AH242" s="672">
        <f t="shared" ref="AH242:BM242" si="138">IFERROR(AH236/AH164,0)*1000</f>
        <v>0</v>
      </c>
      <c r="AI242" s="672">
        <f t="shared" si="138"/>
        <v>0</v>
      </c>
      <c r="AJ242" s="672">
        <f t="shared" si="138"/>
        <v>0</v>
      </c>
      <c r="AK242" s="672">
        <f t="shared" si="138"/>
        <v>0</v>
      </c>
      <c r="AL242" s="672">
        <f t="shared" si="138"/>
        <v>0</v>
      </c>
      <c r="AM242" s="672">
        <f t="shared" si="138"/>
        <v>0</v>
      </c>
      <c r="AN242" s="672">
        <f t="shared" si="138"/>
        <v>0</v>
      </c>
      <c r="AO242" s="672">
        <f t="shared" si="138"/>
        <v>0</v>
      </c>
      <c r="AP242" s="672">
        <f t="shared" si="138"/>
        <v>0</v>
      </c>
      <c r="AQ242" s="672">
        <f t="shared" si="138"/>
        <v>0</v>
      </c>
      <c r="AR242" s="672">
        <f t="shared" si="138"/>
        <v>0</v>
      </c>
      <c r="AS242" s="672">
        <f t="shared" si="138"/>
        <v>0</v>
      </c>
      <c r="AT242" s="672">
        <f t="shared" si="138"/>
        <v>0</v>
      </c>
      <c r="AU242" s="672">
        <f t="shared" si="138"/>
        <v>0</v>
      </c>
      <c r="AV242" s="672">
        <f t="shared" si="138"/>
        <v>0</v>
      </c>
      <c r="AW242" s="672">
        <f t="shared" si="138"/>
        <v>0</v>
      </c>
      <c r="AX242" s="672">
        <f t="shared" si="138"/>
        <v>0</v>
      </c>
      <c r="AY242" s="672">
        <f t="shared" si="138"/>
        <v>0</v>
      </c>
      <c r="AZ242" s="672">
        <f t="shared" si="138"/>
        <v>0</v>
      </c>
      <c r="BA242" s="672">
        <f t="shared" si="138"/>
        <v>0</v>
      </c>
      <c r="BB242" s="672">
        <f t="shared" si="138"/>
        <v>0</v>
      </c>
      <c r="BC242" s="672">
        <f t="shared" si="138"/>
        <v>0</v>
      </c>
      <c r="BD242" s="672">
        <f t="shared" si="138"/>
        <v>0</v>
      </c>
      <c r="BE242" s="672">
        <f t="shared" si="138"/>
        <v>0</v>
      </c>
      <c r="BF242" s="672">
        <f t="shared" si="138"/>
        <v>0</v>
      </c>
      <c r="BG242" s="672">
        <f t="shared" si="138"/>
        <v>0</v>
      </c>
      <c r="BH242" s="672">
        <f t="shared" si="138"/>
        <v>0</v>
      </c>
      <c r="BI242" s="672">
        <f t="shared" si="138"/>
        <v>0</v>
      </c>
      <c r="BJ242" s="672">
        <f t="shared" si="138"/>
        <v>0</v>
      </c>
      <c r="BK242" s="672">
        <f t="shared" si="138"/>
        <v>0</v>
      </c>
      <c r="BL242" s="672">
        <f t="shared" si="138"/>
        <v>0</v>
      </c>
      <c r="BM242" s="672">
        <f t="shared" si="138"/>
        <v>0</v>
      </c>
      <c r="BN242" s="672">
        <f t="shared" ref="BN242:CS242" si="139">IFERROR(BN236/BN164,0)*1000</f>
        <v>0</v>
      </c>
      <c r="BO242" s="672">
        <f t="shared" si="139"/>
        <v>0</v>
      </c>
      <c r="BP242" s="672">
        <f t="shared" si="139"/>
        <v>0</v>
      </c>
      <c r="BQ242" s="672">
        <f t="shared" si="139"/>
        <v>0</v>
      </c>
      <c r="BR242" s="672">
        <f t="shared" si="139"/>
        <v>0</v>
      </c>
      <c r="BS242" s="672">
        <f t="shared" si="139"/>
        <v>0</v>
      </c>
      <c r="BT242" s="672">
        <f t="shared" si="139"/>
        <v>0</v>
      </c>
      <c r="BU242" s="672">
        <f t="shared" si="139"/>
        <v>0</v>
      </c>
      <c r="BV242" s="672">
        <f t="shared" si="139"/>
        <v>0</v>
      </c>
      <c r="BW242" s="672">
        <f t="shared" si="139"/>
        <v>0</v>
      </c>
      <c r="BX242" s="672">
        <f t="shared" si="139"/>
        <v>0</v>
      </c>
      <c r="BY242" s="672">
        <f t="shared" si="139"/>
        <v>0</v>
      </c>
      <c r="BZ242" s="672">
        <f t="shared" si="139"/>
        <v>0</v>
      </c>
      <c r="CA242" s="672">
        <f t="shared" si="139"/>
        <v>0</v>
      </c>
      <c r="CB242" s="672">
        <f t="shared" si="139"/>
        <v>0</v>
      </c>
      <c r="CC242" s="672">
        <f t="shared" si="139"/>
        <v>0</v>
      </c>
      <c r="CD242" s="672">
        <f t="shared" si="139"/>
        <v>0</v>
      </c>
      <c r="CE242" s="672">
        <f t="shared" si="139"/>
        <v>0</v>
      </c>
      <c r="CF242" s="672">
        <f t="shared" si="139"/>
        <v>0</v>
      </c>
      <c r="CG242" s="672">
        <f t="shared" si="139"/>
        <v>0</v>
      </c>
      <c r="CH242" s="672">
        <f t="shared" si="139"/>
        <v>0</v>
      </c>
      <c r="CI242" s="672">
        <f t="shared" si="139"/>
        <v>0</v>
      </c>
      <c r="CJ242" s="672">
        <f t="shared" si="139"/>
        <v>0</v>
      </c>
      <c r="CK242" s="672">
        <f t="shared" si="139"/>
        <v>0</v>
      </c>
      <c r="CL242" s="672">
        <f t="shared" si="139"/>
        <v>0</v>
      </c>
      <c r="CM242" s="672">
        <f t="shared" si="139"/>
        <v>0</v>
      </c>
      <c r="CN242" s="672">
        <f t="shared" si="139"/>
        <v>0</v>
      </c>
      <c r="CO242" s="672">
        <f t="shared" si="139"/>
        <v>0</v>
      </c>
      <c r="CP242" s="672">
        <f t="shared" si="139"/>
        <v>0</v>
      </c>
      <c r="CQ242" s="672">
        <f t="shared" si="139"/>
        <v>0</v>
      </c>
      <c r="CR242" s="672">
        <f t="shared" si="139"/>
        <v>0</v>
      </c>
      <c r="CS242" s="672">
        <f t="shared" si="139"/>
        <v>0</v>
      </c>
      <c r="CT242" s="1106"/>
      <c r="CW242" s="902" t="s">
        <v>729</v>
      </c>
      <c r="CX242" s="907"/>
      <c r="CY242" s="907"/>
      <c r="CZ242" s="907"/>
      <c r="DA242" s="908"/>
      <c r="DB242" s="908"/>
    </row>
    <row r="243" spans="1:106" s="1057" customFormat="1" ht="16.5" customHeight="1">
      <c r="A243" s="769"/>
      <c r="B243" s="718"/>
      <c r="C243" s="1016"/>
      <c r="D243" s="1016"/>
      <c r="E243" s="623">
        <v>17.100000000000001</v>
      </c>
      <c r="F243" s="714" t="str">
        <f t="shared" ca="1" si="130"/>
        <v>1</v>
      </c>
      <c r="G243" s="750"/>
      <c r="H243" s="750"/>
      <c r="I243" s="750"/>
      <c r="J243" s="750"/>
      <c r="K243" s="750"/>
      <c r="L243" s="750"/>
      <c r="M243" s="750"/>
      <c r="N243" s="750"/>
      <c r="O243" s="750"/>
      <c r="P243" s="750"/>
      <c r="Q243" s="750"/>
      <c r="R243" s="714" t="s">
        <v>569</v>
      </c>
      <c r="S243" s="98" t="b">
        <f t="shared" ca="1" si="131"/>
        <v>1</v>
      </c>
      <c r="T243" s="1016"/>
      <c r="U243" s="645" t="b">
        <f t="shared" ca="1" si="121"/>
        <v>1</v>
      </c>
      <c r="V243" s="1016"/>
      <c r="W243" s="1016"/>
      <c r="X243" s="1016"/>
      <c r="Y243" s="1382"/>
      <c r="Z243" s="1382"/>
      <c r="AA243" s="646"/>
      <c r="AB243" s="1473"/>
      <c r="AD243" s="99" t="str">
        <f>AD242&amp;".0"</f>
        <v>41.0</v>
      </c>
      <c r="AE243" s="1445" t="s">
        <v>580</v>
      </c>
      <c r="AF243" s="1446"/>
      <c r="AG243" s="111" t="s">
        <v>728</v>
      </c>
      <c r="AH243" s="672">
        <f t="shared" ref="AH243:BM243" si="140">IFERROR(AH237/AH165,0)*1000</f>
        <v>0</v>
      </c>
      <c r="AI243" s="672">
        <f t="shared" si="140"/>
        <v>0</v>
      </c>
      <c r="AJ243" s="672">
        <f t="shared" si="140"/>
        <v>0</v>
      </c>
      <c r="AK243" s="672">
        <f t="shared" si="140"/>
        <v>0</v>
      </c>
      <c r="AL243" s="672">
        <f t="shared" si="140"/>
        <v>0</v>
      </c>
      <c r="AM243" s="672">
        <f t="shared" si="140"/>
        <v>0</v>
      </c>
      <c r="AN243" s="672">
        <f t="shared" si="140"/>
        <v>0</v>
      </c>
      <c r="AO243" s="672">
        <f t="shared" si="140"/>
        <v>0</v>
      </c>
      <c r="AP243" s="672">
        <f t="shared" si="140"/>
        <v>0</v>
      </c>
      <c r="AQ243" s="672">
        <f t="shared" si="140"/>
        <v>0</v>
      </c>
      <c r="AR243" s="672">
        <f t="shared" si="140"/>
        <v>0</v>
      </c>
      <c r="AS243" s="672">
        <f t="shared" si="140"/>
        <v>0</v>
      </c>
      <c r="AT243" s="672">
        <f t="shared" si="140"/>
        <v>0</v>
      </c>
      <c r="AU243" s="672">
        <f t="shared" si="140"/>
        <v>0</v>
      </c>
      <c r="AV243" s="672">
        <f t="shared" si="140"/>
        <v>0</v>
      </c>
      <c r="AW243" s="672">
        <f t="shared" si="140"/>
        <v>0</v>
      </c>
      <c r="AX243" s="672">
        <f t="shared" si="140"/>
        <v>0</v>
      </c>
      <c r="AY243" s="672">
        <f t="shared" si="140"/>
        <v>0</v>
      </c>
      <c r="AZ243" s="672">
        <f t="shared" si="140"/>
        <v>0</v>
      </c>
      <c r="BA243" s="672">
        <f t="shared" si="140"/>
        <v>0</v>
      </c>
      <c r="BB243" s="672">
        <f t="shared" si="140"/>
        <v>0</v>
      </c>
      <c r="BC243" s="672">
        <f t="shared" si="140"/>
        <v>0</v>
      </c>
      <c r="BD243" s="672">
        <f t="shared" si="140"/>
        <v>0</v>
      </c>
      <c r="BE243" s="672">
        <f t="shared" si="140"/>
        <v>0</v>
      </c>
      <c r="BF243" s="672">
        <f t="shared" si="140"/>
        <v>0</v>
      </c>
      <c r="BG243" s="672">
        <f t="shared" si="140"/>
        <v>0</v>
      </c>
      <c r="BH243" s="672">
        <f t="shared" si="140"/>
        <v>0</v>
      </c>
      <c r="BI243" s="672">
        <f t="shared" si="140"/>
        <v>0</v>
      </c>
      <c r="BJ243" s="672">
        <f t="shared" si="140"/>
        <v>0</v>
      </c>
      <c r="BK243" s="672">
        <f t="shared" si="140"/>
        <v>0</v>
      </c>
      <c r="BL243" s="672">
        <f t="shared" si="140"/>
        <v>0</v>
      </c>
      <c r="BM243" s="672">
        <f t="shared" si="140"/>
        <v>0</v>
      </c>
      <c r="BN243" s="672">
        <f t="shared" ref="BN243:CS243" si="141">IFERROR(BN237/BN165,0)*1000</f>
        <v>0</v>
      </c>
      <c r="BO243" s="672">
        <f t="shared" si="141"/>
        <v>0</v>
      </c>
      <c r="BP243" s="672">
        <f t="shared" si="141"/>
        <v>0</v>
      </c>
      <c r="BQ243" s="672">
        <f t="shared" si="141"/>
        <v>0</v>
      </c>
      <c r="BR243" s="672">
        <f t="shared" si="141"/>
        <v>0</v>
      </c>
      <c r="BS243" s="672">
        <f t="shared" si="141"/>
        <v>0</v>
      </c>
      <c r="BT243" s="672">
        <f t="shared" si="141"/>
        <v>0</v>
      </c>
      <c r="BU243" s="672">
        <f t="shared" si="141"/>
        <v>0</v>
      </c>
      <c r="BV243" s="672">
        <f t="shared" si="141"/>
        <v>0</v>
      </c>
      <c r="BW243" s="672">
        <f t="shared" si="141"/>
        <v>0</v>
      </c>
      <c r="BX243" s="672">
        <f t="shared" si="141"/>
        <v>0</v>
      </c>
      <c r="BY243" s="672">
        <f t="shared" si="141"/>
        <v>0</v>
      </c>
      <c r="BZ243" s="672">
        <f t="shared" si="141"/>
        <v>0</v>
      </c>
      <c r="CA243" s="672">
        <f t="shared" si="141"/>
        <v>0</v>
      </c>
      <c r="CB243" s="672">
        <f t="shared" si="141"/>
        <v>0</v>
      </c>
      <c r="CC243" s="672">
        <f t="shared" si="141"/>
        <v>0</v>
      </c>
      <c r="CD243" s="672">
        <f t="shared" si="141"/>
        <v>0</v>
      </c>
      <c r="CE243" s="672">
        <f t="shared" si="141"/>
        <v>0</v>
      </c>
      <c r="CF243" s="672">
        <f t="shared" si="141"/>
        <v>0</v>
      </c>
      <c r="CG243" s="672">
        <f t="shared" si="141"/>
        <v>0</v>
      </c>
      <c r="CH243" s="672">
        <f t="shared" si="141"/>
        <v>0</v>
      </c>
      <c r="CI243" s="672">
        <f t="shared" si="141"/>
        <v>0</v>
      </c>
      <c r="CJ243" s="672">
        <f t="shared" si="141"/>
        <v>0</v>
      </c>
      <c r="CK243" s="672">
        <f t="shared" si="141"/>
        <v>0</v>
      </c>
      <c r="CL243" s="672">
        <f t="shared" si="141"/>
        <v>0</v>
      </c>
      <c r="CM243" s="672">
        <f t="shared" si="141"/>
        <v>0</v>
      </c>
      <c r="CN243" s="672">
        <f t="shared" si="141"/>
        <v>0</v>
      </c>
      <c r="CO243" s="672">
        <f t="shared" si="141"/>
        <v>0</v>
      </c>
      <c r="CP243" s="672">
        <f t="shared" si="141"/>
        <v>0</v>
      </c>
      <c r="CQ243" s="672">
        <f t="shared" si="141"/>
        <v>0</v>
      </c>
      <c r="CR243" s="672">
        <f t="shared" si="141"/>
        <v>0</v>
      </c>
      <c r="CS243" s="672">
        <f t="shared" si="141"/>
        <v>0</v>
      </c>
      <c r="CT243" s="1106"/>
      <c r="CW243" s="902" t="s">
        <v>730</v>
      </c>
      <c r="CX243" s="907"/>
      <c r="CY243" s="907"/>
      <c r="CZ243" s="907"/>
      <c r="DA243" s="908"/>
      <c r="DB243" s="908"/>
    </row>
    <row r="244" spans="1:106" s="1057" customFormat="1" ht="16.5" hidden="1" customHeight="1">
      <c r="A244" s="769"/>
      <c r="B244" s="718"/>
      <c r="C244" s="1016"/>
      <c r="D244" s="1016"/>
      <c r="E244" s="623">
        <v>17.100000000000001</v>
      </c>
      <c r="F244" s="714" t="str">
        <f t="shared" ca="1" si="130"/>
        <v>1</v>
      </c>
      <c r="G244" s="750"/>
      <c r="H244" s="750"/>
      <c r="I244" s="750"/>
      <c r="J244" s="750"/>
      <c r="K244" s="750"/>
      <c r="L244" s="750"/>
      <c r="M244" s="750"/>
      <c r="N244" s="750"/>
      <c r="O244" s="750"/>
      <c r="P244" s="750"/>
      <c r="Q244" s="750"/>
      <c r="R244" s="1016"/>
      <c r="S244" s="98" t="b">
        <f t="shared" ca="1" si="131"/>
        <v>1</v>
      </c>
      <c r="T244" s="98" t="b">
        <f>AD244&lt;&gt;"41.0"</f>
        <v>0</v>
      </c>
      <c r="U244" s="645" t="b">
        <f t="shared" ca="1" si="121"/>
        <v>0</v>
      </c>
      <c r="V244" s="1016"/>
      <c r="W244" s="1016"/>
      <c r="X244" s="98" t="s">
        <v>170</v>
      </c>
      <c r="Y244" s="1382"/>
      <c r="Z244" s="1382"/>
      <c r="AA244" s="646"/>
      <c r="AB244" s="1473"/>
      <c r="AD244" s="99" t="s">
        <v>731</v>
      </c>
      <c r="AE244" s="757"/>
      <c r="AF244" s="475"/>
      <c r="AG244" s="111" t="s">
        <v>728</v>
      </c>
      <c r="AH244" s="672">
        <f t="shared" ref="AH244:BM244" si="142">IFERROR(AH240/AH166,0)*1000</f>
        <v>0</v>
      </c>
      <c r="AI244" s="672">
        <f t="shared" si="142"/>
        <v>0</v>
      </c>
      <c r="AJ244" s="672">
        <f t="shared" si="142"/>
        <v>0</v>
      </c>
      <c r="AK244" s="672">
        <f t="shared" si="142"/>
        <v>0</v>
      </c>
      <c r="AL244" s="672">
        <f t="shared" si="142"/>
        <v>0</v>
      </c>
      <c r="AM244" s="672">
        <f t="shared" si="142"/>
        <v>0</v>
      </c>
      <c r="AN244" s="672">
        <f t="shared" si="142"/>
        <v>0</v>
      </c>
      <c r="AO244" s="672">
        <f t="shared" si="142"/>
        <v>0</v>
      </c>
      <c r="AP244" s="672">
        <f t="shared" si="142"/>
        <v>0</v>
      </c>
      <c r="AQ244" s="672">
        <f t="shared" si="142"/>
        <v>0</v>
      </c>
      <c r="AR244" s="672">
        <f t="shared" si="142"/>
        <v>0</v>
      </c>
      <c r="AS244" s="672">
        <f t="shared" si="142"/>
        <v>0</v>
      </c>
      <c r="AT244" s="672">
        <f t="shared" si="142"/>
        <v>0</v>
      </c>
      <c r="AU244" s="672">
        <f t="shared" si="142"/>
        <v>0</v>
      </c>
      <c r="AV244" s="672">
        <f t="shared" si="142"/>
        <v>0</v>
      </c>
      <c r="AW244" s="672">
        <f t="shared" si="142"/>
        <v>0</v>
      </c>
      <c r="AX244" s="672">
        <f t="shared" si="142"/>
        <v>0</v>
      </c>
      <c r="AY244" s="672">
        <f t="shared" si="142"/>
        <v>0</v>
      </c>
      <c r="AZ244" s="672">
        <f t="shared" si="142"/>
        <v>0</v>
      </c>
      <c r="BA244" s="672">
        <f t="shared" si="142"/>
        <v>0</v>
      </c>
      <c r="BB244" s="672">
        <f t="shared" si="142"/>
        <v>0</v>
      </c>
      <c r="BC244" s="672">
        <f t="shared" si="142"/>
        <v>0</v>
      </c>
      <c r="BD244" s="672">
        <f t="shared" si="142"/>
        <v>0</v>
      </c>
      <c r="BE244" s="672">
        <f t="shared" si="142"/>
        <v>0</v>
      </c>
      <c r="BF244" s="672">
        <f t="shared" si="142"/>
        <v>0</v>
      </c>
      <c r="BG244" s="672">
        <f t="shared" si="142"/>
        <v>0</v>
      </c>
      <c r="BH244" s="672">
        <f t="shared" si="142"/>
        <v>0</v>
      </c>
      <c r="BI244" s="672">
        <f t="shared" si="142"/>
        <v>0</v>
      </c>
      <c r="BJ244" s="672">
        <f t="shared" si="142"/>
        <v>0</v>
      </c>
      <c r="BK244" s="672">
        <f t="shared" si="142"/>
        <v>0</v>
      </c>
      <c r="BL244" s="672">
        <f t="shared" si="142"/>
        <v>0</v>
      </c>
      <c r="BM244" s="672">
        <f t="shared" si="142"/>
        <v>0</v>
      </c>
      <c r="BN244" s="672">
        <f t="shared" ref="BN244:CS244" si="143">IFERROR(BN240/BN166,0)*1000</f>
        <v>0</v>
      </c>
      <c r="BO244" s="672">
        <f t="shared" si="143"/>
        <v>0</v>
      </c>
      <c r="BP244" s="672">
        <f t="shared" si="143"/>
        <v>0</v>
      </c>
      <c r="BQ244" s="672">
        <f t="shared" si="143"/>
        <v>0</v>
      </c>
      <c r="BR244" s="672">
        <f t="shared" si="143"/>
        <v>0</v>
      </c>
      <c r="BS244" s="672">
        <f t="shared" si="143"/>
        <v>0</v>
      </c>
      <c r="BT244" s="672">
        <f t="shared" si="143"/>
        <v>0</v>
      </c>
      <c r="BU244" s="672">
        <f t="shared" si="143"/>
        <v>0</v>
      </c>
      <c r="BV244" s="672">
        <f t="shared" si="143"/>
        <v>0</v>
      </c>
      <c r="BW244" s="672">
        <f t="shared" si="143"/>
        <v>0</v>
      </c>
      <c r="BX244" s="672">
        <f t="shared" si="143"/>
        <v>0</v>
      </c>
      <c r="BY244" s="672">
        <f t="shared" si="143"/>
        <v>0</v>
      </c>
      <c r="BZ244" s="672">
        <f t="shared" si="143"/>
        <v>0</v>
      </c>
      <c r="CA244" s="672">
        <f t="shared" si="143"/>
        <v>0</v>
      </c>
      <c r="CB244" s="672">
        <f t="shared" si="143"/>
        <v>0</v>
      </c>
      <c r="CC244" s="672">
        <f t="shared" si="143"/>
        <v>0</v>
      </c>
      <c r="CD244" s="672">
        <f t="shared" si="143"/>
        <v>0</v>
      </c>
      <c r="CE244" s="672">
        <f t="shared" si="143"/>
        <v>0</v>
      </c>
      <c r="CF244" s="672">
        <f t="shared" si="143"/>
        <v>0</v>
      </c>
      <c r="CG244" s="672">
        <f t="shared" si="143"/>
        <v>0</v>
      </c>
      <c r="CH244" s="672">
        <f t="shared" si="143"/>
        <v>0</v>
      </c>
      <c r="CI244" s="672">
        <f t="shared" si="143"/>
        <v>0</v>
      </c>
      <c r="CJ244" s="672">
        <f t="shared" si="143"/>
        <v>0</v>
      </c>
      <c r="CK244" s="672">
        <f t="shared" si="143"/>
        <v>0</v>
      </c>
      <c r="CL244" s="672">
        <f t="shared" si="143"/>
        <v>0</v>
      </c>
      <c r="CM244" s="672">
        <f t="shared" si="143"/>
        <v>0</v>
      </c>
      <c r="CN244" s="672">
        <f t="shared" si="143"/>
        <v>0</v>
      </c>
      <c r="CO244" s="672">
        <f t="shared" si="143"/>
        <v>0</v>
      </c>
      <c r="CP244" s="672">
        <f t="shared" si="143"/>
        <v>0</v>
      </c>
      <c r="CQ244" s="672">
        <f t="shared" si="143"/>
        <v>0</v>
      </c>
      <c r="CR244" s="672">
        <f t="shared" si="143"/>
        <v>0</v>
      </c>
      <c r="CS244" s="672">
        <f t="shared" si="143"/>
        <v>0</v>
      </c>
      <c r="CT244" s="22"/>
      <c r="CW244" s="902" t="s">
        <v>730</v>
      </c>
      <c r="CX244" s="907" t="s">
        <v>630</v>
      </c>
      <c r="CY244" s="911">
        <f>AE244</f>
        <v>0</v>
      </c>
      <c r="CZ244" s="911">
        <f>AF244</f>
        <v>0</v>
      </c>
      <c r="DA244" s="908"/>
      <c r="DB244" s="908"/>
    </row>
    <row r="245" spans="1:106" s="1057" customFormat="1" ht="15" hidden="1" customHeight="1">
      <c r="A245" s="769"/>
      <c r="B245" s="718"/>
      <c r="C245" s="1016"/>
      <c r="D245" s="1016"/>
      <c r="E245" s="623">
        <v>0</v>
      </c>
      <c r="F245" s="714" t="str">
        <f t="shared" ca="1" si="130"/>
        <v>1</v>
      </c>
      <c r="G245" s="750"/>
      <c r="H245" s="750"/>
      <c r="I245" s="750"/>
      <c r="J245" s="750"/>
      <c r="K245" s="750"/>
      <c r="L245" s="750"/>
      <c r="M245" s="750"/>
      <c r="N245" s="750"/>
      <c r="O245" s="750"/>
      <c r="P245" s="750"/>
      <c r="Q245" s="750"/>
      <c r="R245" s="1016"/>
      <c r="S245" s="98" t="b">
        <f t="shared" ca="1" si="131"/>
        <v>1</v>
      </c>
      <c r="T245" s="1016"/>
      <c r="U245" s="645" t="b">
        <f t="shared" ca="1" si="121"/>
        <v>1</v>
      </c>
      <c r="V245" s="1016"/>
      <c r="W245" s="1016"/>
      <c r="X245" s="756" t="str">
        <f>"{                  
         funcDyn: 'msg1',
         blok: 'blok_2',
         wsCross: 'Топливо 4.4',
         linkFormula: 'AE-AE#AF-AF',
         levelDyn: "&amp;Y139&amp;"
}"</f>
        <v>{                  
         funcDyn: 'msg1',
         blok: 'blok_2',
         wsCross: 'Топливо 4.4',
         linkFormula: 'AE-AE#AF-AF',
         levelDyn: 1
}</v>
      </c>
      <c r="Y245" s="1382"/>
      <c r="Z245" s="1382"/>
      <c r="AA245" s="646"/>
      <c r="AB245" s="1473"/>
      <c r="AD245" s="759"/>
      <c r="AE245" s="758" t="s">
        <v>172</v>
      </c>
      <c r="AF245" s="685"/>
      <c r="AG245" s="111"/>
      <c r="AH245" s="673"/>
      <c r="AI245" s="675"/>
      <c r="AJ245" s="675"/>
      <c r="AK245" s="675"/>
      <c r="AL245" s="675"/>
      <c r="AM245" s="675"/>
      <c r="AN245" s="675"/>
      <c r="AO245" s="675"/>
      <c r="AP245" s="675"/>
      <c r="AQ245" s="675"/>
      <c r="AR245" s="675"/>
      <c r="AS245" s="675"/>
      <c r="AT245" s="675"/>
      <c r="AU245" s="675"/>
      <c r="AV245" s="675"/>
      <c r="AW245" s="675"/>
      <c r="AX245" s="675"/>
      <c r="AY245" s="675"/>
      <c r="AZ245" s="675"/>
      <c r="BA245" s="675"/>
      <c r="BB245" s="675"/>
      <c r="BC245" s="675"/>
      <c r="BD245" s="675"/>
      <c r="BE245" s="675"/>
      <c r="BF245" s="675"/>
      <c r="BG245" s="675"/>
      <c r="BH245" s="675"/>
      <c r="BI245" s="675"/>
      <c r="BJ245" s="675"/>
      <c r="BK245" s="675"/>
      <c r="BL245" s="675"/>
      <c r="BM245" s="675"/>
      <c r="BN245" s="675"/>
      <c r="BO245" s="675"/>
      <c r="BP245" s="675"/>
      <c r="BQ245" s="675"/>
      <c r="BR245" s="675"/>
      <c r="BS245" s="675"/>
      <c r="BT245" s="675"/>
      <c r="BU245" s="675"/>
      <c r="BV245" s="675"/>
      <c r="BW245" s="675"/>
      <c r="BX245" s="675"/>
      <c r="BY245" s="675"/>
      <c r="BZ245" s="675"/>
      <c r="CA245" s="675"/>
      <c r="CB245" s="675"/>
      <c r="CC245" s="675"/>
      <c r="CD245" s="675"/>
      <c r="CE245" s="675"/>
      <c r="CF245" s="675"/>
      <c r="CG245" s="675"/>
      <c r="CH245" s="675"/>
      <c r="CI245" s="675"/>
      <c r="CJ245" s="675"/>
      <c r="CK245" s="675"/>
      <c r="CL245" s="675"/>
      <c r="CM245" s="675"/>
      <c r="CN245" s="675"/>
      <c r="CO245" s="675"/>
      <c r="CP245" s="675"/>
      <c r="CQ245" s="675"/>
      <c r="CR245" s="675"/>
      <c r="CS245" s="675"/>
      <c r="CT245" s="33"/>
      <c r="CW245" s="902" t="str">
        <f>IF(AND(ISNUMBER(VALUE(TRIM(SUBSTITUTE(AD245,".","")))),TRIM(SUBSTITUTE(AD245,".",""))&lt;&gt;""),"P"&amp;SUBSTITUTE(AD245,".",""),"")</f>
        <v/>
      </c>
      <c r="CX245" s="907"/>
      <c r="CY245" s="907"/>
      <c r="CZ245" s="907"/>
      <c r="DA245" s="908"/>
      <c r="DB245" s="908"/>
    </row>
    <row r="246" spans="1:106" s="1057" customFormat="1" ht="16.5" customHeight="1">
      <c r="A246" s="769"/>
      <c r="B246" s="718"/>
      <c r="C246" s="1016"/>
      <c r="D246" s="1016"/>
      <c r="E246" s="623">
        <v>17.100000000000001</v>
      </c>
      <c r="F246" s="714" t="str">
        <f t="shared" ca="1" si="130"/>
        <v>1</v>
      </c>
      <c r="G246" s="750"/>
      <c r="H246" s="750"/>
      <c r="I246" s="750"/>
      <c r="J246" s="750"/>
      <c r="K246" s="750"/>
      <c r="L246" s="750"/>
      <c r="M246" s="750"/>
      <c r="N246" s="750"/>
      <c r="O246" s="750"/>
      <c r="P246" s="750"/>
      <c r="Q246" s="750"/>
      <c r="R246" s="1016"/>
      <c r="S246" s="98" t="b">
        <f t="shared" ca="1" si="131"/>
        <v>1</v>
      </c>
      <c r="T246" s="1016"/>
      <c r="U246" s="645" t="b">
        <f t="shared" ca="1" si="121"/>
        <v>1</v>
      </c>
      <c r="V246" s="1016"/>
      <c r="W246" s="1016"/>
      <c r="X246" s="1016"/>
      <c r="Y246" s="1382"/>
      <c r="Z246" s="1382"/>
      <c r="AA246" s="646"/>
      <c r="AB246" s="1473"/>
      <c r="AD246" s="111" t="s">
        <v>732</v>
      </c>
      <c r="AE246" s="1442" t="s">
        <v>733</v>
      </c>
      <c r="AF246" s="1413"/>
      <c r="AG246" s="477"/>
      <c r="AH246" s="673"/>
      <c r="AI246" s="675"/>
      <c r="AJ246" s="675"/>
      <c r="AK246" s="675"/>
      <c r="AL246" s="675"/>
      <c r="AM246" s="675"/>
      <c r="AN246" s="675"/>
      <c r="AO246" s="675"/>
      <c r="AP246" s="675"/>
      <c r="AQ246" s="675"/>
      <c r="AR246" s="675"/>
      <c r="AS246" s="675"/>
      <c r="AT246" s="675"/>
      <c r="AU246" s="675"/>
      <c r="AV246" s="675"/>
      <c r="AW246" s="675"/>
      <c r="AX246" s="675"/>
      <c r="AY246" s="675"/>
      <c r="AZ246" s="675"/>
      <c r="BA246" s="675"/>
      <c r="BB246" s="675"/>
      <c r="BC246" s="675"/>
      <c r="BD246" s="675"/>
      <c r="BE246" s="675"/>
      <c r="BF246" s="675"/>
      <c r="BG246" s="675"/>
      <c r="BH246" s="675"/>
      <c r="BI246" s="675"/>
      <c r="BJ246" s="675"/>
      <c r="BK246" s="675"/>
      <c r="BL246" s="675"/>
      <c r="BM246" s="675"/>
      <c r="BN246" s="675"/>
      <c r="BO246" s="675"/>
      <c r="BP246" s="675"/>
      <c r="BQ246" s="675"/>
      <c r="BR246" s="675"/>
      <c r="BS246" s="675"/>
      <c r="BT246" s="675"/>
      <c r="BU246" s="675"/>
      <c r="BV246" s="675"/>
      <c r="BW246" s="675"/>
      <c r="BX246" s="675"/>
      <c r="BY246" s="675"/>
      <c r="BZ246" s="675"/>
      <c r="CA246" s="675"/>
      <c r="CB246" s="675"/>
      <c r="CC246" s="675"/>
      <c r="CD246" s="675"/>
      <c r="CE246" s="675"/>
      <c r="CF246" s="675"/>
      <c r="CG246" s="675"/>
      <c r="CH246" s="675"/>
      <c r="CI246" s="675"/>
      <c r="CJ246" s="675"/>
      <c r="CK246" s="675"/>
      <c r="CL246" s="675"/>
      <c r="CM246" s="675"/>
      <c r="CN246" s="675"/>
      <c r="CO246" s="675"/>
      <c r="CP246" s="675"/>
      <c r="CQ246" s="675"/>
      <c r="CR246" s="675"/>
      <c r="CS246" s="675"/>
      <c r="CT246" s="1106"/>
      <c r="CW246" s="902" t="s">
        <v>734</v>
      </c>
      <c r="CX246" s="907"/>
      <c r="CY246" s="907"/>
      <c r="CZ246" s="907"/>
      <c r="DA246" s="908"/>
      <c r="DB246" s="908"/>
    </row>
    <row r="247" spans="1:106" s="1057" customFormat="1" ht="16.5" hidden="1" customHeight="1">
      <c r="A247" s="769"/>
      <c r="B247" s="718"/>
      <c r="C247" s="1016"/>
      <c r="D247" s="1016"/>
      <c r="E247" s="623">
        <v>17.100000000000001</v>
      </c>
      <c r="F247" s="714" t="str">
        <f t="shared" ca="1" si="130"/>
        <v>1</v>
      </c>
      <c r="G247" s="750"/>
      <c r="H247" s="750"/>
      <c r="I247" s="750"/>
      <c r="J247" s="750"/>
      <c r="K247" s="750"/>
      <c r="L247" s="750"/>
      <c r="M247" s="750"/>
      <c r="N247" s="750"/>
      <c r="O247" s="750"/>
      <c r="P247" s="750"/>
      <c r="Q247" s="750"/>
      <c r="R247" s="1016"/>
      <c r="S247" s="98" t="b">
        <f t="shared" ca="1" si="131"/>
        <v>1</v>
      </c>
      <c r="T247" s="98" t="b">
        <f>AD247&lt;&gt;"42.0"</f>
        <v>0</v>
      </c>
      <c r="U247" s="645" t="b">
        <f t="shared" ca="1" si="121"/>
        <v>0</v>
      </c>
      <c r="V247" s="1016"/>
      <c r="W247" s="1016"/>
      <c r="X247" s="98" t="s">
        <v>170</v>
      </c>
      <c r="Y247" s="1382"/>
      <c r="Z247" s="1382"/>
      <c r="AA247" s="646"/>
      <c r="AB247" s="1473"/>
      <c r="AD247" s="99" t="s">
        <v>735</v>
      </c>
      <c r="AE247" s="757"/>
      <c r="AF247" s="475"/>
      <c r="AG247" s="835" t="str">
        <f>"руб./"&amp;IFERROR(INDEX(fuel_ed_izm_list,MATCH(AE247,fuel_list,0)),"")</f>
        <v>руб./</v>
      </c>
      <c r="AH247" s="681">
        <f t="shared" ref="AH247:BM247" si="144">IFERROR(AH240/AH175,0)*1000</f>
        <v>0</v>
      </c>
      <c r="AI247" s="681">
        <f t="shared" si="144"/>
        <v>0</v>
      </c>
      <c r="AJ247" s="681">
        <f t="shared" si="144"/>
        <v>0</v>
      </c>
      <c r="AK247" s="681">
        <f t="shared" si="144"/>
        <v>0</v>
      </c>
      <c r="AL247" s="681">
        <f t="shared" si="144"/>
        <v>0</v>
      </c>
      <c r="AM247" s="681">
        <f t="shared" si="144"/>
        <v>0</v>
      </c>
      <c r="AN247" s="681">
        <f t="shared" si="144"/>
        <v>0</v>
      </c>
      <c r="AO247" s="681">
        <f t="shared" si="144"/>
        <v>0</v>
      </c>
      <c r="AP247" s="681">
        <f t="shared" si="144"/>
        <v>0</v>
      </c>
      <c r="AQ247" s="681">
        <f t="shared" si="144"/>
        <v>0</v>
      </c>
      <c r="AR247" s="681">
        <f t="shared" si="144"/>
        <v>0</v>
      </c>
      <c r="AS247" s="681">
        <f t="shared" si="144"/>
        <v>0</v>
      </c>
      <c r="AT247" s="681">
        <f t="shared" si="144"/>
        <v>0</v>
      </c>
      <c r="AU247" s="681">
        <f t="shared" si="144"/>
        <v>0</v>
      </c>
      <c r="AV247" s="681">
        <f t="shared" si="144"/>
        <v>0</v>
      </c>
      <c r="AW247" s="681">
        <f t="shared" si="144"/>
        <v>0</v>
      </c>
      <c r="AX247" s="681">
        <f t="shared" si="144"/>
        <v>0</v>
      </c>
      <c r="AY247" s="681">
        <f t="shared" si="144"/>
        <v>0</v>
      </c>
      <c r="AZ247" s="681">
        <f t="shared" si="144"/>
        <v>0</v>
      </c>
      <c r="BA247" s="681">
        <f t="shared" si="144"/>
        <v>0</v>
      </c>
      <c r="BB247" s="681">
        <f t="shared" si="144"/>
        <v>0</v>
      </c>
      <c r="BC247" s="681">
        <f t="shared" si="144"/>
        <v>0</v>
      </c>
      <c r="BD247" s="681">
        <f t="shared" si="144"/>
        <v>0</v>
      </c>
      <c r="BE247" s="681">
        <f t="shared" si="144"/>
        <v>0</v>
      </c>
      <c r="BF247" s="681">
        <f t="shared" si="144"/>
        <v>0</v>
      </c>
      <c r="BG247" s="681">
        <f t="shared" si="144"/>
        <v>0</v>
      </c>
      <c r="BH247" s="681">
        <f t="shared" si="144"/>
        <v>0</v>
      </c>
      <c r="BI247" s="681">
        <f t="shared" si="144"/>
        <v>0</v>
      </c>
      <c r="BJ247" s="681">
        <f t="shared" si="144"/>
        <v>0</v>
      </c>
      <c r="BK247" s="681">
        <f t="shared" si="144"/>
        <v>0</v>
      </c>
      <c r="BL247" s="681">
        <f t="shared" si="144"/>
        <v>0</v>
      </c>
      <c r="BM247" s="681">
        <f t="shared" si="144"/>
        <v>0</v>
      </c>
      <c r="BN247" s="681">
        <f t="shared" ref="BN247:CS247" si="145">IFERROR(BN240/BN175,0)*1000</f>
        <v>0</v>
      </c>
      <c r="BO247" s="681">
        <f t="shared" si="145"/>
        <v>0</v>
      </c>
      <c r="BP247" s="681">
        <f t="shared" si="145"/>
        <v>0</v>
      </c>
      <c r="BQ247" s="681">
        <f t="shared" si="145"/>
        <v>0</v>
      </c>
      <c r="BR247" s="681">
        <f t="shared" si="145"/>
        <v>0</v>
      </c>
      <c r="BS247" s="681">
        <f t="shared" si="145"/>
        <v>0</v>
      </c>
      <c r="BT247" s="681">
        <f t="shared" si="145"/>
        <v>0</v>
      </c>
      <c r="BU247" s="681">
        <f t="shared" si="145"/>
        <v>0</v>
      </c>
      <c r="BV247" s="681">
        <f t="shared" si="145"/>
        <v>0</v>
      </c>
      <c r="BW247" s="681">
        <f t="shared" si="145"/>
        <v>0</v>
      </c>
      <c r="BX247" s="681">
        <f t="shared" si="145"/>
        <v>0</v>
      </c>
      <c r="BY247" s="681">
        <f t="shared" si="145"/>
        <v>0</v>
      </c>
      <c r="BZ247" s="681">
        <f t="shared" si="145"/>
        <v>0</v>
      </c>
      <c r="CA247" s="681">
        <f t="shared" si="145"/>
        <v>0</v>
      </c>
      <c r="CB247" s="681">
        <f t="shared" si="145"/>
        <v>0</v>
      </c>
      <c r="CC247" s="681">
        <f t="shared" si="145"/>
        <v>0</v>
      </c>
      <c r="CD247" s="681">
        <f t="shared" si="145"/>
        <v>0</v>
      </c>
      <c r="CE247" s="681">
        <f t="shared" si="145"/>
        <v>0</v>
      </c>
      <c r="CF247" s="681">
        <f t="shared" si="145"/>
        <v>0</v>
      </c>
      <c r="CG247" s="681">
        <f t="shared" si="145"/>
        <v>0</v>
      </c>
      <c r="CH247" s="681">
        <f t="shared" si="145"/>
        <v>0</v>
      </c>
      <c r="CI247" s="681">
        <f t="shared" si="145"/>
        <v>0</v>
      </c>
      <c r="CJ247" s="681">
        <f t="shared" si="145"/>
        <v>0</v>
      </c>
      <c r="CK247" s="681">
        <f t="shared" si="145"/>
        <v>0</v>
      </c>
      <c r="CL247" s="681">
        <f t="shared" si="145"/>
        <v>0</v>
      </c>
      <c r="CM247" s="681">
        <f t="shared" si="145"/>
        <v>0</v>
      </c>
      <c r="CN247" s="681">
        <f t="shared" si="145"/>
        <v>0</v>
      </c>
      <c r="CO247" s="681">
        <f t="shared" si="145"/>
        <v>0</v>
      </c>
      <c r="CP247" s="681">
        <f t="shared" si="145"/>
        <v>0</v>
      </c>
      <c r="CQ247" s="681">
        <f t="shared" si="145"/>
        <v>0</v>
      </c>
      <c r="CR247" s="681">
        <f t="shared" si="145"/>
        <v>0</v>
      </c>
      <c r="CS247" s="681">
        <f t="shared" si="145"/>
        <v>0</v>
      </c>
      <c r="CT247" s="22"/>
      <c r="CW247" s="902" t="s">
        <v>734</v>
      </c>
      <c r="CX247" s="907" t="s">
        <v>630</v>
      </c>
      <c r="CY247" s="911">
        <f>AE247</f>
        <v>0</v>
      </c>
      <c r="CZ247" s="911">
        <f>AF247</f>
        <v>0</v>
      </c>
      <c r="DA247" s="908"/>
      <c r="DB247" s="908"/>
    </row>
    <row r="248" spans="1:106" s="1057" customFormat="1" ht="15" hidden="1" customHeight="1">
      <c r="A248" s="769"/>
      <c r="B248" s="718"/>
      <c r="C248" s="1016"/>
      <c r="D248" s="1016"/>
      <c r="E248" s="623">
        <v>0</v>
      </c>
      <c r="F248" s="714" t="str">
        <f t="shared" ca="1" si="130"/>
        <v>1</v>
      </c>
      <c r="G248" s="750"/>
      <c r="H248" s="750"/>
      <c r="I248" s="750"/>
      <c r="J248" s="750"/>
      <c r="K248" s="750"/>
      <c r="L248" s="750"/>
      <c r="M248" s="750"/>
      <c r="N248" s="750"/>
      <c r="O248" s="750"/>
      <c r="P248" s="750"/>
      <c r="Q248" s="750"/>
      <c r="R248" s="1016"/>
      <c r="S248" s="98" t="b">
        <f t="shared" ca="1" si="131"/>
        <v>1</v>
      </c>
      <c r="T248" s="1016"/>
      <c r="U248" s="645" t="b">
        <f t="shared" ca="1" si="121"/>
        <v>1</v>
      </c>
      <c r="V248" s="1016"/>
      <c r="W248" s="1016"/>
      <c r="X248" s="756" t="str">
        <f>"{                  
         funcDyn: 'msg1',
         blok: '',
         wsCross: '',
         linkFormula: '',
         levelDyn: "&amp;Y139&amp;"
}"</f>
        <v>{                  
         funcDyn: 'msg1',
         blok: '',
         wsCross: '',
         linkFormula: '',
         levelDyn: 1
}</v>
      </c>
      <c r="Y248" s="1382"/>
      <c r="Z248" s="1382"/>
      <c r="AA248" s="646"/>
      <c r="AB248" s="1473"/>
      <c r="AD248" s="759"/>
      <c r="AE248" s="758" t="s">
        <v>172</v>
      </c>
      <c r="AF248" s="685"/>
      <c r="AG248" s="111"/>
      <c r="AH248" s="687"/>
      <c r="AI248" s="688"/>
      <c r="AJ248" s="688"/>
      <c r="AK248" s="688"/>
      <c r="AL248" s="688"/>
      <c r="AM248" s="688"/>
      <c r="AN248" s="688"/>
      <c r="AO248" s="688"/>
      <c r="AP248" s="688"/>
      <c r="AQ248" s="688"/>
      <c r="AR248" s="688"/>
      <c r="AS248" s="688"/>
      <c r="AT248" s="688"/>
      <c r="AU248" s="688"/>
      <c r="AV248" s="688"/>
      <c r="AW248" s="688"/>
      <c r="AX248" s="688"/>
      <c r="AY248" s="688"/>
      <c r="AZ248" s="688"/>
      <c r="BA248" s="688"/>
      <c r="BB248" s="688"/>
      <c r="BC248" s="688"/>
      <c r="BD248" s="688"/>
      <c r="BE248" s="688"/>
      <c r="BF248" s="688"/>
      <c r="BG248" s="688"/>
      <c r="BH248" s="688"/>
      <c r="BI248" s="688"/>
      <c r="BJ248" s="688"/>
      <c r="BK248" s="688"/>
      <c r="BL248" s="688"/>
      <c r="BM248" s="688"/>
      <c r="BN248" s="688"/>
      <c r="BO248" s="688"/>
      <c r="BP248" s="688"/>
      <c r="BQ248" s="688"/>
      <c r="BR248" s="688"/>
      <c r="BS248" s="688"/>
      <c r="BT248" s="688"/>
      <c r="BU248" s="688"/>
      <c r="BV248" s="688"/>
      <c r="BW248" s="688"/>
      <c r="BX248" s="688"/>
      <c r="BY248" s="688"/>
      <c r="BZ248" s="688"/>
      <c r="CA248" s="688"/>
      <c r="CB248" s="688"/>
      <c r="CC248" s="688"/>
      <c r="CD248" s="688"/>
      <c r="CE248" s="688"/>
      <c r="CF248" s="688"/>
      <c r="CG248" s="688"/>
      <c r="CH248" s="688"/>
      <c r="CI248" s="688"/>
      <c r="CJ248" s="688"/>
      <c r="CK248" s="688"/>
      <c r="CL248" s="688"/>
      <c r="CM248" s="688"/>
      <c r="CN248" s="688"/>
      <c r="CO248" s="688"/>
      <c r="CP248" s="688"/>
      <c r="CQ248" s="688"/>
      <c r="CR248" s="688"/>
      <c r="CS248" s="688"/>
      <c r="CT248" s="33"/>
      <c r="CW248" s="902" t="str">
        <f>IF(AND(ISNUMBER(VALUE(TRIM(SUBSTITUTE(AD248,".","")))),TRIM(SUBSTITUTE(AD248,".",""))&lt;&gt;""),"P"&amp;SUBSTITUTE(AD248,".",""),"")</f>
        <v/>
      </c>
      <c r="CX248" s="907"/>
      <c r="CY248" s="907"/>
      <c r="CZ248" s="907"/>
      <c r="DA248" s="908"/>
      <c r="DB248" s="908"/>
    </row>
    <row r="249" spans="1:106" s="1057" customFormat="1" ht="16.5" customHeight="1">
      <c r="A249" s="769"/>
      <c r="B249" s="718"/>
      <c r="C249" s="1016"/>
      <c r="D249" s="1016"/>
      <c r="E249" s="623">
        <v>17.100000000000001</v>
      </c>
      <c r="F249" s="714" t="str">
        <f t="shared" ca="1" si="130"/>
        <v>1</v>
      </c>
      <c r="G249" s="750"/>
      <c r="H249" s="750"/>
      <c r="I249" s="750"/>
      <c r="J249" s="750"/>
      <c r="K249" s="750"/>
      <c r="L249" s="750"/>
      <c r="M249" s="750"/>
      <c r="N249" s="750"/>
      <c r="O249" s="750"/>
      <c r="P249" s="750"/>
      <c r="Q249" s="750"/>
      <c r="R249" s="1016"/>
      <c r="S249" s="98" t="b">
        <f t="shared" ca="1" si="131"/>
        <v>1</v>
      </c>
      <c r="T249" s="1016"/>
      <c r="U249" s="645" t="b">
        <f t="shared" ca="1" si="121"/>
        <v>1</v>
      </c>
      <c r="V249" s="1016"/>
      <c r="W249" s="1016"/>
      <c r="X249" s="1016"/>
      <c r="Y249" s="1382"/>
      <c r="Z249" s="1382"/>
      <c r="AA249" s="646"/>
      <c r="AB249" s="1474"/>
      <c r="AC249" s="761"/>
      <c r="AD249" s="111" t="s">
        <v>736</v>
      </c>
      <c r="AE249" s="1442" t="s">
        <v>737</v>
      </c>
      <c r="AF249" s="1413"/>
      <c r="AG249" s="111" t="s">
        <v>738</v>
      </c>
      <c r="AH249" s="672">
        <f t="shared" ref="AH249:BM249" si="146">IFERROR(AH237/AH155*1000,0)</f>
        <v>0</v>
      </c>
      <c r="AI249" s="672">
        <f t="shared" si="146"/>
        <v>0</v>
      </c>
      <c r="AJ249" s="672">
        <f t="shared" si="146"/>
        <v>0</v>
      </c>
      <c r="AK249" s="672">
        <f t="shared" si="146"/>
        <v>0</v>
      </c>
      <c r="AL249" s="672">
        <f t="shared" si="146"/>
        <v>0</v>
      </c>
      <c r="AM249" s="672">
        <f t="shared" si="146"/>
        <v>0</v>
      </c>
      <c r="AN249" s="672">
        <f t="shared" si="146"/>
        <v>0</v>
      </c>
      <c r="AO249" s="672">
        <f t="shared" si="146"/>
        <v>0</v>
      </c>
      <c r="AP249" s="672">
        <f t="shared" si="146"/>
        <v>0</v>
      </c>
      <c r="AQ249" s="672">
        <f t="shared" si="146"/>
        <v>0</v>
      </c>
      <c r="AR249" s="672">
        <f t="shared" si="146"/>
        <v>0</v>
      </c>
      <c r="AS249" s="672">
        <f t="shared" si="146"/>
        <v>0</v>
      </c>
      <c r="AT249" s="672">
        <f t="shared" si="146"/>
        <v>0</v>
      </c>
      <c r="AU249" s="672">
        <f t="shared" si="146"/>
        <v>0</v>
      </c>
      <c r="AV249" s="672">
        <f t="shared" si="146"/>
        <v>0</v>
      </c>
      <c r="AW249" s="672">
        <f t="shared" si="146"/>
        <v>0</v>
      </c>
      <c r="AX249" s="672">
        <f t="shared" si="146"/>
        <v>0</v>
      </c>
      <c r="AY249" s="672">
        <f t="shared" si="146"/>
        <v>0</v>
      </c>
      <c r="AZ249" s="672">
        <f t="shared" si="146"/>
        <v>0</v>
      </c>
      <c r="BA249" s="672">
        <f t="shared" si="146"/>
        <v>0</v>
      </c>
      <c r="BB249" s="672">
        <f t="shared" si="146"/>
        <v>0</v>
      </c>
      <c r="BC249" s="672">
        <f t="shared" si="146"/>
        <v>0</v>
      </c>
      <c r="BD249" s="672">
        <f t="shared" si="146"/>
        <v>0</v>
      </c>
      <c r="BE249" s="672">
        <f t="shared" si="146"/>
        <v>0</v>
      </c>
      <c r="BF249" s="672">
        <f t="shared" si="146"/>
        <v>0</v>
      </c>
      <c r="BG249" s="672">
        <f t="shared" si="146"/>
        <v>0</v>
      </c>
      <c r="BH249" s="672">
        <f t="shared" si="146"/>
        <v>0</v>
      </c>
      <c r="BI249" s="672">
        <f t="shared" si="146"/>
        <v>0</v>
      </c>
      <c r="BJ249" s="672">
        <f t="shared" si="146"/>
        <v>0</v>
      </c>
      <c r="BK249" s="672">
        <f t="shared" si="146"/>
        <v>0</v>
      </c>
      <c r="BL249" s="672">
        <f t="shared" si="146"/>
        <v>0</v>
      </c>
      <c r="BM249" s="672">
        <f t="shared" si="146"/>
        <v>0</v>
      </c>
      <c r="BN249" s="672">
        <f t="shared" ref="BN249:CS249" si="147">IFERROR(BN237/BN155*1000,0)</f>
        <v>0</v>
      </c>
      <c r="BO249" s="672">
        <f t="shared" si="147"/>
        <v>0</v>
      </c>
      <c r="BP249" s="672">
        <f t="shared" si="147"/>
        <v>0</v>
      </c>
      <c r="BQ249" s="672">
        <f t="shared" si="147"/>
        <v>0</v>
      </c>
      <c r="BR249" s="672">
        <f t="shared" si="147"/>
        <v>0</v>
      </c>
      <c r="BS249" s="672">
        <f t="shared" si="147"/>
        <v>0</v>
      </c>
      <c r="BT249" s="672">
        <f t="shared" si="147"/>
        <v>0</v>
      </c>
      <c r="BU249" s="672">
        <f t="shared" si="147"/>
        <v>0</v>
      </c>
      <c r="BV249" s="672">
        <f t="shared" si="147"/>
        <v>0</v>
      </c>
      <c r="BW249" s="672">
        <f t="shared" si="147"/>
        <v>0</v>
      </c>
      <c r="BX249" s="672">
        <f t="shared" si="147"/>
        <v>0</v>
      </c>
      <c r="BY249" s="672">
        <f t="shared" si="147"/>
        <v>0</v>
      </c>
      <c r="BZ249" s="672">
        <f t="shared" si="147"/>
        <v>0</v>
      </c>
      <c r="CA249" s="672">
        <f t="shared" si="147"/>
        <v>0</v>
      </c>
      <c r="CB249" s="672">
        <f t="shared" si="147"/>
        <v>0</v>
      </c>
      <c r="CC249" s="672">
        <f t="shared" si="147"/>
        <v>0</v>
      </c>
      <c r="CD249" s="672">
        <f t="shared" si="147"/>
        <v>0</v>
      </c>
      <c r="CE249" s="672">
        <f t="shared" si="147"/>
        <v>0</v>
      </c>
      <c r="CF249" s="672">
        <f t="shared" si="147"/>
        <v>0</v>
      </c>
      <c r="CG249" s="672">
        <f t="shared" si="147"/>
        <v>0</v>
      </c>
      <c r="CH249" s="672">
        <f t="shared" si="147"/>
        <v>0</v>
      </c>
      <c r="CI249" s="672">
        <f t="shared" si="147"/>
        <v>0</v>
      </c>
      <c r="CJ249" s="672">
        <f t="shared" si="147"/>
        <v>0</v>
      </c>
      <c r="CK249" s="672">
        <f t="shared" si="147"/>
        <v>0</v>
      </c>
      <c r="CL249" s="672">
        <f t="shared" si="147"/>
        <v>0</v>
      </c>
      <c r="CM249" s="672">
        <f t="shared" si="147"/>
        <v>0</v>
      </c>
      <c r="CN249" s="672">
        <f t="shared" si="147"/>
        <v>0</v>
      </c>
      <c r="CO249" s="672">
        <f t="shared" si="147"/>
        <v>0</v>
      </c>
      <c r="CP249" s="672">
        <f t="shared" si="147"/>
        <v>0</v>
      </c>
      <c r="CQ249" s="672">
        <f t="shared" si="147"/>
        <v>0</v>
      </c>
      <c r="CR249" s="672">
        <f t="shared" si="147"/>
        <v>0</v>
      </c>
      <c r="CS249" s="672">
        <f t="shared" si="147"/>
        <v>0</v>
      </c>
      <c r="CT249" s="1106"/>
      <c r="CW249" s="902" t="s">
        <v>739</v>
      </c>
      <c r="CX249" s="907"/>
      <c r="CY249" s="907"/>
      <c r="CZ249" s="907"/>
      <c r="DA249" s="908"/>
      <c r="DB249" s="908"/>
    </row>
    <row r="250" spans="1:106" ht="11.1" customHeight="1">
      <c r="A250" s="999"/>
      <c r="E250" s="623">
        <v>11.4</v>
      </c>
      <c r="F250" s="714" t="str">
        <f t="shared" ca="1" si="130"/>
        <v>1</v>
      </c>
      <c r="V250" s="98" t="s">
        <v>172</v>
      </c>
      <c r="W250" s="109" t="s">
        <v>740</v>
      </c>
      <c r="AO250" s="1110"/>
      <c r="AP250" s="1110"/>
      <c r="AQ250" s="1110"/>
      <c r="AR250" s="1110"/>
      <c r="AS250" s="1110"/>
      <c r="AT250" s="1110"/>
      <c r="AU250" s="1110"/>
      <c r="AV250" s="1110"/>
      <c r="AW250" s="1110"/>
      <c r="AX250" s="1110"/>
      <c r="AY250" s="1110"/>
      <c r="AZ250" s="1110"/>
      <c r="BA250" s="1110"/>
      <c r="BB250" s="1110"/>
      <c r="BC250" s="1110"/>
      <c r="BD250" s="1110"/>
      <c r="BE250" s="1110"/>
      <c r="BF250" s="1110"/>
      <c r="BG250" s="1110"/>
      <c r="BH250" s="1110"/>
      <c r="BI250" s="1110"/>
      <c r="BJ250" s="1110"/>
      <c r="BK250" s="1110"/>
      <c r="BL250" s="1110"/>
      <c r="BM250" s="1110"/>
      <c r="BN250" s="1110"/>
      <c r="BO250" s="1110"/>
      <c r="BP250" s="1110"/>
      <c r="BQ250" s="1110"/>
      <c r="BR250" s="1110"/>
      <c r="BS250" s="1110"/>
      <c r="BT250" s="1110"/>
      <c r="BU250" s="1110"/>
      <c r="BV250" s="1110"/>
      <c r="BW250" s="1110"/>
      <c r="BX250" s="1110"/>
      <c r="BY250" s="1110"/>
      <c r="BZ250" s="1110"/>
      <c r="CA250" s="1110"/>
      <c r="CB250" s="1110"/>
      <c r="CC250" s="1110"/>
      <c r="CD250" s="1110"/>
      <c r="CE250" s="1110"/>
      <c r="CF250" s="1110"/>
      <c r="CG250" s="1110"/>
      <c r="CH250" s="1110"/>
      <c r="CI250" s="1110"/>
      <c r="CJ250" s="1110"/>
      <c r="CK250" s="1110"/>
      <c r="CL250" s="1110"/>
      <c r="CM250" s="1110"/>
      <c r="CN250" s="1110"/>
      <c r="CO250" s="1110"/>
      <c r="CP250" s="1110"/>
      <c r="CQ250" s="1110"/>
      <c r="CR250" s="1110"/>
      <c r="CS250" s="1110"/>
      <c r="CT250" s="639"/>
    </row>
  </sheetData>
  <sheetProtection insertRows="0" deleteColumns="0" deleteRows="0" sort="0" autoFilter="0"/>
  <mergeCells count="144">
    <mergeCell ref="AE140:AF140"/>
    <mergeCell ref="AE141:AF141"/>
    <mergeCell ref="AE142:AF142"/>
    <mergeCell ref="AE143:AF143"/>
    <mergeCell ref="AE144:AF144"/>
    <mergeCell ref="AE150:AF150"/>
    <mergeCell ref="Y139:Y249"/>
    <mergeCell ref="Z139:Z249"/>
    <mergeCell ref="AB140:AB160"/>
    <mergeCell ref="AE229:AF229"/>
    <mergeCell ref="AE230:AF230"/>
    <mergeCell ref="AE233:AF233"/>
    <mergeCell ref="AE196:AF196"/>
    <mergeCell ref="AE197:AF197"/>
    <mergeCell ref="AE193:AF193"/>
    <mergeCell ref="AE200:AF200"/>
    <mergeCell ref="AE160:AF160"/>
    <mergeCell ref="AE161:AF161"/>
    <mergeCell ref="AE165:AF165"/>
    <mergeCell ref="AE168:AF168"/>
    <mergeCell ref="AE177:AF177"/>
    <mergeCell ref="AB236:AB249"/>
    <mergeCell ref="AE219:AF219"/>
    <mergeCell ref="AE222:AF222"/>
    <mergeCell ref="AE223:AF223"/>
    <mergeCell ref="AE190:AF190"/>
    <mergeCell ref="AE206:AF206"/>
    <mergeCell ref="AE209:AF209"/>
    <mergeCell ref="AE210:AF210"/>
    <mergeCell ref="AE213:AF213"/>
    <mergeCell ref="AE158:AF158"/>
    <mergeCell ref="AE159:AF159"/>
    <mergeCell ref="AE152:AF152"/>
    <mergeCell ref="AE145:AF145"/>
    <mergeCell ref="AE146:AF146"/>
    <mergeCell ref="AE147:AF147"/>
    <mergeCell ref="AE148:AF148"/>
    <mergeCell ref="AE149:AF149"/>
    <mergeCell ref="AE151:AF151"/>
    <mergeCell ref="AE162:AF162"/>
    <mergeCell ref="AE216:AF216"/>
    <mergeCell ref="AE153:AF153"/>
    <mergeCell ref="AE154:AF154"/>
    <mergeCell ref="AE155:AF155"/>
    <mergeCell ref="AE156:AF156"/>
    <mergeCell ref="AE157:AF157"/>
    <mergeCell ref="AB229:AB235"/>
    <mergeCell ref="AB216:AB228"/>
    <mergeCell ref="AB161:AB176"/>
    <mergeCell ref="AB177:AB189"/>
    <mergeCell ref="AB190:AB202"/>
    <mergeCell ref="AB203:AB215"/>
    <mergeCell ref="AE249:AF249"/>
    <mergeCell ref="AE164:AF164"/>
    <mergeCell ref="AE246:AF246"/>
    <mergeCell ref="AE242:AF242"/>
    <mergeCell ref="AE243:AF243"/>
    <mergeCell ref="AE236:AF236"/>
    <mergeCell ref="AE237:AF237"/>
    <mergeCell ref="AE238:AF238"/>
    <mergeCell ref="AE239:AF239"/>
    <mergeCell ref="AE174:AF174"/>
    <mergeCell ref="AE171:AF171"/>
    <mergeCell ref="AE183:AF183"/>
    <mergeCell ref="AE184:AF184"/>
    <mergeCell ref="AE180:AF180"/>
    <mergeCell ref="AE226:AF226"/>
    <mergeCell ref="AE203:AF203"/>
    <mergeCell ref="AE187:AF187"/>
    <mergeCell ref="AE163:AF163"/>
    <mergeCell ref="Y28:Y138"/>
    <mergeCell ref="Z28:Z138"/>
    <mergeCell ref="AB29:AB49"/>
    <mergeCell ref="AE118:AF118"/>
    <mergeCell ref="AE119:AF119"/>
    <mergeCell ref="AE122:AF122"/>
    <mergeCell ref="AE85:AF85"/>
    <mergeCell ref="AE86:AF86"/>
    <mergeCell ref="AE82:AF82"/>
    <mergeCell ref="AE89:AF89"/>
    <mergeCell ref="AE49:AF49"/>
    <mergeCell ref="AE50:AF50"/>
    <mergeCell ref="AE54:AF54"/>
    <mergeCell ref="AE57:AF57"/>
    <mergeCell ref="AE66:AF66"/>
    <mergeCell ref="AB125:AB138"/>
    <mergeCell ref="AE111:AF111"/>
    <mergeCell ref="AE112:AF112"/>
    <mergeCell ref="AE79:AF79"/>
    <mergeCell ref="AE95:AF95"/>
    <mergeCell ref="AE98:AF98"/>
    <mergeCell ref="AE99:AF99"/>
    <mergeCell ref="AE102:AF102"/>
    <mergeCell ref="CT24:CT26"/>
    <mergeCell ref="AE47:AF47"/>
    <mergeCell ref="AE48:AF48"/>
    <mergeCell ref="AE42:AF42"/>
    <mergeCell ref="AE43:AF43"/>
    <mergeCell ref="AE44:AF44"/>
    <mergeCell ref="AE45:AF45"/>
    <mergeCell ref="AE46:AF46"/>
    <mergeCell ref="AE29:AF29"/>
    <mergeCell ref="AE30:AF30"/>
    <mergeCell ref="AE31:AF31"/>
    <mergeCell ref="AE32:AF32"/>
    <mergeCell ref="AE33:AF33"/>
    <mergeCell ref="AE39:AF39"/>
    <mergeCell ref="AE24:AF26"/>
    <mergeCell ref="AG24:AG26"/>
    <mergeCell ref="AB24:AD26"/>
    <mergeCell ref="AE76:AF76"/>
    <mergeCell ref="AE52:AF52"/>
    <mergeCell ref="AE41:AF41"/>
    <mergeCell ref="AE34:AF34"/>
    <mergeCell ref="AE35:AF35"/>
    <mergeCell ref="AE36:AF36"/>
    <mergeCell ref="AE37:AF37"/>
    <mergeCell ref="AE38:AF38"/>
    <mergeCell ref="AE40:AF40"/>
    <mergeCell ref="AE51:AF51"/>
    <mergeCell ref="AB118:AB124"/>
    <mergeCell ref="AB105:AB117"/>
    <mergeCell ref="AB50:AB65"/>
    <mergeCell ref="AB66:AB78"/>
    <mergeCell ref="AB79:AB91"/>
    <mergeCell ref="AB92:AB104"/>
    <mergeCell ref="AE138:AF138"/>
    <mergeCell ref="AE53:AF53"/>
    <mergeCell ref="AE135:AF135"/>
    <mergeCell ref="AE131:AF131"/>
    <mergeCell ref="AE132:AF132"/>
    <mergeCell ref="AE125:AF125"/>
    <mergeCell ref="AE126:AF126"/>
    <mergeCell ref="AE127:AF127"/>
    <mergeCell ref="AE128:AF128"/>
    <mergeCell ref="AE63:AF63"/>
    <mergeCell ref="AE60:AF60"/>
    <mergeCell ref="AE72:AF72"/>
    <mergeCell ref="AE73:AF73"/>
    <mergeCell ref="AE69:AF69"/>
    <mergeCell ref="AE115:AF115"/>
    <mergeCell ref="AE92:AF92"/>
    <mergeCell ref="AE105:AF105"/>
    <mergeCell ref="AE108:AF108"/>
  </mergeCells>
  <dataValidations count="1">
    <dataValidation type="list" allowBlank="1" showInputMessage="1" showErrorMessage="1" sqref="AE55 AE166">
      <formula1>fuel_list</formula1>
    </dataValidation>
  </dataValidations>
  <pageMargins left="0.7" right="0.7" top="0.75" bottom="0.75" header="0.3" footer="0.3"/>
  <pageSetup paperSize="9"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outlinePr summaryBelow="0" summaryRight="0"/>
    <pageSetUpPr fitToPage="1"/>
  </sheetPr>
  <dimension ref="A1:BJ115"/>
  <sheetViews>
    <sheetView showGridLines="0" workbookViewId="0">
      <pane xSplit="30" ySplit="26" topLeftCell="AE68" activePane="bottomRight" state="frozen"/>
      <selection pane="topRight" activeCell="AE1" sqref="AE1"/>
      <selection pane="bottomLeft" activeCell="A27" sqref="A27"/>
      <selection pane="bottomRight" activeCell="AA21" sqref="AA21"/>
    </sheetView>
  </sheetViews>
  <sheetFormatPr defaultColWidth="9.140625" defaultRowHeight="11.25" customHeight="1"/>
  <cols>
    <col min="1" max="1" width="3.5703125" style="988" hidden="1" customWidth="1"/>
    <col min="2" max="2" width="8.5703125" style="718" hidden="1" customWidth="1"/>
    <col min="3" max="4" width="3.5703125" style="1012" hidden="1" customWidth="1"/>
    <col min="5" max="5" width="8.42578125" style="717" hidden="1" customWidth="1"/>
    <col min="6" max="6" width="3.5703125" style="1012" hidden="1" customWidth="1"/>
    <col min="7" max="7" width="3.5703125" style="394" hidden="1" customWidth="1"/>
    <col min="8" max="8" width="8.42578125" style="394" hidden="1" customWidth="1"/>
    <col min="9" max="11" width="3.5703125" style="394" hidden="1" customWidth="1"/>
    <col min="12" max="12" width="12.140625" style="394" hidden="1" customWidth="1"/>
    <col min="13" max="16" width="3.5703125" style="394" hidden="1" customWidth="1"/>
    <col min="17" max="17" width="3.5703125" style="719" hidden="1" customWidth="1"/>
    <col min="18" max="18" width="12.7109375" style="719" hidden="1" customWidth="1"/>
    <col min="19" max="19" width="3.5703125" style="394" hidden="1" customWidth="1"/>
    <col min="20" max="20" width="8.28515625" style="1012" hidden="1" customWidth="1"/>
    <col min="21" max="21" width="6" style="1012" hidden="1" customWidth="1"/>
    <col min="22" max="23" width="6.28515625" style="1012" hidden="1" customWidth="1"/>
    <col min="24" max="25" width="5.7109375" style="1012" hidden="1" customWidth="1"/>
    <col min="26" max="26" width="5.42578125" style="1012" hidden="1" customWidth="1"/>
    <col min="27" max="27" width="3" style="394" customWidth="1"/>
    <col min="28" max="28" width="11.7109375" style="394" customWidth="1"/>
    <col min="29" max="29" width="54" style="394" customWidth="1"/>
    <col min="30" max="35" width="12.5703125" style="394" customWidth="1"/>
    <col min="36" max="44" width="12.5703125" style="394" hidden="1" customWidth="1"/>
    <col min="45" max="45" width="12.5703125" style="394" customWidth="1"/>
    <col min="46" max="54" width="12.5703125" style="394" hidden="1" customWidth="1"/>
    <col min="55" max="55" width="20.140625" style="394" customWidth="1"/>
    <col min="56" max="56" width="3" style="394" customWidth="1"/>
    <col min="57" max="57" width="9.140625" style="394" hidden="1"/>
    <col min="58" max="58" width="17.42578125" style="930" hidden="1" customWidth="1"/>
    <col min="59" max="59" width="14.42578125" style="930" hidden="1" customWidth="1"/>
    <col min="60" max="60" width="9.140625" style="930" hidden="1"/>
    <col min="61" max="62" width="9.140625" style="940" hidden="1"/>
  </cols>
  <sheetData>
    <row r="1" spans="1:62" s="1012" customFormat="1" ht="12" hidden="1" customHeight="1">
      <c r="A1" s="988"/>
      <c r="B1" s="614"/>
      <c r="E1" s="614"/>
      <c r="F1" s="634" t="s">
        <v>77</v>
      </c>
      <c r="G1" s="150"/>
      <c r="H1" s="150"/>
      <c r="I1" s="150"/>
      <c r="J1" s="150"/>
      <c r="K1" s="150"/>
      <c r="L1" s="150"/>
      <c r="M1" s="150"/>
      <c r="N1" s="150"/>
      <c r="O1" s="150"/>
      <c r="P1" s="150"/>
      <c r="Q1" s="566"/>
      <c r="R1" s="566"/>
      <c r="S1" s="150"/>
      <c r="T1" s="634" t="s">
        <v>78</v>
      </c>
      <c r="U1" s="634" t="s">
        <v>83</v>
      </c>
      <c r="V1" s="634" t="s">
        <v>79</v>
      </c>
      <c r="W1" s="634" t="s">
        <v>80</v>
      </c>
      <c r="X1" s="634" t="s">
        <v>81</v>
      </c>
      <c r="Y1" s="645" t="s">
        <v>274</v>
      </c>
      <c r="Z1" s="634" t="s">
        <v>85</v>
      </c>
      <c r="AA1" s="645" t="s">
        <v>82</v>
      </c>
      <c r="AB1" s="645" t="s">
        <v>84</v>
      </c>
      <c r="AC1" s="645" t="s">
        <v>84</v>
      </c>
      <c r="BF1" s="912" t="s">
        <v>275</v>
      </c>
      <c r="BG1" s="912" t="s">
        <v>276</v>
      </c>
      <c r="BH1" s="912" t="s">
        <v>277</v>
      </c>
      <c r="BI1" s="915" t="s">
        <v>280</v>
      </c>
      <c r="BJ1" s="915" t="s">
        <v>281</v>
      </c>
    </row>
    <row r="2" spans="1:62" s="718" customFormat="1" ht="12" hidden="1" customHeight="1">
      <c r="A2" s="990"/>
      <c r="B2" s="703" t="s">
        <v>15</v>
      </c>
      <c r="G2" s="721"/>
      <c r="H2" s="721"/>
      <c r="I2" s="721"/>
      <c r="J2" s="721"/>
      <c r="K2" s="721"/>
      <c r="L2" s="721"/>
      <c r="M2" s="721"/>
      <c r="N2" s="721"/>
      <c r="O2" s="721"/>
      <c r="P2" s="721"/>
      <c r="Q2" s="721"/>
      <c r="R2" s="721"/>
      <c r="S2" s="721"/>
      <c r="AI2" s="635" t="b">
        <f t="shared" ref="AI2:BB2" si="0">AI6&lt;=last_year_vis</f>
        <v>1</v>
      </c>
      <c r="AJ2" s="635" t="b">
        <f t="shared" si="0"/>
        <v>0</v>
      </c>
      <c r="AK2" s="635" t="b">
        <f t="shared" si="0"/>
        <v>0</v>
      </c>
      <c r="AL2" s="635" t="b">
        <f t="shared" si="0"/>
        <v>0</v>
      </c>
      <c r="AM2" s="635" t="b">
        <f t="shared" si="0"/>
        <v>0</v>
      </c>
      <c r="AN2" s="635" t="b">
        <f t="shared" si="0"/>
        <v>0</v>
      </c>
      <c r="AO2" s="635" t="b">
        <f t="shared" si="0"/>
        <v>0</v>
      </c>
      <c r="AP2" s="635" t="b">
        <f t="shared" si="0"/>
        <v>0</v>
      </c>
      <c r="AQ2" s="635" t="b">
        <f t="shared" si="0"/>
        <v>0</v>
      </c>
      <c r="AR2" s="635" t="b">
        <f t="shared" si="0"/>
        <v>0</v>
      </c>
      <c r="AS2" s="635" t="b">
        <f t="shared" si="0"/>
        <v>1</v>
      </c>
      <c r="AT2" s="635" t="b">
        <f t="shared" si="0"/>
        <v>0</v>
      </c>
      <c r="AU2" s="635" t="b">
        <f t="shared" si="0"/>
        <v>0</v>
      </c>
      <c r="AV2" s="635" t="b">
        <f t="shared" si="0"/>
        <v>0</v>
      </c>
      <c r="AW2" s="635" t="b">
        <f t="shared" si="0"/>
        <v>0</v>
      </c>
      <c r="AX2" s="635" t="b">
        <f t="shared" si="0"/>
        <v>0</v>
      </c>
      <c r="AY2" s="635" t="b">
        <f t="shared" si="0"/>
        <v>0</v>
      </c>
      <c r="AZ2" s="635" t="b">
        <f t="shared" si="0"/>
        <v>0</v>
      </c>
      <c r="BA2" s="635" t="b">
        <f t="shared" si="0"/>
        <v>0</v>
      </c>
      <c r="BB2" s="635" t="b">
        <f t="shared" si="0"/>
        <v>0</v>
      </c>
      <c r="BF2" s="905"/>
      <c r="BG2" s="905"/>
      <c r="BH2" s="905"/>
      <c r="BI2" s="916"/>
      <c r="BJ2" s="916"/>
    </row>
    <row r="3" spans="1:62" s="1012" customFormat="1" ht="12" hidden="1" customHeight="1">
      <c r="A3" s="988"/>
      <c r="B3" s="614"/>
      <c r="E3" s="614"/>
      <c r="G3" s="150"/>
      <c r="H3" s="150"/>
      <c r="I3" s="150"/>
      <c r="J3" s="150"/>
      <c r="K3" s="150"/>
      <c r="L3" s="150"/>
      <c r="M3" s="150"/>
      <c r="N3" s="150"/>
      <c r="O3" s="150"/>
      <c r="P3" s="150"/>
      <c r="Q3" s="566"/>
      <c r="R3" s="566"/>
      <c r="S3" s="150"/>
      <c r="BF3" s="912"/>
      <c r="BG3" s="912"/>
      <c r="BH3" s="912"/>
      <c r="BI3" s="915"/>
      <c r="BJ3" s="915"/>
    </row>
    <row r="4" spans="1:62" s="1012" customFormat="1" ht="12" hidden="1" customHeight="1">
      <c r="A4" s="988"/>
      <c r="B4" s="614"/>
      <c r="E4" s="614"/>
      <c r="G4" s="150"/>
      <c r="H4" s="150"/>
      <c r="I4" s="150"/>
      <c r="J4" s="150"/>
      <c r="K4" s="150"/>
      <c r="L4" s="150"/>
      <c r="M4" s="150"/>
      <c r="N4" s="150"/>
      <c r="O4" s="150"/>
      <c r="P4" s="150"/>
      <c r="Q4" s="566"/>
      <c r="R4" s="566"/>
      <c r="S4" s="150"/>
      <c r="BF4" s="912"/>
      <c r="BG4" s="912"/>
      <c r="BH4" s="912"/>
      <c r="BI4" s="915"/>
      <c r="BJ4" s="915"/>
    </row>
    <row r="5" spans="1:62" s="717" customFormat="1" ht="12" hidden="1" customHeight="1">
      <c r="A5" s="990"/>
      <c r="B5" s="614"/>
      <c r="C5" s="614"/>
      <c r="D5" s="614"/>
      <c r="E5" s="623" t="s">
        <v>16</v>
      </c>
      <c r="G5" s="722"/>
      <c r="H5" s="722"/>
      <c r="I5" s="722"/>
      <c r="J5" s="722"/>
      <c r="K5" s="722"/>
      <c r="L5" s="722"/>
      <c r="M5" s="722"/>
      <c r="N5" s="722"/>
      <c r="O5" s="722"/>
      <c r="P5" s="722"/>
      <c r="Q5" s="722"/>
      <c r="R5" s="722"/>
      <c r="S5" s="722"/>
      <c r="AA5" s="623">
        <v>3</v>
      </c>
      <c r="AB5" s="623">
        <v>11.75</v>
      </c>
      <c r="AC5" s="623">
        <v>54</v>
      </c>
      <c r="AD5" s="623">
        <v>12.63</v>
      </c>
      <c r="AE5" s="623">
        <v>12.63</v>
      </c>
      <c r="AF5" s="623">
        <v>12.63</v>
      </c>
      <c r="AG5" s="623">
        <v>12.63</v>
      </c>
      <c r="AH5" s="623">
        <v>12.63</v>
      </c>
      <c r="AI5" s="623">
        <v>12.63</v>
      </c>
      <c r="AJ5" s="623">
        <v>12.63</v>
      </c>
      <c r="AK5" s="623">
        <v>12.63</v>
      </c>
      <c r="AL5" s="623">
        <v>12.63</v>
      </c>
      <c r="AM5" s="623">
        <v>12.63</v>
      </c>
      <c r="AN5" s="623">
        <v>12.63</v>
      </c>
      <c r="AO5" s="623">
        <v>12.63</v>
      </c>
      <c r="AP5" s="623">
        <v>12.63</v>
      </c>
      <c r="AQ5" s="623">
        <v>12.63</v>
      </c>
      <c r="AR5" s="623">
        <v>12.63</v>
      </c>
      <c r="AS5" s="623">
        <v>12.63</v>
      </c>
      <c r="AT5" s="623">
        <v>12.63</v>
      </c>
      <c r="AU5" s="623">
        <v>12.63</v>
      </c>
      <c r="AV5" s="623">
        <v>12.63</v>
      </c>
      <c r="AW5" s="623">
        <v>12.63</v>
      </c>
      <c r="AX5" s="623">
        <v>12.63</v>
      </c>
      <c r="AY5" s="623">
        <v>12.63</v>
      </c>
      <c r="AZ5" s="623">
        <v>12.63</v>
      </c>
      <c r="BA5" s="623">
        <v>12.63</v>
      </c>
      <c r="BB5" s="623">
        <v>12.63</v>
      </c>
      <c r="BC5" s="623">
        <v>20.13</v>
      </c>
      <c r="BD5" s="623">
        <v>3</v>
      </c>
      <c r="BF5" s="905"/>
      <c r="BG5" s="905"/>
      <c r="BH5" s="905"/>
      <c r="BI5" s="916"/>
      <c r="BJ5" s="916"/>
    </row>
    <row r="6" spans="1:62" s="1012" customFormat="1" ht="12" hidden="1" customHeight="1">
      <c r="A6" s="988"/>
      <c r="B6" s="614"/>
      <c r="E6" s="623"/>
      <c r="G6" s="150"/>
      <c r="H6" s="150"/>
      <c r="I6" s="150"/>
      <c r="J6" s="150"/>
      <c r="K6" s="150"/>
      <c r="L6" s="150"/>
      <c r="M6" s="150"/>
      <c r="N6" s="150"/>
      <c r="O6" s="150"/>
      <c r="P6" s="150"/>
      <c r="Q6" s="566"/>
      <c r="R6" s="566"/>
      <c r="S6" s="150"/>
      <c r="AE6" s="113">
        <f>god-2</f>
        <v>2024</v>
      </c>
      <c r="AF6" s="113">
        <f>god-2</f>
        <v>2024</v>
      </c>
      <c r="AG6" s="113">
        <f>god-2</f>
        <v>2024</v>
      </c>
      <c r="AH6" s="113">
        <f>god-1</f>
        <v>2025</v>
      </c>
      <c r="AI6" s="113">
        <f>god</f>
        <v>2026</v>
      </c>
      <c r="AJ6" s="113">
        <f>god+1</f>
        <v>2027</v>
      </c>
      <c r="AK6" s="113">
        <f>god+2</f>
        <v>2028</v>
      </c>
      <c r="AL6" s="113">
        <f>god+3</f>
        <v>2029</v>
      </c>
      <c r="AM6" s="113">
        <f>god+4</f>
        <v>2030</v>
      </c>
      <c r="AN6" s="113">
        <f>god+5</f>
        <v>2031</v>
      </c>
      <c r="AO6" s="113">
        <f>god+6</f>
        <v>2032</v>
      </c>
      <c r="AP6" s="113">
        <f>god+7</f>
        <v>2033</v>
      </c>
      <c r="AQ6" s="113">
        <f>god+8</f>
        <v>2034</v>
      </c>
      <c r="AR6" s="113">
        <f>god+9</f>
        <v>2035</v>
      </c>
      <c r="AS6" s="113">
        <f>god</f>
        <v>2026</v>
      </c>
      <c r="AT6" s="113">
        <f>god+1</f>
        <v>2027</v>
      </c>
      <c r="AU6" s="113">
        <f>god+2</f>
        <v>2028</v>
      </c>
      <c r="AV6" s="113">
        <f>god+3</f>
        <v>2029</v>
      </c>
      <c r="AW6" s="113">
        <f>god+4</f>
        <v>2030</v>
      </c>
      <c r="AX6" s="113">
        <f>god+5</f>
        <v>2031</v>
      </c>
      <c r="AY6" s="113">
        <f>god+6</f>
        <v>2032</v>
      </c>
      <c r="AZ6" s="113">
        <f>god+7</f>
        <v>2033</v>
      </c>
      <c r="BA6" s="113">
        <f>god+8</f>
        <v>2034</v>
      </c>
      <c r="BB6" s="113">
        <f>god+9</f>
        <v>2035</v>
      </c>
      <c r="BF6" s="912"/>
      <c r="BG6" s="912"/>
      <c r="BH6" s="912"/>
      <c r="BI6" s="915"/>
      <c r="BJ6" s="915"/>
    </row>
    <row r="7" spans="1:62" ht="12" hidden="1" customHeight="1">
      <c r="F7" s="150"/>
      <c r="T7" s="150"/>
      <c r="U7" s="150"/>
      <c r="V7" s="150"/>
      <c r="W7" s="150"/>
      <c r="X7" s="150"/>
      <c r="Y7" s="150"/>
      <c r="Z7" s="150"/>
      <c r="AE7" s="150" t="str">
        <f>AE25</f>
        <v>Принято органом регулирования</v>
      </c>
      <c r="AF7" s="150" t="str">
        <f>AF25</f>
        <v>Факт по данным организации</v>
      </c>
      <c r="AG7" s="150" t="str">
        <f>AG25</f>
        <v>Факт, принятый органом регулирования</v>
      </c>
      <c r="AH7" s="150" t="str">
        <f>AH25</f>
        <v>Принято органом регулирования</v>
      </c>
      <c r="AI7" s="150" t="str">
        <f t="shared" ref="AI7:AR7" si="1">$AI$25</f>
        <v>Предложение организации</v>
      </c>
      <c r="AJ7" s="150" t="str">
        <f t="shared" si="1"/>
        <v>Предложение организации</v>
      </c>
      <c r="AK7" s="150" t="str">
        <f t="shared" si="1"/>
        <v>Предложение организации</v>
      </c>
      <c r="AL7" s="150" t="str">
        <f t="shared" si="1"/>
        <v>Предложение организации</v>
      </c>
      <c r="AM7" s="150" t="str">
        <f t="shared" si="1"/>
        <v>Предложение организации</v>
      </c>
      <c r="AN7" s="150" t="str">
        <f t="shared" si="1"/>
        <v>Предложение организации</v>
      </c>
      <c r="AO7" s="150" t="str">
        <f t="shared" si="1"/>
        <v>Предложение организации</v>
      </c>
      <c r="AP7" s="150" t="str">
        <f t="shared" si="1"/>
        <v>Предложение организации</v>
      </c>
      <c r="AQ7" s="150" t="str">
        <f t="shared" si="1"/>
        <v>Предложение организации</v>
      </c>
      <c r="AR7" s="150" t="str">
        <f t="shared" si="1"/>
        <v>Предложение организации</v>
      </c>
      <c r="AS7" s="150" t="str">
        <f t="shared" ref="AS7:BB7" si="2">$AS$25</f>
        <v>Принято органом регулирования</v>
      </c>
      <c r="AT7" s="150" t="str">
        <f t="shared" si="2"/>
        <v>Принято органом регулирования</v>
      </c>
      <c r="AU7" s="150" t="str">
        <f t="shared" si="2"/>
        <v>Принято органом регулирования</v>
      </c>
      <c r="AV7" s="150" t="str">
        <f t="shared" si="2"/>
        <v>Принято органом регулирования</v>
      </c>
      <c r="AW7" s="150" t="str">
        <f t="shared" si="2"/>
        <v>Принято органом регулирования</v>
      </c>
      <c r="AX7" s="150" t="str">
        <f t="shared" si="2"/>
        <v>Принято органом регулирования</v>
      </c>
      <c r="AY7" s="150" t="str">
        <f t="shared" si="2"/>
        <v>Принято органом регулирования</v>
      </c>
      <c r="AZ7" s="150" t="str">
        <f t="shared" si="2"/>
        <v>Принято органом регулирования</v>
      </c>
      <c r="BA7" s="150" t="str">
        <f t="shared" si="2"/>
        <v>Принято органом регулирования</v>
      </c>
      <c r="BB7" s="150" t="str">
        <f t="shared" si="2"/>
        <v>Принято органом регулирования</v>
      </c>
    </row>
    <row r="8" spans="1:62" ht="12" hidden="1" customHeight="1">
      <c r="F8" s="150"/>
      <c r="T8" s="150"/>
      <c r="U8" s="150"/>
      <c r="V8" s="150"/>
      <c r="W8" s="150"/>
      <c r="X8" s="150"/>
      <c r="Y8" s="150"/>
      <c r="Z8" s="150"/>
      <c r="AE8" s="150" t="str">
        <f t="shared" ref="AE8:BB8" si="3">AE6&amp;AE7</f>
        <v>2024Принято органом регулирования</v>
      </c>
      <c r="AF8" s="150" t="str">
        <f t="shared" si="3"/>
        <v>2024Факт по данным организации</v>
      </c>
      <c r="AG8" s="150" t="str">
        <f t="shared" si="3"/>
        <v>2024Факт, принятый органом регулирования</v>
      </c>
      <c r="AH8" s="150" t="str">
        <f t="shared" si="3"/>
        <v>2025Принято органом регулирования</v>
      </c>
      <c r="AI8" s="150" t="str">
        <f t="shared" si="3"/>
        <v>2026Предложение организации</v>
      </c>
      <c r="AJ8" s="150" t="str">
        <f t="shared" si="3"/>
        <v>2027Предложение организации</v>
      </c>
      <c r="AK8" s="150" t="str">
        <f t="shared" si="3"/>
        <v>2028Предложение организации</v>
      </c>
      <c r="AL8" s="150" t="str">
        <f t="shared" si="3"/>
        <v>2029Предложение организации</v>
      </c>
      <c r="AM8" s="150" t="str">
        <f t="shared" si="3"/>
        <v>2030Предложение организации</v>
      </c>
      <c r="AN8" s="150" t="str">
        <f t="shared" si="3"/>
        <v>2031Предложение организации</v>
      </c>
      <c r="AO8" s="150" t="str">
        <f t="shared" si="3"/>
        <v>2032Предложение организации</v>
      </c>
      <c r="AP8" s="150" t="str">
        <f t="shared" si="3"/>
        <v>2033Предложение организации</v>
      </c>
      <c r="AQ8" s="150" t="str">
        <f t="shared" si="3"/>
        <v>2034Предложение организации</v>
      </c>
      <c r="AR8" s="150" t="str">
        <f t="shared" si="3"/>
        <v>2035Предложение организации</v>
      </c>
      <c r="AS8" s="150" t="str">
        <f t="shared" si="3"/>
        <v>2026Принято органом регулирования</v>
      </c>
      <c r="AT8" s="150" t="str">
        <f t="shared" si="3"/>
        <v>2027Принято органом регулирования</v>
      </c>
      <c r="AU8" s="150" t="str">
        <f t="shared" si="3"/>
        <v>2028Принято органом регулирования</v>
      </c>
      <c r="AV8" s="150" t="str">
        <f t="shared" si="3"/>
        <v>2029Принято органом регулирования</v>
      </c>
      <c r="AW8" s="150" t="str">
        <f t="shared" si="3"/>
        <v>2030Принято органом регулирования</v>
      </c>
      <c r="AX8" s="150" t="str">
        <f t="shared" si="3"/>
        <v>2031Принято органом регулирования</v>
      </c>
      <c r="AY8" s="150" t="str">
        <f t="shared" si="3"/>
        <v>2032Принято органом регулирования</v>
      </c>
      <c r="AZ8" s="150" t="str">
        <f t="shared" si="3"/>
        <v>2033Принято органом регулирования</v>
      </c>
      <c r="BA8" s="150" t="str">
        <f t="shared" si="3"/>
        <v>2034Принято органом регулирования</v>
      </c>
      <c r="BB8" s="150" t="str">
        <f t="shared" si="3"/>
        <v>2035Принято органом регулирования</v>
      </c>
    </row>
    <row r="9" spans="1:62" s="928" customFormat="1" ht="12" hidden="1" customHeight="1">
      <c r="A9" s="890" t="s">
        <v>327</v>
      </c>
      <c r="B9" s="878"/>
      <c r="E9" s="878"/>
      <c r="Q9" s="892"/>
      <c r="R9" s="892"/>
      <c r="AE9" s="891">
        <f>god-2</f>
        <v>2024</v>
      </c>
      <c r="AF9" s="891">
        <f>god-2</f>
        <v>2024</v>
      </c>
      <c r="AG9" s="891">
        <f>god-2</f>
        <v>2024</v>
      </c>
      <c r="AH9" s="891">
        <f>god-1</f>
        <v>2025</v>
      </c>
      <c r="AI9" s="891">
        <f>god</f>
        <v>2026</v>
      </c>
      <c r="AJ9" s="891">
        <f>god+1</f>
        <v>2027</v>
      </c>
      <c r="AK9" s="891">
        <f>god+2</f>
        <v>2028</v>
      </c>
      <c r="AL9" s="891">
        <f>god+3</f>
        <v>2029</v>
      </c>
      <c r="AM9" s="891">
        <f>god+4</f>
        <v>2030</v>
      </c>
      <c r="AN9" s="891">
        <f>god+5</f>
        <v>2031</v>
      </c>
      <c r="AO9" s="891">
        <f>god+6</f>
        <v>2032</v>
      </c>
      <c r="AP9" s="891">
        <f>god+7</f>
        <v>2033</v>
      </c>
      <c r="AQ9" s="891">
        <f>god+8</f>
        <v>2034</v>
      </c>
      <c r="AR9" s="891">
        <f>god+9</f>
        <v>2035</v>
      </c>
      <c r="AS9" s="891">
        <f>god</f>
        <v>2026</v>
      </c>
      <c r="AT9" s="891">
        <f>god+1</f>
        <v>2027</v>
      </c>
      <c r="AU9" s="891">
        <f>god+2</f>
        <v>2028</v>
      </c>
      <c r="AV9" s="891">
        <f>god+3</f>
        <v>2029</v>
      </c>
      <c r="AW9" s="891">
        <f>god+4</f>
        <v>2030</v>
      </c>
      <c r="AX9" s="891">
        <f>god+5</f>
        <v>2031</v>
      </c>
      <c r="AY9" s="891">
        <f>god+6</f>
        <v>2032</v>
      </c>
      <c r="AZ9" s="891">
        <f>god+7</f>
        <v>2033</v>
      </c>
      <c r="BA9" s="891">
        <f>god+8</f>
        <v>2034</v>
      </c>
      <c r="BB9" s="891">
        <f>god+9</f>
        <v>2035</v>
      </c>
      <c r="BF9" s="912"/>
      <c r="BG9" s="912"/>
      <c r="BH9" s="912"/>
      <c r="BI9" s="912"/>
      <c r="BJ9" s="912"/>
    </row>
    <row r="10" spans="1:62" s="928" customFormat="1" ht="12" hidden="1" customHeight="1">
      <c r="A10" s="890" t="s">
        <v>328</v>
      </c>
      <c r="B10" s="878"/>
      <c r="E10" s="878"/>
      <c r="Q10" s="892"/>
      <c r="R10" s="892"/>
      <c r="AE10" s="891" t="str">
        <f t="shared" ref="AE10:BB10" si="4">AE25</f>
        <v>Принято органом регулирования</v>
      </c>
      <c r="AF10" s="891" t="str">
        <f t="shared" si="4"/>
        <v>Факт по данным организации</v>
      </c>
      <c r="AG10" s="891" t="str">
        <f t="shared" si="4"/>
        <v>Факт, принятый органом регулирования</v>
      </c>
      <c r="AH10" s="891" t="str">
        <f t="shared" si="4"/>
        <v>Принято органом регулирования</v>
      </c>
      <c r="AI10" s="891" t="str">
        <f t="shared" si="4"/>
        <v>Предложение организации</v>
      </c>
      <c r="AJ10" s="891" t="str">
        <f t="shared" si="4"/>
        <v>Предложение организации</v>
      </c>
      <c r="AK10" s="891" t="str">
        <f t="shared" si="4"/>
        <v>Предложение организации</v>
      </c>
      <c r="AL10" s="891" t="str">
        <f t="shared" si="4"/>
        <v>Предложение организации</v>
      </c>
      <c r="AM10" s="891" t="str">
        <f t="shared" si="4"/>
        <v>Предложение организации</v>
      </c>
      <c r="AN10" s="891" t="str">
        <f t="shared" si="4"/>
        <v>Предложение организации</v>
      </c>
      <c r="AO10" s="891" t="str">
        <f t="shared" si="4"/>
        <v>Предложение организации</v>
      </c>
      <c r="AP10" s="891" t="str">
        <f t="shared" si="4"/>
        <v>Предложение организации</v>
      </c>
      <c r="AQ10" s="891" t="str">
        <f t="shared" si="4"/>
        <v>Предложение организации</v>
      </c>
      <c r="AR10" s="891" t="str">
        <f t="shared" si="4"/>
        <v>Предложение организации</v>
      </c>
      <c r="AS10" s="891" t="str">
        <f t="shared" si="4"/>
        <v>Принято органом регулирования</v>
      </c>
      <c r="AT10" s="891" t="str">
        <f t="shared" si="4"/>
        <v>Принято органом регулирования</v>
      </c>
      <c r="AU10" s="891" t="str">
        <f t="shared" si="4"/>
        <v>Принято органом регулирования</v>
      </c>
      <c r="AV10" s="891" t="str">
        <f t="shared" si="4"/>
        <v>Принято органом регулирования</v>
      </c>
      <c r="AW10" s="891" t="str">
        <f t="shared" si="4"/>
        <v>Принято органом регулирования</v>
      </c>
      <c r="AX10" s="891" t="str">
        <f t="shared" si="4"/>
        <v>Принято органом регулирования</v>
      </c>
      <c r="AY10" s="891" t="str">
        <f t="shared" si="4"/>
        <v>Принято органом регулирования</v>
      </c>
      <c r="AZ10" s="891" t="str">
        <f t="shared" si="4"/>
        <v>Принято органом регулирования</v>
      </c>
      <c r="BA10" s="891" t="str">
        <f t="shared" si="4"/>
        <v>Принято органом регулирования</v>
      </c>
      <c r="BB10" s="891" t="str">
        <f t="shared" si="4"/>
        <v>Принято органом регулирования</v>
      </c>
      <c r="BF10" s="912"/>
      <c r="BG10" s="912"/>
      <c r="BH10" s="912"/>
      <c r="BI10" s="912"/>
      <c r="BJ10" s="912"/>
    </row>
    <row r="11" spans="1:62" s="928" customFormat="1" ht="12" hidden="1" customHeight="1">
      <c r="A11" s="890" t="s">
        <v>329</v>
      </c>
      <c r="B11" s="878"/>
      <c r="E11" s="878"/>
      <c r="G11" s="913"/>
      <c r="H11" s="913"/>
      <c r="I11" s="913"/>
      <c r="J11" s="913"/>
      <c r="K11" s="913"/>
      <c r="L11" s="913"/>
      <c r="M11" s="913"/>
      <c r="N11" s="913"/>
      <c r="O11" s="913"/>
      <c r="P11" s="913"/>
      <c r="Q11" s="914"/>
      <c r="R11" s="914"/>
      <c r="S11" s="913"/>
      <c r="BC11" s="891" t="str">
        <f>BC24</f>
        <v>Ссылка на правовую норму (основание для принятия показателя в расчет тарифа)</v>
      </c>
      <c r="BF11" s="912"/>
      <c r="BG11" s="912"/>
      <c r="BH11" s="912"/>
      <c r="BI11" s="912"/>
      <c r="BJ11" s="912"/>
    </row>
    <row r="12" spans="1:62" s="928" customFormat="1" ht="12" hidden="1" customHeight="1">
      <c r="A12" s="890" t="s">
        <v>286</v>
      </c>
      <c r="B12" s="878"/>
      <c r="E12" s="878"/>
      <c r="G12" s="913"/>
      <c r="H12" s="913"/>
      <c r="I12" s="913"/>
      <c r="J12" s="913"/>
      <c r="K12" s="913"/>
      <c r="L12" s="913"/>
      <c r="M12" s="913"/>
      <c r="N12" s="913"/>
      <c r="O12" s="913"/>
      <c r="P12" s="913"/>
      <c r="Q12" s="914"/>
      <c r="R12" s="914"/>
      <c r="S12" s="913"/>
      <c r="AC12" s="891" t="s">
        <v>277</v>
      </c>
      <c r="BF12" s="912"/>
      <c r="BG12" s="912"/>
      <c r="BH12" s="912"/>
      <c r="BI12" s="912"/>
      <c r="BJ12" s="912"/>
    </row>
    <row r="13" spans="1:62" s="1012" customFormat="1" ht="12" hidden="1" customHeight="1">
      <c r="A13" s="988"/>
      <c r="B13" s="614"/>
      <c r="E13" s="623"/>
      <c r="G13" s="150"/>
      <c r="H13" s="150"/>
      <c r="I13" s="150"/>
      <c r="J13" s="150"/>
      <c r="K13" s="150"/>
      <c r="L13" s="150"/>
      <c r="M13" s="150"/>
      <c r="N13" s="150"/>
      <c r="O13" s="150"/>
      <c r="P13" s="150"/>
      <c r="Q13" s="566"/>
      <c r="R13" s="566"/>
      <c r="S13" s="150"/>
      <c r="BF13" s="912"/>
      <c r="BG13" s="912"/>
      <c r="BH13" s="912"/>
      <c r="BI13" s="915"/>
      <c r="BJ13" s="915"/>
    </row>
    <row r="14" spans="1:62" s="1012" customFormat="1" ht="12" hidden="1" customHeight="1">
      <c r="A14" s="988"/>
      <c r="B14" s="614"/>
      <c r="E14" s="623"/>
      <c r="G14" s="150"/>
      <c r="H14" s="150"/>
      <c r="I14" s="150"/>
      <c r="J14" s="150"/>
      <c r="K14" s="150"/>
      <c r="L14" s="150"/>
      <c r="M14" s="150"/>
      <c r="N14" s="150"/>
      <c r="O14" s="150"/>
      <c r="P14" s="150"/>
      <c r="Q14" s="566"/>
      <c r="R14" s="566"/>
      <c r="S14" s="150"/>
      <c r="BF14" s="912"/>
      <c r="BG14" s="912"/>
      <c r="BH14" s="912"/>
      <c r="BI14" s="915"/>
      <c r="BJ14" s="915"/>
    </row>
    <row r="15" spans="1:62" s="1012" customFormat="1" ht="12" hidden="1" customHeight="1">
      <c r="A15" s="988"/>
      <c r="B15" s="614"/>
      <c r="E15" s="623"/>
      <c r="G15" s="150"/>
      <c r="H15" s="150"/>
      <c r="I15" s="150"/>
      <c r="J15" s="150"/>
      <c r="K15" s="150"/>
      <c r="L15" s="150"/>
      <c r="M15" s="150"/>
      <c r="N15" s="150"/>
      <c r="O15" s="150"/>
      <c r="P15" s="150"/>
      <c r="Q15" s="566"/>
      <c r="R15" s="566"/>
      <c r="S15" s="150"/>
      <c r="BF15" s="912"/>
      <c r="BG15" s="912"/>
      <c r="BH15" s="912"/>
      <c r="BI15" s="915"/>
      <c r="BJ15" s="915"/>
    </row>
    <row r="16" spans="1:62" s="1012" customFormat="1" ht="12" hidden="1" customHeight="1">
      <c r="A16" s="988"/>
      <c r="B16" s="614"/>
      <c r="E16" s="623"/>
      <c r="G16" s="150"/>
      <c r="H16" s="150"/>
      <c r="I16" s="150"/>
      <c r="J16" s="150"/>
      <c r="K16" s="150"/>
      <c r="L16" s="150"/>
      <c r="M16" s="150"/>
      <c r="N16" s="150"/>
      <c r="O16" s="150"/>
      <c r="P16" s="150"/>
      <c r="Q16" s="566"/>
      <c r="R16" s="566"/>
      <c r="S16" s="150"/>
      <c r="BF16" s="912"/>
      <c r="BG16" s="912"/>
      <c r="BH16" s="912"/>
      <c r="BI16" s="915"/>
      <c r="BJ16" s="915"/>
    </row>
    <row r="17" spans="1:62" s="1012" customFormat="1" ht="12" hidden="1" customHeight="1">
      <c r="A17" s="988"/>
      <c r="B17" s="614"/>
      <c r="E17" s="623"/>
      <c r="G17" s="150"/>
      <c r="H17" s="150"/>
      <c r="I17" s="150"/>
      <c r="J17" s="150"/>
      <c r="K17" s="150"/>
      <c r="L17" s="150"/>
      <c r="M17" s="150"/>
      <c r="N17" s="150"/>
      <c r="O17" s="150"/>
      <c r="P17" s="150"/>
      <c r="Q17" s="566"/>
      <c r="R17" s="566"/>
      <c r="S17" s="150"/>
      <c r="BF17" s="912"/>
      <c r="BG17" s="912"/>
      <c r="BH17" s="912"/>
      <c r="BI17" s="915"/>
      <c r="BJ17" s="915"/>
    </row>
    <row r="18" spans="1:62" s="1012" customFormat="1" ht="12" hidden="1" customHeight="1">
      <c r="A18" s="775" t="s">
        <v>385</v>
      </c>
      <c r="B18" s="614"/>
      <c r="E18" s="623"/>
      <c r="G18" s="150"/>
      <c r="H18" s="150"/>
      <c r="I18" s="150"/>
      <c r="J18" s="150"/>
      <c r="K18" s="150"/>
      <c r="L18" s="150"/>
      <c r="M18" s="150"/>
      <c r="N18" s="150"/>
      <c r="O18" s="150"/>
      <c r="P18" s="150"/>
      <c r="Q18" s="566"/>
      <c r="R18" s="566"/>
      <c r="S18" s="150"/>
      <c r="AC18" s="113" t="s">
        <v>330</v>
      </c>
      <c r="BF18" s="912"/>
      <c r="BG18" s="912"/>
      <c r="BH18" s="912"/>
      <c r="BI18" s="915"/>
      <c r="BJ18" s="915"/>
    </row>
    <row r="19" spans="1:62" s="1012" customFormat="1" ht="12" hidden="1" customHeight="1">
      <c r="A19" s="988"/>
      <c r="B19" s="614"/>
      <c r="E19" s="623"/>
      <c r="G19" s="150"/>
      <c r="H19" s="150"/>
      <c r="I19" s="150"/>
      <c r="J19" s="150"/>
      <c r="K19" s="150"/>
      <c r="L19" s="150"/>
      <c r="M19" s="150"/>
      <c r="N19" s="150"/>
      <c r="O19" s="150"/>
      <c r="P19" s="150"/>
      <c r="Q19" s="566"/>
      <c r="R19" s="566"/>
      <c r="S19" s="150"/>
      <c r="BF19" s="912"/>
      <c r="BG19" s="912"/>
      <c r="BH19" s="912"/>
      <c r="BI19" s="915"/>
      <c r="BJ19" s="915"/>
    </row>
    <row r="20" spans="1:62" s="1012" customFormat="1" ht="12" hidden="1" customHeight="1">
      <c r="A20" s="988"/>
      <c r="B20" s="614"/>
      <c r="E20" s="623"/>
      <c r="G20" s="150"/>
      <c r="H20" s="150"/>
      <c r="I20" s="150"/>
      <c r="J20" s="150"/>
      <c r="K20" s="150"/>
      <c r="L20" s="150"/>
      <c r="M20" s="150"/>
      <c r="N20" s="150"/>
      <c r="O20" s="150"/>
      <c r="P20" s="150"/>
      <c r="Q20" s="566"/>
      <c r="R20" s="566"/>
      <c r="S20" s="150"/>
      <c r="BF20" s="912"/>
      <c r="BG20" s="912"/>
      <c r="BH20" s="912"/>
      <c r="BI20" s="915"/>
      <c r="BJ20" s="915"/>
    </row>
    <row r="21" spans="1:62" ht="14.65" customHeight="1">
      <c r="E21" s="623">
        <v>15</v>
      </c>
      <c r="AA21" s="646"/>
      <c r="AC21" s="315" t="str">
        <f>tpl_title</f>
        <v>Кемеровская область / 2026 / АО "СУЭК-Кузбасс" (ИНН:4212024138, КПП:421201001) / ДПР: 2024-2028</v>
      </c>
    </row>
    <row r="22" spans="1:62" s="750" customFormat="1" ht="19.5" customHeight="1">
      <c r="A22" s="769"/>
      <c r="B22" s="614"/>
      <c r="C22" s="116"/>
      <c r="D22" s="116"/>
      <c r="E22" s="623">
        <v>20.100000000000001</v>
      </c>
      <c r="F22" s="116"/>
      <c r="Q22" s="566"/>
      <c r="R22" s="566"/>
      <c r="T22" s="116"/>
      <c r="U22" s="116"/>
      <c r="V22" s="116"/>
      <c r="W22" s="116"/>
      <c r="X22" s="116"/>
      <c r="Y22" s="116"/>
      <c r="Z22" s="116"/>
      <c r="AB22" s="306" t="s">
        <v>741</v>
      </c>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F22" s="909"/>
      <c r="BG22" s="909"/>
      <c r="BH22" s="909"/>
      <c r="BI22" s="917"/>
      <c r="BJ22" s="917"/>
    </row>
    <row r="23" spans="1:62" s="750" customFormat="1" ht="11.1" customHeight="1">
      <c r="A23" s="769"/>
      <c r="B23" s="614"/>
      <c r="C23" s="116"/>
      <c r="D23" s="116"/>
      <c r="E23" s="623">
        <v>11.4</v>
      </c>
      <c r="F23" s="116"/>
      <c r="Q23" s="566"/>
      <c r="R23" s="566"/>
      <c r="T23" s="116"/>
      <c r="U23" s="116"/>
      <c r="V23" s="116"/>
      <c r="W23" s="116"/>
      <c r="X23" s="116"/>
      <c r="Y23" s="116"/>
      <c r="Z23" s="116"/>
      <c r="AB23" s="207"/>
      <c r="AC23" s="207"/>
      <c r="AD23" s="207"/>
      <c r="AE23" s="208"/>
      <c r="AF23" s="208"/>
      <c r="AG23" s="208"/>
      <c r="AH23" s="208"/>
      <c r="AI23" s="207"/>
      <c r="AJ23" s="207"/>
      <c r="AK23" s="207"/>
      <c r="AL23" s="207"/>
      <c r="AM23" s="207"/>
      <c r="AN23" s="207"/>
      <c r="AO23" s="207"/>
      <c r="AP23" s="207"/>
      <c r="AQ23" s="207"/>
      <c r="AR23" s="207"/>
      <c r="AS23" s="207"/>
      <c r="AT23" s="207"/>
      <c r="AU23" s="207"/>
      <c r="AV23" s="207"/>
      <c r="AW23" s="207"/>
      <c r="AX23" s="207"/>
      <c r="AY23" s="207"/>
      <c r="AZ23" s="207"/>
      <c r="BA23" s="207"/>
      <c r="BB23" s="207"/>
      <c r="BC23" s="207"/>
      <c r="BF23" s="909"/>
      <c r="BG23" s="909"/>
      <c r="BH23" s="909"/>
      <c r="BI23" s="917"/>
      <c r="BJ23" s="917"/>
    </row>
    <row r="24" spans="1:62" s="152" customFormat="1" ht="14.65" customHeight="1">
      <c r="A24" s="254"/>
      <c r="B24" s="618"/>
      <c r="C24" s="109"/>
      <c r="D24" s="109"/>
      <c r="E24" s="629">
        <v>15</v>
      </c>
      <c r="F24" s="109"/>
      <c r="Q24" s="712"/>
      <c r="R24" s="712"/>
      <c r="T24" s="109"/>
      <c r="U24" s="109"/>
      <c r="V24" s="109"/>
      <c r="W24" s="109"/>
      <c r="X24" s="109"/>
      <c r="Y24" s="109"/>
      <c r="Z24" s="109"/>
      <c r="AB24" s="1481" t="s">
        <v>288</v>
      </c>
      <c r="AC24" s="1481" t="s">
        <v>330</v>
      </c>
      <c r="AD24" s="1481" t="s">
        <v>331</v>
      </c>
      <c r="AE24" s="323" t="str">
        <f>god-2&amp;" год"</f>
        <v>2024 год</v>
      </c>
      <c r="AF24" s="1006" t="str">
        <f>god-2&amp;" год"</f>
        <v>2024 год</v>
      </c>
      <c r="AG24" s="323" t="str">
        <f>god-2&amp;" год"</f>
        <v>2024 год</v>
      </c>
      <c r="AH24" s="112" t="str">
        <f>god-1&amp;" год"</f>
        <v>2025 год</v>
      </c>
      <c r="AI24" s="1001" t="str">
        <f>god&amp;" год"</f>
        <v>2026 год</v>
      </c>
      <c r="AJ24" s="1001" t="str">
        <f>god+1&amp;" год"</f>
        <v>2027 год</v>
      </c>
      <c r="AK24" s="1001" t="str">
        <f>god+2&amp;" год"</f>
        <v>2028 год</v>
      </c>
      <c r="AL24" s="1001" t="str">
        <f>god+3&amp;" год"</f>
        <v>2029 год</v>
      </c>
      <c r="AM24" s="1001" t="str">
        <f>god+4&amp;" год"</f>
        <v>2030 год</v>
      </c>
      <c r="AN24" s="1001" t="str">
        <f>god+5&amp;" год"</f>
        <v>2031 год</v>
      </c>
      <c r="AO24" s="1001" t="str">
        <f>god+6&amp;" год"</f>
        <v>2032 год</v>
      </c>
      <c r="AP24" s="1001" t="str">
        <f>god+7&amp;" год"</f>
        <v>2033 год</v>
      </c>
      <c r="AQ24" s="1001" t="str">
        <f>god+8&amp;" год"</f>
        <v>2034 год</v>
      </c>
      <c r="AR24" s="1001" t="str">
        <f>god+9&amp;" год"</f>
        <v>2035 год</v>
      </c>
      <c r="AS24" s="108" t="str">
        <f>god&amp;" год"</f>
        <v>2026 год</v>
      </c>
      <c r="AT24" s="108" t="str">
        <f>god+1&amp;" год"</f>
        <v>2027 год</v>
      </c>
      <c r="AU24" s="108" t="str">
        <f>god+2&amp;" год"</f>
        <v>2028 год</v>
      </c>
      <c r="AV24" s="108" t="str">
        <f>god+3&amp;" год"</f>
        <v>2029 год</v>
      </c>
      <c r="AW24" s="108" t="str">
        <f>god+4&amp;" год"</f>
        <v>2030 год</v>
      </c>
      <c r="AX24" s="108" t="str">
        <f>god+5&amp;" год"</f>
        <v>2031 год</v>
      </c>
      <c r="AY24" s="108" t="str">
        <f>god+6&amp;" год"</f>
        <v>2032 год</v>
      </c>
      <c r="AZ24" s="108" t="str">
        <f>god+7&amp;" год"</f>
        <v>2033 год</v>
      </c>
      <c r="BA24" s="108" t="str">
        <f>god+8&amp;" год"</f>
        <v>2034 год</v>
      </c>
      <c r="BB24" s="108" t="str">
        <f>god+9&amp;" год"</f>
        <v>2035 год</v>
      </c>
      <c r="BC24" s="1416" t="s">
        <v>486</v>
      </c>
      <c r="BF24" s="912"/>
      <c r="BG24" s="918"/>
      <c r="BH24" s="918"/>
      <c r="BI24" s="919"/>
      <c r="BJ24" s="919"/>
    </row>
    <row r="25" spans="1:62" s="152" customFormat="1" ht="48.75" customHeight="1">
      <c r="A25" s="254"/>
      <c r="B25" s="618"/>
      <c r="C25" s="109"/>
      <c r="D25" s="109"/>
      <c r="E25" s="629">
        <v>50.1</v>
      </c>
      <c r="F25" s="109"/>
      <c r="Q25" s="712"/>
      <c r="R25" s="712"/>
      <c r="T25" s="109"/>
      <c r="U25" s="109"/>
      <c r="V25" s="109"/>
      <c r="W25" s="109"/>
      <c r="X25" s="109"/>
      <c r="Y25" s="109"/>
      <c r="Z25" s="109"/>
      <c r="AB25" s="1481"/>
      <c r="AC25" s="1481"/>
      <c r="AD25" s="1481"/>
      <c r="AE25" s="108" t="s">
        <v>304</v>
      </c>
      <c r="AF25" s="1001" t="s">
        <v>487</v>
      </c>
      <c r="AG25" s="108" t="s">
        <v>488</v>
      </c>
      <c r="AH25" s="108" t="s">
        <v>304</v>
      </c>
      <c r="AI25" s="1002" t="s">
        <v>305</v>
      </c>
      <c r="AJ25" s="1002" t="s">
        <v>305</v>
      </c>
      <c r="AK25" s="1002" t="s">
        <v>305</v>
      </c>
      <c r="AL25" s="1002" t="s">
        <v>305</v>
      </c>
      <c r="AM25" s="1002" t="s">
        <v>305</v>
      </c>
      <c r="AN25" s="1002" t="s">
        <v>305</v>
      </c>
      <c r="AO25" s="1002" t="s">
        <v>305</v>
      </c>
      <c r="AP25" s="1002" t="s">
        <v>305</v>
      </c>
      <c r="AQ25" s="1002" t="s">
        <v>305</v>
      </c>
      <c r="AR25" s="1002" t="s">
        <v>305</v>
      </c>
      <c r="AS25" s="324" t="s">
        <v>304</v>
      </c>
      <c r="AT25" s="324" t="s">
        <v>304</v>
      </c>
      <c r="AU25" s="324" t="s">
        <v>304</v>
      </c>
      <c r="AV25" s="324" t="s">
        <v>304</v>
      </c>
      <c r="AW25" s="324" t="s">
        <v>304</v>
      </c>
      <c r="AX25" s="324" t="s">
        <v>304</v>
      </c>
      <c r="AY25" s="324" t="s">
        <v>304</v>
      </c>
      <c r="AZ25" s="324" t="s">
        <v>304</v>
      </c>
      <c r="BA25" s="324" t="s">
        <v>304</v>
      </c>
      <c r="BB25" s="324" t="s">
        <v>304</v>
      </c>
      <c r="BC25" s="1416"/>
      <c r="BF25" s="912"/>
      <c r="BG25" s="918"/>
      <c r="BH25" s="918"/>
      <c r="BI25" s="919"/>
      <c r="BJ25" s="919"/>
    </row>
    <row r="26" spans="1:62" s="152" customFormat="1" ht="50.25" hidden="1" customHeight="1">
      <c r="A26" s="254"/>
      <c r="B26" s="618"/>
      <c r="C26" s="109"/>
      <c r="D26" s="109"/>
      <c r="E26" s="629">
        <v>0</v>
      </c>
      <c r="F26" s="109"/>
      <c r="Q26" s="712"/>
      <c r="R26" s="712"/>
      <c r="T26" s="109"/>
      <c r="U26" s="109"/>
      <c r="V26" s="109"/>
      <c r="W26" s="109"/>
      <c r="X26" s="109"/>
      <c r="Y26" s="109"/>
      <c r="Z26" s="109"/>
      <c r="AB26" s="415"/>
      <c r="AC26" s="415"/>
      <c r="AD26" s="415"/>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F26" s="912"/>
      <c r="BG26" s="918"/>
      <c r="BH26" s="918"/>
      <c r="BI26" s="919"/>
      <c r="BJ26" s="919"/>
    </row>
    <row r="27" spans="1:62" s="152" customFormat="1" ht="18.399999999999999" hidden="1" customHeight="1">
      <c r="E27" s="629">
        <v>18.8</v>
      </c>
      <c r="F27" s="714">
        <f>X27</f>
        <v>0</v>
      </c>
      <c r="K27" s="150" t="str">
        <f>INDEX('Общие сведения'!$AL$169:$AL$202,MATCH($F27,'Общие сведения'!$Z$169:$Z$202,0))</f>
        <v>Производство теплоносителя</v>
      </c>
      <c r="L27" s="150" t="str">
        <f>INDEX('Общие сведения'!$AK$169:$AK$202,MATCH($F27,'Общие сведения'!$Z$169:$Z$202,0))</f>
        <v>одноставочный</v>
      </c>
      <c r="T27" s="634" t="b">
        <f>X27&gt;0</f>
        <v>0</v>
      </c>
      <c r="V27" s="109" t="s">
        <v>228</v>
      </c>
      <c r="X27" s="1400">
        <v>0</v>
      </c>
      <c r="Z27" s="1412"/>
      <c r="AB27" s="200" t="str">
        <f>INDEX('Общие сведения'!$AG$169:$AG$202,MATCH($F27,'Общие сведения'!$Z$169:$Z$202,0))</f>
        <v>Тариф 0 (Теплоснабжение) - Тарифы на теплоноситель</v>
      </c>
      <c r="AC27" s="197"/>
      <c r="AD27" s="191"/>
      <c r="AE27" s="297">
        <f t="shared" ref="AE27:BB27" si="5">AE28+AE47</f>
        <v>0</v>
      </c>
      <c r="AF27" s="297">
        <f t="shared" si="5"/>
        <v>0</v>
      </c>
      <c r="AG27" s="297">
        <f t="shared" si="5"/>
        <v>0</v>
      </c>
      <c r="AH27" s="297">
        <f t="shared" si="5"/>
        <v>0</v>
      </c>
      <c r="AI27" s="297">
        <f t="shared" si="5"/>
        <v>0</v>
      </c>
      <c r="AJ27" s="297">
        <f t="shared" si="5"/>
        <v>0</v>
      </c>
      <c r="AK27" s="297">
        <f t="shared" si="5"/>
        <v>0</v>
      </c>
      <c r="AL27" s="297">
        <f t="shared" si="5"/>
        <v>0</v>
      </c>
      <c r="AM27" s="297">
        <f t="shared" si="5"/>
        <v>0</v>
      </c>
      <c r="AN27" s="297">
        <f t="shared" si="5"/>
        <v>0</v>
      </c>
      <c r="AO27" s="297">
        <f t="shared" si="5"/>
        <v>0</v>
      </c>
      <c r="AP27" s="297">
        <f t="shared" si="5"/>
        <v>0</v>
      </c>
      <c r="AQ27" s="297">
        <f t="shared" si="5"/>
        <v>0</v>
      </c>
      <c r="AR27" s="297">
        <f t="shared" si="5"/>
        <v>0</v>
      </c>
      <c r="AS27" s="297">
        <f t="shared" si="5"/>
        <v>0</v>
      </c>
      <c r="AT27" s="297">
        <f t="shared" si="5"/>
        <v>0</v>
      </c>
      <c r="AU27" s="297">
        <f t="shared" si="5"/>
        <v>0</v>
      </c>
      <c r="AV27" s="297">
        <f t="shared" si="5"/>
        <v>0</v>
      </c>
      <c r="AW27" s="297">
        <f t="shared" si="5"/>
        <v>0</v>
      </c>
      <c r="AX27" s="297">
        <f t="shared" si="5"/>
        <v>0</v>
      </c>
      <c r="AY27" s="297">
        <f t="shared" si="5"/>
        <v>0</v>
      </c>
      <c r="AZ27" s="297">
        <f t="shared" si="5"/>
        <v>0</v>
      </c>
      <c r="BA27" s="297">
        <f t="shared" si="5"/>
        <v>0</v>
      </c>
      <c r="BB27" s="297">
        <f t="shared" si="5"/>
        <v>0</v>
      </c>
      <c r="BC27" s="846"/>
      <c r="BF27" s="912"/>
      <c r="BG27" s="918"/>
      <c r="BH27" s="918"/>
      <c r="BI27" s="919"/>
      <c r="BJ27" s="919"/>
    </row>
    <row r="28" spans="1:62" s="1015" customFormat="1" ht="16.7" hidden="1" customHeight="1">
      <c r="E28" s="629">
        <v>17.100000000000001</v>
      </c>
      <c r="F28" s="714">
        <f t="shared" ref="F28:F67" ca="1" si="6">OFFSET(G28,-1,-1)</f>
        <v>0</v>
      </c>
      <c r="G28" s="566" t="s">
        <v>742</v>
      </c>
      <c r="I28" s="152" t="s">
        <v>743</v>
      </c>
      <c r="T28" s="715" t="b">
        <f t="shared" ref="T28:T33" si="7">T27</f>
        <v>0</v>
      </c>
      <c r="X28" s="1400"/>
      <c r="Z28" s="1400"/>
      <c r="AB28" s="220">
        <v>1</v>
      </c>
      <c r="AC28" s="215" t="s">
        <v>744</v>
      </c>
      <c r="AD28" s="214" t="s">
        <v>648</v>
      </c>
      <c r="AE28" s="466">
        <f t="shared" ref="AE28:BB28" si="8">SUMIF($I33:$I45,$I28,AE33:AE45)</f>
        <v>0</v>
      </c>
      <c r="AF28" s="466">
        <f t="shared" si="8"/>
        <v>0</v>
      </c>
      <c r="AG28" s="466">
        <f t="shared" si="8"/>
        <v>0</v>
      </c>
      <c r="AH28" s="466">
        <f t="shared" si="8"/>
        <v>0</v>
      </c>
      <c r="AI28" s="466">
        <f t="shared" si="8"/>
        <v>0</v>
      </c>
      <c r="AJ28" s="1120">
        <f t="shared" si="8"/>
        <v>0</v>
      </c>
      <c r="AK28" s="1120">
        <f t="shared" si="8"/>
        <v>0</v>
      </c>
      <c r="AL28" s="39">
        <f t="shared" si="8"/>
        <v>0</v>
      </c>
      <c r="AM28" s="39">
        <f t="shared" si="8"/>
        <v>0</v>
      </c>
      <c r="AN28" s="39">
        <f t="shared" si="8"/>
        <v>0</v>
      </c>
      <c r="AO28" s="39">
        <f t="shared" si="8"/>
        <v>0</v>
      </c>
      <c r="AP28" s="39">
        <f t="shared" si="8"/>
        <v>0</v>
      </c>
      <c r="AQ28" s="39">
        <f t="shared" si="8"/>
        <v>0</v>
      </c>
      <c r="AR28" s="39">
        <f t="shared" si="8"/>
        <v>0</v>
      </c>
      <c r="AS28" s="466">
        <f t="shared" si="8"/>
        <v>0</v>
      </c>
      <c r="AT28" s="1120">
        <f t="shared" si="8"/>
        <v>0</v>
      </c>
      <c r="AU28" s="1120">
        <f t="shared" si="8"/>
        <v>0</v>
      </c>
      <c r="AV28" s="39">
        <f t="shared" si="8"/>
        <v>0</v>
      </c>
      <c r="AW28" s="39">
        <f t="shared" si="8"/>
        <v>0</v>
      </c>
      <c r="AX28" s="39">
        <f t="shared" si="8"/>
        <v>0</v>
      </c>
      <c r="AY28" s="39">
        <f t="shared" si="8"/>
        <v>0</v>
      </c>
      <c r="AZ28" s="39">
        <f t="shared" si="8"/>
        <v>0</v>
      </c>
      <c r="BA28" s="39">
        <f t="shared" si="8"/>
        <v>0</v>
      </c>
      <c r="BB28" s="39">
        <f t="shared" si="8"/>
        <v>0</v>
      </c>
      <c r="BC28" s="26"/>
      <c r="BF28" s="902" t="s">
        <v>745</v>
      </c>
      <c r="BG28" s="918"/>
      <c r="BH28" s="918"/>
      <c r="BI28" s="919"/>
      <c r="BJ28" s="919"/>
    </row>
    <row r="29" spans="1:62" s="1015" customFormat="1" ht="16.7" hidden="1" customHeight="1">
      <c r="E29" s="629">
        <v>17.100000000000001</v>
      </c>
      <c r="F29" s="714">
        <f t="shared" ca="1" si="6"/>
        <v>0</v>
      </c>
      <c r="T29" s="715" t="b">
        <f t="shared" si="7"/>
        <v>0</v>
      </c>
      <c r="X29" s="1400"/>
      <c r="Z29" s="1400"/>
      <c r="AB29" s="153" t="s">
        <v>339</v>
      </c>
      <c r="AC29" s="210" t="s">
        <v>746</v>
      </c>
      <c r="AD29" s="108" t="s">
        <v>572</v>
      </c>
      <c r="AE29" s="203">
        <f t="shared" ref="AE29:BB29" si="9">SUMIF($AD33:$AD45,$AD29,AE33:AE45)</f>
        <v>0</v>
      </c>
      <c r="AF29" s="203">
        <f t="shared" si="9"/>
        <v>0</v>
      </c>
      <c r="AG29" s="203">
        <f t="shared" si="9"/>
        <v>0</v>
      </c>
      <c r="AH29" s="203">
        <f t="shared" si="9"/>
        <v>0</v>
      </c>
      <c r="AI29" s="203">
        <f t="shared" si="9"/>
        <v>0</v>
      </c>
      <c r="AJ29" s="1063">
        <f t="shared" si="9"/>
        <v>0</v>
      </c>
      <c r="AK29" s="1063">
        <f t="shared" si="9"/>
        <v>0</v>
      </c>
      <c r="AL29" s="8">
        <f t="shared" si="9"/>
        <v>0</v>
      </c>
      <c r="AM29" s="8">
        <f t="shared" si="9"/>
        <v>0</v>
      </c>
      <c r="AN29" s="8">
        <f t="shared" si="9"/>
        <v>0</v>
      </c>
      <c r="AO29" s="8">
        <f t="shared" si="9"/>
        <v>0</v>
      </c>
      <c r="AP29" s="8">
        <f t="shared" si="9"/>
        <v>0</v>
      </c>
      <c r="AQ29" s="8">
        <f t="shared" si="9"/>
        <v>0</v>
      </c>
      <c r="AR29" s="8">
        <f t="shared" si="9"/>
        <v>0</v>
      </c>
      <c r="AS29" s="203">
        <f t="shared" si="9"/>
        <v>0</v>
      </c>
      <c r="AT29" s="1063">
        <f t="shared" si="9"/>
        <v>0</v>
      </c>
      <c r="AU29" s="1063">
        <f t="shared" si="9"/>
        <v>0</v>
      </c>
      <c r="AV29" s="8">
        <f t="shared" si="9"/>
        <v>0</v>
      </c>
      <c r="AW29" s="8">
        <f t="shared" si="9"/>
        <v>0</v>
      </c>
      <c r="AX29" s="8">
        <f t="shared" si="9"/>
        <v>0</v>
      </c>
      <c r="AY29" s="8">
        <f t="shared" si="9"/>
        <v>0</v>
      </c>
      <c r="AZ29" s="8">
        <f t="shared" si="9"/>
        <v>0</v>
      </c>
      <c r="BA29" s="8">
        <f t="shared" si="9"/>
        <v>0</v>
      </c>
      <c r="BB29" s="8">
        <f t="shared" si="9"/>
        <v>0</v>
      </c>
      <c r="BC29" s="22"/>
      <c r="BF29" s="912" t="s">
        <v>747</v>
      </c>
      <c r="BG29" s="918"/>
      <c r="BH29" s="918"/>
      <c r="BI29" s="919"/>
      <c r="BJ29" s="919"/>
    </row>
    <row r="30" spans="1:62" s="1015" customFormat="1" ht="16.7" hidden="1" customHeight="1">
      <c r="E30" s="629">
        <v>17.100000000000001</v>
      </c>
      <c r="F30" s="714">
        <f t="shared" ca="1" si="6"/>
        <v>0</v>
      </c>
      <c r="T30" s="715" t="b">
        <f t="shared" si="7"/>
        <v>0</v>
      </c>
      <c r="X30" s="1400"/>
      <c r="Z30" s="1400"/>
      <c r="AB30" s="153" t="s">
        <v>503</v>
      </c>
      <c r="AC30" s="210" t="s">
        <v>748</v>
      </c>
      <c r="AD30" s="324" t="s">
        <v>491</v>
      </c>
      <c r="AE30" s="40">
        <f ca="1">SUMIFS('Баланс ТН'!AE$27:AE$101,'Баланс ТН'!$F$27:$F$101,$F30,'Баланс ТН'!$AB$27:$AB$101,"7")</f>
        <v>0</v>
      </c>
      <c r="AF30" s="40">
        <f ca="1">SUMIFS('Баланс ТН'!AF$27:AF$101,'Баланс ТН'!$F$27:$F$101,$F30,'Баланс ТН'!$AB$27:$AB$101,"7")</f>
        <v>0</v>
      </c>
      <c r="AG30" s="40">
        <f ca="1">SUMIFS('Баланс ТН'!AG$27:AG$101,'Баланс ТН'!$F$27:$F$101,$F30,'Баланс ТН'!$AB$27:$AB$101,"7")</f>
        <v>0</v>
      </c>
      <c r="AH30" s="40">
        <f ca="1">SUMIFS('Баланс ТН'!AH$27:AH$101,'Баланс ТН'!$F$27:$F$101,$F30,'Баланс ТН'!$AB$27:$AB$101,"7")</f>
        <v>0</v>
      </c>
      <c r="AI30" s="241">
        <f ca="1">SUMIFS('Баланс ТН'!AI$27:AI$101,'Баланс ТН'!$F$27:$F$101,$F30,'Баланс ТН'!$AB$27:$AB$101,"7")</f>
        <v>0</v>
      </c>
      <c r="AJ30" s="1121">
        <f ca="1">SUMIFS('Баланс ТН'!AJ$27:AJ$101,'Баланс ТН'!$F$27:$F$101,$F30,'Баланс ТН'!$AB$27:$AB$101,"7")</f>
        <v>0</v>
      </c>
      <c r="AK30" s="1121">
        <f ca="1">SUMIFS('Баланс ТН'!AK$27:AK$101,'Баланс ТН'!$F$27:$F$101,$F30,'Баланс ТН'!$AB$27:$AB$101,"7")</f>
        <v>0</v>
      </c>
      <c r="AL30" s="40">
        <f ca="1">SUMIFS('Баланс ТН'!AL$27:AL$101,'Баланс ТН'!$F$27:$F$101,$F30,'Баланс ТН'!$AB$27:$AB$101,"7")</f>
        <v>0</v>
      </c>
      <c r="AM30" s="40">
        <f ca="1">SUMIFS('Баланс ТН'!AM$27:AM$101,'Баланс ТН'!$F$27:$F$101,$F30,'Баланс ТН'!$AB$27:$AB$101,"7")</f>
        <v>0</v>
      </c>
      <c r="AN30" s="40">
        <f ca="1">SUMIFS('Баланс ТН'!AN$27:AN$101,'Баланс ТН'!$F$27:$F$101,$F30,'Баланс ТН'!$AB$27:$AB$101,"7")</f>
        <v>0</v>
      </c>
      <c r="AO30" s="40">
        <f ca="1">SUMIFS('Баланс ТН'!AO$27:AO$101,'Баланс ТН'!$F$27:$F$101,$F30,'Баланс ТН'!$AB$27:$AB$101,"7")</f>
        <v>0</v>
      </c>
      <c r="AP30" s="40">
        <f ca="1">SUMIFS('Баланс ТН'!AP$27:AP$101,'Баланс ТН'!$F$27:$F$101,$F30,'Баланс ТН'!$AB$27:$AB$101,"7")</f>
        <v>0</v>
      </c>
      <c r="AQ30" s="40">
        <f ca="1">SUMIFS('Баланс ТН'!AQ$27:AQ$101,'Баланс ТН'!$F$27:$F$101,$F30,'Баланс ТН'!$AB$27:$AB$101,"7")</f>
        <v>0</v>
      </c>
      <c r="AR30" s="40">
        <f ca="1">SUMIFS('Баланс ТН'!AR$27:AR$101,'Баланс ТН'!$F$27:$F$101,$F30,'Баланс ТН'!$AB$27:$AB$101,"7")</f>
        <v>0</v>
      </c>
      <c r="AS30" s="241">
        <f ca="1">SUMIFS('Баланс ТН'!AS$27:AS$101,'Баланс ТН'!$F$27:$F$101,$F30,'Баланс ТН'!$AB$27:$AB$101,"7")</f>
        <v>0</v>
      </c>
      <c r="AT30" s="1121">
        <f ca="1">SUMIFS('Баланс ТН'!AT$27:AT$101,'Баланс ТН'!$F$27:$F$101,$F30,'Баланс ТН'!$AB$27:$AB$101,"7")</f>
        <v>0</v>
      </c>
      <c r="AU30" s="1121">
        <f ca="1">SUMIFS('Баланс ТН'!AU$27:AU$101,'Баланс ТН'!$F$27:$F$101,$F30,'Баланс ТН'!$AB$27:$AB$101,"7")</f>
        <v>0</v>
      </c>
      <c r="AV30" s="40">
        <f ca="1">SUMIFS('Баланс ТН'!AV$27:AV$101,'Баланс ТН'!$F$27:$F$101,$F30,'Баланс ТН'!$AB$27:$AB$101,"7")</f>
        <v>0</v>
      </c>
      <c r="AW30" s="40">
        <f ca="1">SUMIFS('Баланс ТН'!AW$27:AW$101,'Баланс ТН'!$F$27:$F$101,$F30,'Баланс ТН'!$AB$27:$AB$101,"7")</f>
        <v>0</v>
      </c>
      <c r="AX30" s="40">
        <f ca="1">SUMIFS('Баланс ТН'!AX$27:AX$101,'Баланс ТН'!$F$27:$F$101,$F30,'Баланс ТН'!$AB$27:$AB$101,"7")</f>
        <v>0</v>
      </c>
      <c r="AY30" s="40">
        <f ca="1">SUMIFS('Баланс ТН'!AY$27:AY$101,'Баланс ТН'!$F$27:$F$101,$F30,'Баланс ТН'!$AB$27:$AB$101,"7")</f>
        <v>0</v>
      </c>
      <c r="AZ30" s="40">
        <f ca="1">SUMIFS('Баланс ТН'!AZ$27:AZ$101,'Баланс ТН'!$F$27:$F$101,$F30,'Баланс ТН'!$AB$27:$AB$101,"7")</f>
        <v>0</v>
      </c>
      <c r="BA30" s="40">
        <f ca="1">SUMIFS('Баланс ТН'!BA$27:BA$101,'Баланс ТН'!$F$27:$F$101,$F30,'Баланс ТН'!$AB$27:$AB$101,"7")</f>
        <v>0</v>
      </c>
      <c r="BB30" s="40">
        <f ca="1">SUMIFS('Баланс ТН'!BB$27:BB$101,'Баланс ТН'!$F$27:$F$101,$F30,'Баланс ТН'!$AB$27:$AB$101,"7")</f>
        <v>0</v>
      </c>
      <c r="BC30" s="22"/>
      <c r="BF30" s="912" t="s">
        <v>596</v>
      </c>
      <c r="BG30" s="918"/>
      <c r="BH30" s="918"/>
      <c r="BI30" s="919"/>
      <c r="BJ30" s="919"/>
    </row>
    <row r="31" spans="1:62" s="1015" customFormat="1" ht="16.7" hidden="1" customHeight="1">
      <c r="E31" s="629">
        <v>17.100000000000001</v>
      </c>
      <c r="F31" s="714">
        <f t="shared" ca="1" si="6"/>
        <v>0</v>
      </c>
      <c r="T31" s="715" t="b">
        <f t="shared" si="7"/>
        <v>0</v>
      </c>
      <c r="X31" s="1400"/>
      <c r="Z31" s="1400"/>
      <c r="AB31" s="153" t="s">
        <v>749</v>
      </c>
      <c r="AC31" s="210" t="s">
        <v>750</v>
      </c>
      <c r="AD31" s="108" t="s">
        <v>751</v>
      </c>
      <c r="AE31" s="203">
        <f t="shared" ref="AE31:BB31" si="10">IF(AE29=0,0,AE28/AE29)</f>
        <v>0</v>
      </c>
      <c r="AF31" s="203">
        <f t="shared" si="10"/>
        <v>0</v>
      </c>
      <c r="AG31" s="203">
        <f t="shared" si="10"/>
        <v>0</v>
      </c>
      <c r="AH31" s="203">
        <f t="shared" si="10"/>
        <v>0</v>
      </c>
      <c r="AI31" s="203">
        <f t="shared" si="10"/>
        <v>0</v>
      </c>
      <c r="AJ31" s="1063">
        <f t="shared" si="10"/>
        <v>0</v>
      </c>
      <c r="AK31" s="1063">
        <f t="shared" si="10"/>
        <v>0</v>
      </c>
      <c r="AL31" s="8">
        <f t="shared" si="10"/>
        <v>0</v>
      </c>
      <c r="AM31" s="8">
        <f t="shared" si="10"/>
        <v>0</v>
      </c>
      <c r="AN31" s="8">
        <f t="shared" si="10"/>
        <v>0</v>
      </c>
      <c r="AO31" s="8">
        <f t="shared" si="10"/>
        <v>0</v>
      </c>
      <c r="AP31" s="8">
        <f t="shared" si="10"/>
        <v>0</v>
      </c>
      <c r="AQ31" s="8">
        <f t="shared" si="10"/>
        <v>0</v>
      </c>
      <c r="AR31" s="8">
        <f t="shared" si="10"/>
        <v>0</v>
      </c>
      <c r="AS31" s="203">
        <f t="shared" si="10"/>
        <v>0</v>
      </c>
      <c r="AT31" s="1063">
        <f t="shared" si="10"/>
        <v>0</v>
      </c>
      <c r="AU31" s="1063">
        <f t="shared" si="10"/>
        <v>0</v>
      </c>
      <c r="AV31" s="8">
        <f t="shared" si="10"/>
        <v>0</v>
      </c>
      <c r="AW31" s="8">
        <f t="shared" si="10"/>
        <v>0</v>
      </c>
      <c r="AX31" s="8">
        <f t="shared" si="10"/>
        <v>0</v>
      </c>
      <c r="AY31" s="8">
        <f t="shared" si="10"/>
        <v>0</v>
      </c>
      <c r="AZ31" s="8">
        <f t="shared" si="10"/>
        <v>0</v>
      </c>
      <c r="BA31" s="8">
        <f t="shared" si="10"/>
        <v>0</v>
      </c>
      <c r="BB31" s="8">
        <f t="shared" si="10"/>
        <v>0</v>
      </c>
      <c r="BC31" s="22"/>
      <c r="BF31" s="912" t="s">
        <v>752</v>
      </c>
      <c r="BG31" s="918"/>
      <c r="BH31" s="918"/>
      <c r="BI31" s="919"/>
      <c r="BJ31" s="919"/>
    </row>
    <row r="32" spans="1:62" s="1015" customFormat="1" ht="16.7" hidden="1" customHeight="1">
      <c r="E32" s="629">
        <v>17.100000000000001</v>
      </c>
      <c r="F32" s="714">
        <f t="shared" ca="1" si="6"/>
        <v>0</v>
      </c>
      <c r="T32" s="715" t="b">
        <f t="shared" si="7"/>
        <v>0</v>
      </c>
      <c r="X32" s="1400"/>
      <c r="Z32" s="1400"/>
      <c r="AB32" s="153" t="s">
        <v>753</v>
      </c>
      <c r="AC32" s="210" t="s">
        <v>754</v>
      </c>
      <c r="AD32" s="108" t="s">
        <v>755</v>
      </c>
      <c r="AE32" s="303">
        <f t="shared" ref="AE32:BB32" ca="1" si="11">IF(AE30=0,0,AE29/AE30)</f>
        <v>0</v>
      </c>
      <c r="AF32" s="303">
        <f t="shared" ca="1" si="11"/>
        <v>0</v>
      </c>
      <c r="AG32" s="303">
        <f t="shared" ca="1" si="11"/>
        <v>0</v>
      </c>
      <c r="AH32" s="303">
        <f t="shared" ca="1" si="11"/>
        <v>0</v>
      </c>
      <c r="AI32" s="303">
        <f t="shared" ca="1" si="11"/>
        <v>0</v>
      </c>
      <c r="AJ32" s="1122">
        <f t="shared" ca="1" si="11"/>
        <v>0</v>
      </c>
      <c r="AK32" s="1122">
        <f t="shared" ca="1" si="11"/>
        <v>0</v>
      </c>
      <c r="AL32" s="41">
        <f t="shared" ca="1" si="11"/>
        <v>0</v>
      </c>
      <c r="AM32" s="41">
        <f t="shared" ca="1" si="11"/>
        <v>0</v>
      </c>
      <c r="AN32" s="41">
        <f t="shared" ca="1" si="11"/>
        <v>0</v>
      </c>
      <c r="AO32" s="41">
        <f t="shared" ca="1" si="11"/>
        <v>0</v>
      </c>
      <c r="AP32" s="41">
        <f t="shared" ca="1" si="11"/>
        <v>0</v>
      </c>
      <c r="AQ32" s="41">
        <f t="shared" ca="1" si="11"/>
        <v>0</v>
      </c>
      <c r="AR32" s="41">
        <f t="shared" ca="1" si="11"/>
        <v>0</v>
      </c>
      <c r="AS32" s="303">
        <f t="shared" ca="1" si="11"/>
        <v>0</v>
      </c>
      <c r="AT32" s="1122">
        <f t="shared" ca="1" si="11"/>
        <v>0</v>
      </c>
      <c r="AU32" s="1122">
        <f t="shared" ca="1" si="11"/>
        <v>0</v>
      </c>
      <c r="AV32" s="41">
        <f t="shared" ca="1" si="11"/>
        <v>0</v>
      </c>
      <c r="AW32" s="41">
        <f t="shared" ca="1" si="11"/>
        <v>0</v>
      </c>
      <c r="AX32" s="41">
        <f t="shared" ca="1" si="11"/>
        <v>0</v>
      </c>
      <c r="AY32" s="41">
        <f t="shared" ca="1" si="11"/>
        <v>0</v>
      </c>
      <c r="AZ32" s="41">
        <f t="shared" ca="1" si="11"/>
        <v>0</v>
      </c>
      <c r="BA32" s="41">
        <f t="shared" ca="1" si="11"/>
        <v>0</v>
      </c>
      <c r="BB32" s="41">
        <f t="shared" ca="1" si="11"/>
        <v>0</v>
      </c>
      <c r="BC32" s="22"/>
      <c r="BF32" s="912" t="s">
        <v>575</v>
      </c>
      <c r="BG32" s="918"/>
      <c r="BH32" s="918"/>
      <c r="BI32" s="919"/>
      <c r="BJ32" s="919"/>
    </row>
    <row r="33" spans="1:62" s="1015" customFormat="1" ht="16.7" hidden="1" customHeight="1">
      <c r="E33" s="629">
        <v>17.100000000000001</v>
      </c>
      <c r="F33" s="714">
        <f t="shared" ca="1" si="6"/>
        <v>0</v>
      </c>
      <c r="S33" s="97"/>
      <c r="T33" s="715" t="b">
        <f t="shared" si="7"/>
        <v>0</v>
      </c>
      <c r="X33" s="1400"/>
      <c r="Z33" s="1400"/>
      <c r="AB33" s="267"/>
      <c r="AC33" s="264" t="s">
        <v>756</v>
      </c>
      <c r="AD33" s="265"/>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847"/>
      <c r="BF33" s="912"/>
      <c r="BG33" s="918"/>
      <c r="BH33" s="918"/>
      <c r="BI33" s="919"/>
      <c r="BJ33" s="919"/>
    </row>
    <row r="34" spans="1:62" s="1015" customFormat="1" ht="16.7" hidden="1" customHeight="1">
      <c r="A34" s="970" t="str">
        <f ca="1">"checkCosts_1."&amp;F34&amp;"."&amp;Y34</f>
        <v>checkCosts_1.0.0</v>
      </c>
      <c r="E34" s="629">
        <v>17.100000000000001</v>
      </c>
      <c r="F34" s="714">
        <f t="shared" ca="1" si="6"/>
        <v>0</v>
      </c>
      <c r="H34" s="150">
        <f>AC34</f>
        <v>0</v>
      </c>
      <c r="I34" s="152" t="s">
        <v>743</v>
      </c>
      <c r="S34" s="1475"/>
      <c r="T34" s="715" t="b">
        <f ca="1">AND(F34&gt;0,Y34&gt;0)</f>
        <v>0</v>
      </c>
      <c r="W34" s="109" t="s">
        <v>170</v>
      </c>
      <c r="X34" s="1400"/>
      <c r="Y34" s="1400">
        <v>0</v>
      </c>
      <c r="Z34" s="1400"/>
      <c r="AA34" s="1350" t="s">
        <v>157</v>
      </c>
      <c r="AB34" s="153" t="str">
        <f>"1.5."&amp;Y34</f>
        <v>1.5.0</v>
      </c>
      <c r="AC34" s="42"/>
      <c r="AD34" s="95" t="s">
        <v>648</v>
      </c>
      <c r="AE34" s="1123">
        <f>AE35*AE36</f>
        <v>0</v>
      </c>
      <c r="AF34" s="8"/>
      <c r="AG34" s="8"/>
      <c r="AH34" s="1123">
        <f>AH35*AH36</f>
        <v>0</v>
      </c>
      <c r="AI34" s="149"/>
      <c r="AJ34" s="1063"/>
      <c r="AK34" s="1063"/>
      <c r="AL34" s="8"/>
      <c r="AM34" s="8"/>
      <c r="AN34" s="8"/>
      <c r="AO34" s="8"/>
      <c r="AP34" s="8"/>
      <c r="AQ34" s="8"/>
      <c r="AR34" s="8"/>
      <c r="AS34" s="1124">
        <f t="shared" ref="AS34:BB34" si="12">AS35*AS36</f>
        <v>0</v>
      </c>
      <c r="AT34" s="1124">
        <f t="shared" si="12"/>
        <v>0</v>
      </c>
      <c r="AU34" s="1124">
        <f t="shared" si="12"/>
        <v>0</v>
      </c>
      <c r="AV34" s="1123">
        <f t="shared" si="12"/>
        <v>0</v>
      </c>
      <c r="AW34" s="1123">
        <f t="shared" si="12"/>
        <v>0</v>
      </c>
      <c r="AX34" s="1123">
        <f t="shared" si="12"/>
        <v>0</v>
      </c>
      <c r="AY34" s="1123">
        <f t="shared" si="12"/>
        <v>0</v>
      </c>
      <c r="AZ34" s="1123">
        <f t="shared" si="12"/>
        <v>0</v>
      </c>
      <c r="BA34" s="1123">
        <f t="shared" si="12"/>
        <v>0</v>
      </c>
      <c r="BB34" s="1123">
        <f t="shared" si="12"/>
        <v>0</v>
      </c>
      <c r="BC34" s="22"/>
      <c r="BF34" s="912" t="s">
        <v>757</v>
      </c>
      <c r="BG34" s="918" t="s">
        <v>758</v>
      </c>
      <c r="BH34" s="918">
        <f>AC34</f>
        <v>0</v>
      </c>
      <c r="BI34" s="919"/>
      <c r="BJ34" s="919"/>
    </row>
    <row r="35" spans="1:62" s="618" customFormat="1" ht="16.5" hidden="1" customHeight="1">
      <c r="B35" s="1015"/>
      <c r="C35" s="1015"/>
      <c r="D35" s="1015"/>
      <c r="E35" s="629">
        <v>17.100000000000001</v>
      </c>
      <c r="F35" s="714">
        <f t="shared" ca="1" si="6"/>
        <v>0</v>
      </c>
      <c r="G35" s="1015"/>
      <c r="H35" s="394">
        <f>H34</f>
        <v>0</v>
      </c>
      <c r="I35" s="1015"/>
      <c r="J35" s="1015"/>
      <c r="K35" s="1015"/>
      <c r="L35" s="1015"/>
      <c r="M35" s="1015"/>
      <c r="N35" s="1015"/>
      <c r="O35" s="1015"/>
      <c r="P35" s="1015"/>
      <c r="Q35" s="1015"/>
      <c r="R35" s="1015"/>
      <c r="S35" s="1475"/>
      <c r="T35" s="733" t="b">
        <f ca="1">T34</f>
        <v>0</v>
      </c>
      <c r="U35" s="1015"/>
      <c r="V35" s="1015"/>
      <c r="W35" s="1015"/>
      <c r="X35" s="1400"/>
      <c r="Y35" s="1400"/>
      <c r="Z35" s="1400"/>
      <c r="AA35" s="1350"/>
      <c r="AB35" s="641" t="str">
        <f>AB34&amp;".1"</f>
        <v>1.5.0.1</v>
      </c>
      <c r="AC35" s="610" t="s">
        <v>759</v>
      </c>
      <c r="AD35" s="1013" t="s">
        <v>760</v>
      </c>
      <c r="AE35" s="1125"/>
      <c r="AF35" s="1126">
        <f>IF(AF36=0,0,AF34/AF36)</f>
        <v>0</v>
      </c>
      <c r="AG35" s="1126">
        <f>IF(AG36=0,0,AG34/AG36)</f>
        <v>0</v>
      </c>
      <c r="AH35" s="1125"/>
      <c r="AI35" s="1126">
        <f t="shared" ref="AI35:AR35" si="13">IF(AI36=0,0,AI34/AI36)</f>
        <v>0</v>
      </c>
      <c r="AJ35" s="1127">
        <f t="shared" si="13"/>
        <v>0</v>
      </c>
      <c r="AK35" s="1127">
        <f t="shared" si="13"/>
        <v>0</v>
      </c>
      <c r="AL35" s="1126">
        <f t="shared" si="13"/>
        <v>0</v>
      </c>
      <c r="AM35" s="1126">
        <f t="shared" si="13"/>
        <v>0</v>
      </c>
      <c r="AN35" s="1126">
        <f t="shared" si="13"/>
        <v>0</v>
      </c>
      <c r="AO35" s="1126">
        <f t="shared" si="13"/>
        <v>0</v>
      </c>
      <c r="AP35" s="1126">
        <f t="shared" si="13"/>
        <v>0</v>
      </c>
      <c r="AQ35" s="1126">
        <f t="shared" si="13"/>
        <v>0</v>
      </c>
      <c r="AR35" s="1126">
        <f t="shared" si="13"/>
        <v>0</v>
      </c>
      <c r="AS35" s="608"/>
      <c r="AT35" s="1128"/>
      <c r="AU35" s="1128"/>
      <c r="AV35" s="1125"/>
      <c r="AW35" s="1125"/>
      <c r="AX35" s="1125"/>
      <c r="AY35" s="1125"/>
      <c r="AZ35" s="1125"/>
      <c r="BA35" s="1125"/>
      <c r="BB35" s="1125"/>
      <c r="BC35" s="1129"/>
      <c r="BD35" s="1015"/>
      <c r="BE35" s="1015"/>
      <c r="BF35" s="930" t="s">
        <v>761</v>
      </c>
      <c r="BG35" s="918" t="s">
        <v>758</v>
      </c>
      <c r="BH35" s="918">
        <f>BH34</f>
        <v>0</v>
      </c>
      <c r="BI35" s="919"/>
      <c r="BJ35" s="919"/>
    </row>
    <row r="36" spans="1:62" s="1015" customFormat="1" ht="16.7" hidden="1" customHeight="1">
      <c r="A36" s="970" t="str">
        <f ca="1">"checkVolume_1."&amp;F36&amp;"."&amp;Y34</f>
        <v>checkVolume_1.0.0</v>
      </c>
      <c r="E36" s="629">
        <v>17.100000000000001</v>
      </c>
      <c r="F36" s="714">
        <f t="shared" ca="1" si="6"/>
        <v>0</v>
      </c>
      <c r="H36" s="150">
        <f>H34</f>
        <v>0</v>
      </c>
      <c r="S36" s="1475"/>
      <c r="T36" s="715" t="b">
        <f ca="1">T34</f>
        <v>0</v>
      </c>
      <c r="X36" s="1400"/>
      <c r="Y36" s="1400"/>
      <c r="Z36" s="1400"/>
      <c r="AA36" s="1350"/>
      <c r="AB36" s="641" t="str">
        <f>AB34&amp;".2"</f>
        <v>1.5.0.2</v>
      </c>
      <c r="AC36" s="610" t="s">
        <v>762</v>
      </c>
      <c r="AD36" s="112" t="s">
        <v>572</v>
      </c>
      <c r="AE36" s="43"/>
      <c r="AF36" s="43"/>
      <c r="AG36" s="43"/>
      <c r="AH36" s="43"/>
      <c r="AI36" s="608"/>
      <c r="AJ36" s="1128"/>
      <c r="AK36" s="1128"/>
      <c r="AL36" s="43"/>
      <c r="AM36" s="43"/>
      <c r="AN36" s="43"/>
      <c r="AO36" s="43"/>
      <c r="AP36" s="43"/>
      <c r="AQ36" s="43"/>
      <c r="AR36" s="43"/>
      <c r="AS36" s="608"/>
      <c r="AT36" s="1128"/>
      <c r="AU36" s="1128"/>
      <c r="AV36" s="43"/>
      <c r="AW36" s="43"/>
      <c r="AX36" s="43"/>
      <c r="AY36" s="43"/>
      <c r="AZ36" s="43"/>
      <c r="BA36" s="43"/>
      <c r="BB36" s="43"/>
      <c r="BC36" s="18"/>
      <c r="BF36" s="912" t="s">
        <v>763</v>
      </c>
      <c r="BG36" s="918" t="s">
        <v>758</v>
      </c>
      <c r="BH36" s="918">
        <f>BH34</f>
        <v>0</v>
      </c>
      <c r="BI36" s="919"/>
      <c r="BJ36" s="919"/>
    </row>
    <row r="37" spans="1:62" s="750" customFormat="1" ht="16.7" hidden="1" customHeight="1">
      <c r="E37" s="623">
        <v>17.100000000000001</v>
      </c>
      <c r="F37" s="714">
        <f t="shared" ca="1" si="6"/>
        <v>0</v>
      </c>
      <c r="T37" s="715" t="b">
        <f ca="1">F37&gt;0</f>
        <v>0</v>
      </c>
      <c r="W37" s="291" t="s">
        <v>764</v>
      </c>
      <c r="X37" s="1485"/>
      <c r="Z37" s="1485"/>
      <c r="AB37" s="642"/>
      <c r="AC37" s="609" t="s">
        <v>172</v>
      </c>
      <c r="AD37" s="609"/>
      <c r="AE37" s="609"/>
      <c r="AF37" s="609"/>
      <c r="AG37" s="609"/>
      <c r="AH37" s="609"/>
      <c r="AI37" s="609"/>
      <c r="AJ37" s="609"/>
      <c r="AK37" s="609"/>
      <c r="AL37" s="609"/>
      <c r="AM37" s="609"/>
      <c r="AN37" s="609"/>
      <c r="AO37" s="609"/>
      <c r="AP37" s="609"/>
      <c r="AQ37" s="609"/>
      <c r="AR37" s="609"/>
      <c r="AS37" s="609"/>
      <c r="AT37" s="609"/>
      <c r="AU37" s="609"/>
      <c r="AV37" s="609"/>
      <c r="AW37" s="609"/>
      <c r="AX37" s="609"/>
      <c r="AY37" s="609"/>
      <c r="AZ37" s="609"/>
      <c r="BA37" s="609"/>
      <c r="BB37" s="609"/>
      <c r="BC37" s="848"/>
      <c r="BF37" s="902"/>
      <c r="BG37" s="902"/>
      <c r="BH37" s="902"/>
      <c r="BI37" s="917" t="s">
        <v>758</v>
      </c>
      <c r="BJ37" s="917"/>
    </row>
    <row r="38" spans="1:62" s="1015" customFormat="1" ht="16.7" hidden="1" customHeight="1">
      <c r="E38" s="629">
        <v>17.100000000000001</v>
      </c>
      <c r="F38" s="714">
        <f t="shared" ca="1" si="6"/>
        <v>0</v>
      </c>
      <c r="S38" s="97"/>
      <c r="T38" s="715" t="b">
        <f ca="1">F38&gt;0</f>
        <v>0</v>
      </c>
      <c r="X38" s="1400"/>
      <c r="Z38" s="1400"/>
      <c r="AB38" s="611"/>
      <c r="AC38" s="264" t="s">
        <v>765</v>
      </c>
      <c r="AD38" s="265"/>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849"/>
      <c r="BF38" s="912"/>
      <c r="BG38" s="918"/>
      <c r="BH38" s="918"/>
      <c r="BI38" s="919"/>
      <c r="BJ38" s="919"/>
    </row>
    <row r="39" spans="1:62" s="1015" customFormat="1" ht="16.7" hidden="1" customHeight="1">
      <c r="E39" s="629">
        <v>17.100000000000001</v>
      </c>
      <c r="F39" s="714">
        <f t="shared" ca="1" si="6"/>
        <v>0</v>
      </c>
      <c r="H39" s="150">
        <f>AC39</f>
        <v>0</v>
      </c>
      <c r="I39" s="152" t="s">
        <v>743</v>
      </c>
      <c r="S39" s="1475"/>
      <c r="T39" s="715" t="b">
        <f ca="1">AND(F39&gt;0,Y39&gt;0)</f>
        <v>0</v>
      </c>
      <c r="W39" s="109" t="s">
        <v>170</v>
      </c>
      <c r="X39" s="1400"/>
      <c r="Y39" s="1400">
        <v>0</v>
      </c>
      <c r="Z39" s="1400"/>
      <c r="AA39" s="1350" t="s">
        <v>157</v>
      </c>
      <c r="AB39" s="153" t="str">
        <f>"1.6."&amp;Y39</f>
        <v>1.6.0</v>
      </c>
      <c r="AC39" s="42"/>
      <c r="AD39" s="95" t="s">
        <v>648</v>
      </c>
      <c r="AE39" s="203">
        <f t="shared" ref="AE39:BB39" si="14">AE41+AE43</f>
        <v>0</v>
      </c>
      <c r="AF39" s="203">
        <f t="shared" si="14"/>
        <v>0</v>
      </c>
      <c r="AG39" s="203">
        <f t="shared" si="14"/>
        <v>0</v>
      </c>
      <c r="AH39" s="203">
        <f t="shared" si="14"/>
        <v>0</v>
      </c>
      <c r="AI39" s="203">
        <f t="shared" si="14"/>
        <v>0</v>
      </c>
      <c r="AJ39" s="1063">
        <f t="shared" si="14"/>
        <v>0</v>
      </c>
      <c r="AK39" s="1063">
        <f t="shared" si="14"/>
        <v>0</v>
      </c>
      <c r="AL39" s="8">
        <f t="shared" si="14"/>
        <v>0</v>
      </c>
      <c r="AM39" s="8">
        <f t="shared" si="14"/>
        <v>0</v>
      </c>
      <c r="AN39" s="8">
        <f t="shared" si="14"/>
        <v>0</v>
      </c>
      <c r="AO39" s="8">
        <f t="shared" si="14"/>
        <v>0</v>
      </c>
      <c r="AP39" s="8">
        <f t="shared" si="14"/>
        <v>0</v>
      </c>
      <c r="AQ39" s="8">
        <f t="shared" si="14"/>
        <v>0</v>
      </c>
      <c r="AR39" s="8">
        <f t="shared" si="14"/>
        <v>0</v>
      </c>
      <c r="AS39" s="203">
        <f t="shared" si="14"/>
        <v>0</v>
      </c>
      <c r="AT39" s="1063">
        <f t="shared" si="14"/>
        <v>0</v>
      </c>
      <c r="AU39" s="1063">
        <f t="shared" si="14"/>
        <v>0</v>
      </c>
      <c r="AV39" s="8">
        <f t="shared" si="14"/>
        <v>0</v>
      </c>
      <c r="AW39" s="8">
        <f t="shared" si="14"/>
        <v>0</v>
      </c>
      <c r="AX39" s="8">
        <f t="shared" si="14"/>
        <v>0</v>
      </c>
      <c r="AY39" s="8">
        <f t="shared" si="14"/>
        <v>0</v>
      </c>
      <c r="AZ39" s="8">
        <f t="shared" si="14"/>
        <v>0</v>
      </c>
      <c r="BA39" s="8">
        <f t="shared" si="14"/>
        <v>0</v>
      </c>
      <c r="BB39" s="8">
        <f t="shared" si="14"/>
        <v>0</v>
      </c>
      <c r="BC39" s="22"/>
      <c r="BF39" s="912" t="s">
        <v>766</v>
      </c>
      <c r="BG39" s="918" t="s">
        <v>767</v>
      </c>
      <c r="BH39" s="918">
        <f>AC39</f>
        <v>0</v>
      </c>
      <c r="BI39" s="919"/>
      <c r="BJ39" s="919"/>
    </row>
    <row r="40" spans="1:62" s="618" customFormat="1" ht="16.5" hidden="1" customHeight="1">
      <c r="B40" s="1015"/>
      <c r="C40" s="1015"/>
      <c r="D40" s="1015"/>
      <c r="E40" s="629">
        <v>17.100000000000001</v>
      </c>
      <c r="F40" s="714">
        <f t="shared" ca="1" si="6"/>
        <v>0</v>
      </c>
      <c r="G40" s="1015"/>
      <c r="H40" s="394">
        <f>H39</f>
        <v>0</v>
      </c>
      <c r="I40" s="1015"/>
      <c r="J40" s="1015"/>
      <c r="K40" s="1015"/>
      <c r="L40" s="1015"/>
      <c r="M40" s="1015"/>
      <c r="N40" s="1015"/>
      <c r="O40" s="1015"/>
      <c r="P40" s="1015"/>
      <c r="Q40" s="1015"/>
      <c r="R40" s="1015"/>
      <c r="S40" s="1475"/>
      <c r="T40" s="733" t="b">
        <f ca="1">T39</f>
        <v>0</v>
      </c>
      <c r="U40" s="1015"/>
      <c r="V40" s="1015"/>
      <c r="W40" s="1015"/>
      <c r="X40" s="1400"/>
      <c r="Y40" s="1400"/>
      <c r="Z40" s="1400"/>
      <c r="AA40" s="1350"/>
      <c r="AB40" s="433" t="str">
        <f>AB39&amp;".1"</f>
        <v>1.6.0.1</v>
      </c>
      <c r="AC40" s="524" t="s">
        <v>759</v>
      </c>
      <c r="AD40" s="1017" t="s">
        <v>760</v>
      </c>
      <c r="AE40" s="1130"/>
      <c r="AF40" s="203">
        <f>IF(AF42=0,0,AF41/AF42)</f>
        <v>0</v>
      </c>
      <c r="AG40" s="203">
        <f>IF(AG42=0,0,AG41/AG42)</f>
        <v>0</v>
      </c>
      <c r="AH40" s="1130"/>
      <c r="AI40" s="203">
        <f t="shared" ref="AI40:AR40" si="15">IF(AI42=0,0,AI41/AI42)</f>
        <v>0</v>
      </c>
      <c r="AJ40" s="1124">
        <f t="shared" si="15"/>
        <v>0</v>
      </c>
      <c r="AK40" s="1124">
        <f t="shared" si="15"/>
        <v>0</v>
      </c>
      <c r="AL40" s="203">
        <f t="shared" si="15"/>
        <v>0</v>
      </c>
      <c r="AM40" s="203">
        <f t="shared" si="15"/>
        <v>0</v>
      </c>
      <c r="AN40" s="203">
        <f t="shared" si="15"/>
        <v>0</v>
      </c>
      <c r="AO40" s="203">
        <f t="shared" si="15"/>
        <v>0</v>
      </c>
      <c r="AP40" s="203">
        <f t="shared" si="15"/>
        <v>0</v>
      </c>
      <c r="AQ40" s="203">
        <f t="shared" si="15"/>
        <v>0</v>
      </c>
      <c r="AR40" s="203">
        <f t="shared" si="15"/>
        <v>0</v>
      </c>
      <c r="AS40" s="149"/>
      <c r="AT40" s="1063"/>
      <c r="AU40" s="1063"/>
      <c r="AV40" s="1130"/>
      <c r="AW40" s="1130"/>
      <c r="AX40" s="1130"/>
      <c r="AY40" s="1130"/>
      <c r="AZ40" s="1130"/>
      <c r="BA40" s="1130"/>
      <c r="BB40" s="1130"/>
      <c r="BC40" s="1131"/>
      <c r="BD40" s="1015"/>
      <c r="BE40" s="1015"/>
      <c r="BF40" s="930" t="s">
        <v>761</v>
      </c>
      <c r="BG40" s="918" t="s">
        <v>767</v>
      </c>
      <c r="BH40" s="918">
        <f>BH39</f>
        <v>0</v>
      </c>
      <c r="BI40" s="919"/>
      <c r="BJ40" s="919"/>
    </row>
    <row r="41" spans="1:62" s="1015" customFormat="1" ht="16.7" hidden="1" customHeight="1">
      <c r="A41" s="970" t="str">
        <f ca="1">"checkCosts_2."&amp;F41&amp;"."&amp;Y39</f>
        <v>checkCosts_2.0.0</v>
      </c>
      <c r="E41" s="629">
        <v>17.100000000000001</v>
      </c>
      <c r="F41" s="714">
        <f t="shared" ca="1" si="6"/>
        <v>0</v>
      </c>
      <c r="H41" s="150">
        <f>H39</f>
        <v>0</v>
      </c>
      <c r="S41" s="1475"/>
      <c r="T41" s="715" t="b">
        <f ca="1">T39</f>
        <v>0</v>
      </c>
      <c r="X41" s="1400"/>
      <c r="Y41" s="1400"/>
      <c r="Z41" s="1400"/>
      <c r="AA41" s="1350"/>
      <c r="AB41" s="153" t="str">
        <f>AB39&amp;".2"</f>
        <v>1.6.0.2</v>
      </c>
      <c r="AC41" s="210" t="s">
        <v>768</v>
      </c>
      <c r="AD41" s="95" t="s">
        <v>648</v>
      </c>
      <c r="AE41" s="8"/>
      <c r="AF41" s="8"/>
      <c r="AG41" s="8"/>
      <c r="AH41" s="8"/>
      <c r="AI41" s="149"/>
      <c r="AJ41" s="1063"/>
      <c r="AK41" s="1063"/>
      <c r="AL41" s="8"/>
      <c r="AM41" s="8"/>
      <c r="AN41" s="8"/>
      <c r="AO41" s="8"/>
      <c r="AP41" s="8"/>
      <c r="AQ41" s="8"/>
      <c r="AR41" s="8"/>
      <c r="AS41" s="149"/>
      <c r="AT41" s="1063"/>
      <c r="AU41" s="1063"/>
      <c r="AV41" s="8"/>
      <c r="AW41" s="8"/>
      <c r="AX41" s="8"/>
      <c r="AY41" s="8"/>
      <c r="AZ41" s="8"/>
      <c r="BA41" s="8"/>
      <c r="BB41" s="8"/>
      <c r="BC41" s="22"/>
      <c r="BF41" s="912" t="s">
        <v>757</v>
      </c>
      <c r="BG41" s="918" t="s">
        <v>767</v>
      </c>
      <c r="BH41" s="918">
        <f>BH39</f>
        <v>0</v>
      </c>
      <c r="BI41" s="919"/>
      <c r="BJ41" s="919"/>
    </row>
    <row r="42" spans="1:62" s="1015" customFormat="1" ht="16.7" hidden="1" customHeight="1">
      <c r="A42" s="970" t="str">
        <f ca="1">"checkVolume_2."&amp;F42&amp;"."&amp;Y39</f>
        <v>checkVolume_2.0.0</v>
      </c>
      <c r="E42" s="629">
        <v>17.100000000000001</v>
      </c>
      <c r="F42" s="714">
        <f t="shared" ca="1" si="6"/>
        <v>0</v>
      </c>
      <c r="H42" s="150">
        <f>H41</f>
        <v>0</v>
      </c>
      <c r="S42" s="1475"/>
      <c r="T42" s="715" t="b">
        <f ca="1">T41</f>
        <v>0</v>
      </c>
      <c r="X42" s="1400"/>
      <c r="Y42" s="1400"/>
      <c r="Z42" s="1400"/>
      <c r="AA42" s="1350"/>
      <c r="AB42" s="153" t="str">
        <f>AB39&amp;".2.1"</f>
        <v>1.6.0.2.1</v>
      </c>
      <c r="AC42" s="327" t="s">
        <v>762</v>
      </c>
      <c r="AD42" s="108" t="s">
        <v>572</v>
      </c>
      <c r="AE42" s="8"/>
      <c r="AF42" s="8"/>
      <c r="AG42" s="8"/>
      <c r="AH42" s="8"/>
      <c r="AI42" s="149"/>
      <c r="AJ42" s="1063"/>
      <c r="AK42" s="1063"/>
      <c r="AL42" s="8"/>
      <c r="AM42" s="8"/>
      <c r="AN42" s="8"/>
      <c r="AO42" s="8"/>
      <c r="AP42" s="8"/>
      <c r="AQ42" s="8"/>
      <c r="AR42" s="8"/>
      <c r="AS42" s="149"/>
      <c r="AT42" s="1063"/>
      <c r="AU42" s="1063"/>
      <c r="AV42" s="8"/>
      <c r="AW42" s="8"/>
      <c r="AX42" s="8"/>
      <c r="AY42" s="8"/>
      <c r="AZ42" s="8"/>
      <c r="BA42" s="8"/>
      <c r="BB42" s="8"/>
      <c r="BC42" s="22"/>
      <c r="BF42" s="912" t="s">
        <v>763</v>
      </c>
      <c r="BG42" s="918" t="s">
        <v>767</v>
      </c>
      <c r="BH42" s="918">
        <f>BH41</f>
        <v>0</v>
      </c>
      <c r="BI42" s="919"/>
      <c r="BJ42" s="919"/>
    </row>
    <row r="43" spans="1:62" s="1015" customFormat="1" ht="16.7" hidden="1" customHeight="1">
      <c r="A43" s="970" t="str">
        <f ca="1">"checkCosts_3."&amp;F43&amp;"."&amp;Y39</f>
        <v>checkCosts_3.0.0</v>
      </c>
      <c r="E43" s="629">
        <v>17.100000000000001</v>
      </c>
      <c r="F43" s="714">
        <f t="shared" ca="1" si="6"/>
        <v>0</v>
      </c>
      <c r="H43" s="150">
        <f>H42</f>
        <v>0</v>
      </c>
      <c r="S43" s="1475"/>
      <c r="T43" s="715" t="b">
        <f ca="1">T42</f>
        <v>0</v>
      </c>
      <c r="X43" s="1400"/>
      <c r="Y43" s="1400"/>
      <c r="Z43" s="1400"/>
      <c r="AA43" s="1350"/>
      <c r="AB43" s="153" t="str">
        <f>AB39&amp;".3"</f>
        <v>1.6.0.3</v>
      </c>
      <c r="AC43" s="210" t="s">
        <v>769</v>
      </c>
      <c r="AD43" s="95" t="s">
        <v>770</v>
      </c>
      <c r="AE43" s="8"/>
      <c r="AF43" s="8"/>
      <c r="AG43" s="8"/>
      <c r="AH43" s="8"/>
      <c r="AI43" s="149"/>
      <c r="AJ43" s="1063"/>
      <c r="AK43" s="1063"/>
      <c r="AL43" s="8"/>
      <c r="AM43" s="8"/>
      <c r="AN43" s="8"/>
      <c r="AO43" s="8"/>
      <c r="AP43" s="8"/>
      <c r="AQ43" s="8"/>
      <c r="AR43" s="8"/>
      <c r="AS43" s="149"/>
      <c r="AT43" s="1063"/>
      <c r="AU43" s="1063"/>
      <c r="AV43" s="8"/>
      <c r="AW43" s="8"/>
      <c r="AX43" s="8"/>
      <c r="AY43" s="8"/>
      <c r="AZ43" s="8"/>
      <c r="BA43" s="8"/>
      <c r="BB43" s="8"/>
      <c r="BC43" s="22"/>
      <c r="BF43" s="912" t="s">
        <v>771</v>
      </c>
      <c r="BG43" s="918" t="s">
        <v>767</v>
      </c>
      <c r="BH43" s="918">
        <f>BH42</f>
        <v>0</v>
      </c>
      <c r="BI43" s="919"/>
      <c r="BJ43" s="919"/>
    </row>
    <row r="44" spans="1:62" s="1015" customFormat="1" ht="16.7" hidden="1" customHeight="1">
      <c r="A44" s="970" t="str">
        <f ca="1">"checkVolume_3."&amp;F44&amp;"."&amp;Y39</f>
        <v>checkVolume_3.0.0</v>
      </c>
      <c r="E44" s="629">
        <v>17.100000000000001</v>
      </c>
      <c r="F44" s="714">
        <f t="shared" ca="1" si="6"/>
        <v>0</v>
      </c>
      <c r="H44" s="150">
        <f>H43</f>
        <v>0</v>
      </c>
      <c r="S44" s="1475"/>
      <c r="T44" s="715" t="b">
        <f ca="1">T43</f>
        <v>0</v>
      </c>
      <c r="X44" s="1400"/>
      <c r="Y44" s="1400"/>
      <c r="Z44" s="1400"/>
      <c r="AA44" s="1350"/>
      <c r="AB44" s="641" t="str">
        <f>AB39&amp;".3.1"</f>
        <v>1.6.0.3.1</v>
      </c>
      <c r="AC44" s="607" t="s">
        <v>772</v>
      </c>
      <c r="AD44" s="112" t="s">
        <v>773</v>
      </c>
      <c r="AE44" s="43"/>
      <c r="AF44" s="43"/>
      <c r="AG44" s="43"/>
      <c r="AH44" s="43"/>
      <c r="AI44" s="608"/>
      <c r="AJ44" s="1128"/>
      <c r="AK44" s="1128"/>
      <c r="AL44" s="43"/>
      <c r="AM44" s="43"/>
      <c r="AN44" s="43"/>
      <c r="AO44" s="43"/>
      <c r="AP44" s="43"/>
      <c r="AQ44" s="43"/>
      <c r="AR44" s="43"/>
      <c r="AS44" s="608"/>
      <c r="AT44" s="1128"/>
      <c r="AU44" s="1128"/>
      <c r="AV44" s="43"/>
      <c r="AW44" s="43"/>
      <c r="AX44" s="43"/>
      <c r="AY44" s="43"/>
      <c r="AZ44" s="43"/>
      <c r="BA44" s="43"/>
      <c r="BB44" s="43"/>
      <c r="BC44" s="18"/>
      <c r="BF44" s="912" t="s">
        <v>774</v>
      </c>
      <c r="BG44" s="918" t="s">
        <v>767</v>
      </c>
      <c r="BH44" s="918">
        <f>BH43</f>
        <v>0</v>
      </c>
      <c r="BI44" s="919"/>
      <c r="BJ44" s="919"/>
    </row>
    <row r="45" spans="1:62" s="750" customFormat="1" ht="16.7" hidden="1" customHeight="1">
      <c r="E45" s="623">
        <v>17.100000000000001</v>
      </c>
      <c r="F45" s="714">
        <f t="shared" ca="1" si="6"/>
        <v>0</v>
      </c>
      <c r="T45" s="715" t="b">
        <f ca="1">F45&gt;0</f>
        <v>0</v>
      </c>
      <c r="W45" s="291" t="s">
        <v>775</v>
      </c>
      <c r="X45" s="1485"/>
      <c r="Z45" s="1485"/>
      <c r="AB45" s="642"/>
      <c r="AC45" s="609" t="s">
        <v>776</v>
      </c>
      <c r="AD45" s="609"/>
      <c r="AE45" s="609"/>
      <c r="AF45" s="609"/>
      <c r="AG45" s="609"/>
      <c r="AH45" s="609"/>
      <c r="AI45" s="609"/>
      <c r="AJ45" s="609"/>
      <c r="AK45" s="609"/>
      <c r="AL45" s="609"/>
      <c r="AM45" s="609"/>
      <c r="AN45" s="609"/>
      <c r="AO45" s="609"/>
      <c r="AP45" s="609"/>
      <c r="AQ45" s="609"/>
      <c r="AR45" s="609"/>
      <c r="AS45" s="609"/>
      <c r="AT45" s="609"/>
      <c r="AU45" s="609"/>
      <c r="AV45" s="609"/>
      <c r="AW45" s="609"/>
      <c r="AX45" s="609"/>
      <c r="AY45" s="609"/>
      <c r="AZ45" s="609"/>
      <c r="BA45" s="609"/>
      <c r="BB45" s="609"/>
      <c r="BC45" s="848"/>
      <c r="BF45" s="902"/>
      <c r="BG45" s="902"/>
      <c r="BH45" s="902"/>
      <c r="BI45" s="917" t="s">
        <v>767</v>
      </c>
      <c r="BJ45" s="917"/>
    </row>
    <row r="46" spans="1:62" s="750" customFormat="1" ht="12" hidden="1" customHeight="1">
      <c r="E46" s="623">
        <v>0</v>
      </c>
      <c r="F46" s="714">
        <f t="shared" ca="1" si="6"/>
        <v>0</v>
      </c>
      <c r="T46" s="715" t="b">
        <f ca="1">F46&gt;0</f>
        <v>0</v>
      </c>
      <c r="X46" s="1485"/>
      <c r="Z46" s="1485"/>
      <c r="BF46" s="902"/>
      <c r="BG46" s="902"/>
      <c r="BH46" s="902"/>
      <c r="BI46" s="917"/>
      <c r="BJ46" s="917"/>
    </row>
    <row r="47" spans="1:62" s="160" customFormat="1" ht="14.65" hidden="1" customHeight="1">
      <c r="E47" s="716">
        <v>15</v>
      </c>
      <c r="F47" s="714">
        <f t="shared" ca="1" si="6"/>
        <v>0</v>
      </c>
      <c r="G47" s="130" t="s">
        <v>777</v>
      </c>
      <c r="I47" s="152" t="s">
        <v>743</v>
      </c>
      <c r="T47" s="715" t="b">
        <f ca="1">F47&gt;0</f>
        <v>0</v>
      </c>
      <c r="X47" s="1482"/>
      <c r="Z47" s="1482"/>
      <c r="AB47" s="643">
        <v>2</v>
      </c>
      <c r="AC47" s="612" t="s">
        <v>778</v>
      </c>
      <c r="AD47" s="613" t="s">
        <v>648</v>
      </c>
      <c r="AE47" s="216">
        <f t="shared" ref="AE47:BB47" si="16">SUMIF($I51:$I67,$I47,AE51:AE67)</f>
        <v>0</v>
      </c>
      <c r="AF47" s="216">
        <f t="shared" si="16"/>
        <v>0</v>
      </c>
      <c r="AG47" s="216">
        <f t="shared" si="16"/>
        <v>0</v>
      </c>
      <c r="AH47" s="216">
        <f t="shared" si="16"/>
        <v>0</v>
      </c>
      <c r="AI47" s="216">
        <f t="shared" si="16"/>
        <v>0</v>
      </c>
      <c r="AJ47" s="1132">
        <f t="shared" si="16"/>
        <v>0</v>
      </c>
      <c r="AK47" s="1132">
        <f t="shared" si="16"/>
        <v>0</v>
      </c>
      <c r="AL47" s="44">
        <f t="shared" si="16"/>
        <v>0</v>
      </c>
      <c r="AM47" s="44">
        <f t="shared" si="16"/>
        <v>0</v>
      </c>
      <c r="AN47" s="44">
        <f t="shared" si="16"/>
        <v>0</v>
      </c>
      <c r="AO47" s="44">
        <f t="shared" si="16"/>
        <v>0</v>
      </c>
      <c r="AP47" s="44">
        <f t="shared" si="16"/>
        <v>0</v>
      </c>
      <c r="AQ47" s="44">
        <f t="shared" si="16"/>
        <v>0</v>
      </c>
      <c r="AR47" s="44">
        <f t="shared" si="16"/>
        <v>0</v>
      </c>
      <c r="AS47" s="216">
        <f t="shared" si="16"/>
        <v>0</v>
      </c>
      <c r="AT47" s="1132">
        <f t="shared" si="16"/>
        <v>0</v>
      </c>
      <c r="AU47" s="1132">
        <f t="shared" si="16"/>
        <v>0</v>
      </c>
      <c r="AV47" s="44">
        <f t="shared" si="16"/>
        <v>0</v>
      </c>
      <c r="AW47" s="44">
        <f t="shared" si="16"/>
        <v>0</v>
      </c>
      <c r="AX47" s="44">
        <f t="shared" si="16"/>
        <v>0</v>
      </c>
      <c r="AY47" s="44">
        <f t="shared" si="16"/>
        <v>0</v>
      </c>
      <c r="AZ47" s="44">
        <f t="shared" si="16"/>
        <v>0</v>
      </c>
      <c r="BA47" s="44">
        <f t="shared" si="16"/>
        <v>0</v>
      </c>
      <c r="BB47" s="44">
        <f t="shared" si="16"/>
        <v>0</v>
      </c>
      <c r="BC47" s="45"/>
      <c r="BF47" s="920" t="s">
        <v>779</v>
      </c>
      <c r="BG47" s="920"/>
      <c r="BH47" s="920"/>
      <c r="BI47" s="921"/>
      <c r="BJ47" s="921"/>
    </row>
    <row r="48" spans="1:62" s="160" customFormat="1" ht="14.65" hidden="1" customHeight="1">
      <c r="E48" s="716">
        <v>15</v>
      </c>
      <c r="F48" s="714">
        <f t="shared" ca="1" si="6"/>
        <v>0</v>
      </c>
      <c r="G48" s="130" t="s">
        <v>780</v>
      </c>
      <c r="L48" s="150" t="str">
        <f ca="1">INDEX('Общие сведения'!$AK$169:$AK$202,MATCH($F48,'Общие сведения'!$Z$169:$Z$202,0))</f>
        <v>одноставочный</v>
      </c>
      <c r="R48" s="130" t="s">
        <v>781</v>
      </c>
      <c r="T48" s="715" t="b">
        <f ca="1">AND(F48&gt;0,L48="двухставочный")</f>
        <v>0</v>
      </c>
      <c r="X48" s="1482"/>
      <c r="Z48" s="1482"/>
      <c r="AA48" s="713" t="s">
        <v>782</v>
      </c>
      <c r="AB48" s="222" t="s">
        <v>782</v>
      </c>
      <c r="AC48" s="455" t="s">
        <v>783</v>
      </c>
      <c r="AD48" s="464" t="s">
        <v>648</v>
      </c>
      <c r="AE48" s="510">
        <f t="shared" ref="AE48:BB48" si="17">SUMIFS(AE51:AE67,$AC51:$AC67,$AC48)</f>
        <v>0</v>
      </c>
      <c r="AF48" s="510">
        <f t="shared" si="17"/>
        <v>0</v>
      </c>
      <c r="AG48" s="510">
        <f t="shared" si="17"/>
        <v>0</v>
      </c>
      <c r="AH48" s="510">
        <f t="shared" si="17"/>
        <v>0</v>
      </c>
      <c r="AI48" s="510">
        <f t="shared" si="17"/>
        <v>0</v>
      </c>
      <c r="AJ48" s="1133">
        <f t="shared" si="17"/>
        <v>0</v>
      </c>
      <c r="AK48" s="1133">
        <f t="shared" si="17"/>
        <v>0</v>
      </c>
      <c r="AL48" s="15">
        <f t="shared" si="17"/>
        <v>0</v>
      </c>
      <c r="AM48" s="15">
        <f t="shared" si="17"/>
        <v>0</v>
      </c>
      <c r="AN48" s="15">
        <f t="shared" si="17"/>
        <v>0</v>
      </c>
      <c r="AO48" s="15">
        <f t="shared" si="17"/>
        <v>0</v>
      </c>
      <c r="AP48" s="15">
        <f t="shared" si="17"/>
        <v>0</v>
      </c>
      <c r="AQ48" s="15">
        <f t="shared" si="17"/>
        <v>0</v>
      </c>
      <c r="AR48" s="15">
        <f t="shared" si="17"/>
        <v>0</v>
      </c>
      <c r="AS48" s="510">
        <f t="shared" si="17"/>
        <v>0</v>
      </c>
      <c r="AT48" s="1133">
        <f t="shared" si="17"/>
        <v>0</v>
      </c>
      <c r="AU48" s="1133">
        <f t="shared" si="17"/>
        <v>0</v>
      </c>
      <c r="AV48" s="15">
        <f t="shared" si="17"/>
        <v>0</v>
      </c>
      <c r="AW48" s="15">
        <f t="shared" si="17"/>
        <v>0</v>
      </c>
      <c r="AX48" s="15">
        <f t="shared" si="17"/>
        <v>0</v>
      </c>
      <c r="AY48" s="15">
        <f t="shared" si="17"/>
        <v>0</v>
      </c>
      <c r="AZ48" s="15">
        <f t="shared" si="17"/>
        <v>0</v>
      </c>
      <c r="BA48" s="15">
        <f t="shared" si="17"/>
        <v>0</v>
      </c>
      <c r="BB48" s="15">
        <f t="shared" si="17"/>
        <v>0</v>
      </c>
      <c r="BC48" s="45"/>
      <c r="BF48" s="920" t="s">
        <v>784</v>
      </c>
      <c r="BG48" s="920"/>
      <c r="BH48" s="920"/>
      <c r="BI48" s="921"/>
      <c r="BJ48" s="921"/>
    </row>
    <row r="49" spans="1:62" s="160" customFormat="1" ht="14.65" hidden="1" customHeight="1">
      <c r="E49" s="716">
        <v>15</v>
      </c>
      <c r="F49" s="714">
        <f t="shared" ca="1" si="6"/>
        <v>0</v>
      </c>
      <c r="T49" s="715" t="b">
        <f ca="1">T47</f>
        <v>0</v>
      </c>
      <c r="X49" s="1482"/>
      <c r="Z49" s="1482"/>
      <c r="AB49" s="153" t="s">
        <v>346</v>
      </c>
      <c r="AC49" s="210" t="s">
        <v>785</v>
      </c>
      <c r="AD49" s="93" t="s">
        <v>598</v>
      </c>
      <c r="AE49" s="203">
        <f t="shared" ref="AE49:BB49" si="18">SUMIF($AD51:$AD67,$AD49,AE51:AE67)</f>
        <v>0</v>
      </c>
      <c r="AF49" s="203">
        <f t="shared" si="18"/>
        <v>0</v>
      </c>
      <c r="AG49" s="203">
        <f t="shared" si="18"/>
        <v>0</v>
      </c>
      <c r="AH49" s="203">
        <f t="shared" si="18"/>
        <v>0</v>
      </c>
      <c r="AI49" s="203">
        <f t="shared" si="18"/>
        <v>0</v>
      </c>
      <c r="AJ49" s="1063">
        <f t="shared" si="18"/>
        <v>0</v>
      </c>
      <c r="AK49" s="1063">
        <f t="shared" si="18"/>
        <v>0</v>
      </c>
      <c r="AL49" s="8">
        <f t="shared" si="18"/>
        <v>0</v>
      </c>
      <c r="AM49" s="8">
        <f t="shared" si="18"/>
        <v>0</v>
      </c>
      <c r="AN49" s="8">
        <f t="shared" si="18"/>
        <v>0</v>
      </c>
      <c r="AO49" s="8">
        <f t="shared" si="18"/>
        <v>0</v>
      </c>
      <c r="AP49" s="8">
        <f t="shared" si="18"/>
        <v>0</v>
      </c>
      <c r="AQ49" s="8">
        <f t="shared" si="18"/>
        <v>0</v>
      </c>
      <c r="AR49" s="8">
        <f t="shared" si="18"/>
        <v>0</v>
      </c>
      <c r="AS49" s="203">
        <f t="shared" si="18"/>
        <v>0</v>
      </c>
      <c r="AT49" s="1063">
        <f t="shared" si="18"/>
        <v>0</v>
      </c>
      <c r="AU49" s="1063">
        <f t="shared" si="18"/>
        <v>0</v>
      </c>
      <c r="AV49" s="8">
        <f t="shared" si="18"/>
        <v>0</v>
      </c>
      <c r="AW49" s="8">
        <f t="shared" si="18"/>
        <v>0</v>
      </c>
      <c r="AX49" s="8">
        <f t="shared" si="18"/>
        <v>0</v>
      </c>
      <c r="AY49" s="8">
        <f t="shared" si="18"/>
        <v>0</v>
      </c>
      <c r="AZ49" s="8">
        <f t="shared" si="18"/>
        <v>0</v>
      </c>
      <c r="BA49" s="8">
        <f t="shared" si="18"/>
        <v>0</v>
      </c>
      <c r="BB49" s="8">
        <f t="shared" si="18"/>
        <v>0</v>
      </c>
      <c r="BC49" s="45"/>
      <c r="BF49" s="920" t="s">
        <v>786</v>
      </c>
      <c r="BG49" s="920"/>
      <c r="BH49" s="920"/>
      <c r="BI49" s="921"/>
      <c r="BJ49" s="921"/>
    </row>
    <row r="50" spans="1:62" s="160" customFormat="1" ht="14.25" hidden="1" customHeight="1">
      <c r="E50" s="716">
        <v>15</v>
      </c>
      <c r="F50" s="714">
        <f t="shared" ca="1" si="6"/>
        <v>0</v>
      </c>
      <c r="T50" s="733" t="b">
        <f ca="1">T49</f>
        <v>0</v>
      </c>
      <c r="X50" s="1482"/>
      <c r="Z50" s="1482"/>
      <c r="AB50" s="433" t="s">
        <v>377</v>
      </c>
      <c r="AC50" s="524" t="s">
        <v>750</v>
      </c>
      <c r="AD50" s="1019" t="s">
        <v>787</v>
      </c>
      <c r="AE50" s="203">
        <f t="shared" ref="AE50:BB50" si="19">IF(AE49=0,0,AE47/AE49*1000)</f>
        <v>0</v>
      </c>
      <c r="AF50" s="203">
        <f t="shared" si="19"/>
        <v>0</v>
      </c>
      <c r="AG50" s="203">
        <f t="shared" si="19"/>
        <v>0</v>
      </c>
      <c r="AH50" s="203">
        <f t="shared" si="19"/>
        <v>0</v>
      </c>
      <c r="AI50" s="203">
        <f t="shared" si="19"/>
        <v>0</v>
      </c>
      <c r="AJ50" s="1063">
        <f t="shared" si="19"/>
        <v>0</v>
      </c>
      <c r="AK50" s="1063">
        <f t="shared" si="19"/>
        <v>0</v>
      </c>
      <c r="AL50" s="1130">
        <f t="shared" si="19"/>
        <v>0</v>
      </c>
      <c r="AM50" s="1130">
        <f t="shared" si="19"/>
        <v>0</v>
      </c>
      <c r="AN50" s="1130">
        <f t="shared" si="19"/>
        <v>0</v>
      </c>
      <c r="AO50" s="1130">
        <f t="shared" si="19"/>
        <v>0</v>
      </c>
      <c r="AP50" s="1130">
        <f t="shared" si="19"/>
        <v>0</v>
      </c>
      <c r="AQ50" s="1130">
        <f t="shared" si="19"/>
        <v>0</v>
      </c>
      <c r="AR50" s="1130">
        <f t="shared" si="19"/>
        <v>0</v>
      </c>
      <c r="AS50" s="203">
        <f t="shared" si="19"/>
        <v>0</v>
      </c>
      <c r="AT50" s="1063">
        <f t="shared" si="19"/>
        <v>0</v>
      </c>
      <c r="AU50" s="1063">
        <f t="shared" si="19"/>
        <v>0</v>
      </c>
      <c r="AV50" s="1130">
        <f t="shared" si="19"/>
        <v>0</v>
      </c>
      <c r="AW50" s="1130">
        <f t="shared" si="19"/>
        <v>0</v>
      </c>
      <c r="AX50" s="1130">
        <f t="shared" si="19"/>
        <v>0</v>
      </c>
      <c r="AY50" s="1130">
        <f t="shared" si="19"/>
        <v>0</v>
      </c>
      <c r="AZ50" s="1130">
        <f t="shared" si="19"/>
        <v>0</v>
      </c>
      <c r="BA50" s="1130">
        <f t="shared" si="19"/>
        <v>0</v>
      </c>
      <c r="BB50" s="1130">
        <f t="shared" si="19"/>
        <v>0</v>
      </c>
      <c r="BC50" s="1134"/>
      <c r="BF50" s="920" t="s">
        <v>788</v>
      </c>
      <c r="BG50" s="920"/>
      <c r="BH50" s="920"/>
      <c r="BI50" s="921"/>
      <c r="BJ50" s="921"/>
    </row>
    <row r="51" spans="1:62" s="160" customFormat="1" ht="14.65" hidden="1" customHeight="1">
      <c r="E51" s="716">
        <v>15</v>
      </c>
      <c r="F51" s="714">
        <f t="shared" ca="1" si="6"/>
        <v>0</v>
      </c>
      <c r="T51" s="715" t="b">
        <f ca="1">T49</f>
        <v>0</v>
      </c>
      <c r="X51" s="1482"/>
      <c r="Z51" s="1482"/>
      <c r="AB51" s="153" t="s">
        <v>373</v>
      </c>
      <c r="AC51" s="264" t="s">
        <v>756</v>
      </c>
      <c r="AD51" s="265"/>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847"/>
      <c r="BF51" s="920"/>
      <c r="BG51" s="920"/>
      <c r="BH51" s="920"/>
      <c r="BI51" s="921"/>
      <c r="BJ51" s="921"/>
    </row>
    <row r="52" spans="1:62" s="160" customFormat="1" ht="17.25" hidden="1" customHeight="1">
      <c r="E52" s="716">
        <v>0</v>
      </c>
      <c r="F52" s="714">
        <f t="shared" ca="1" si="6"/>
        <v>0</v>
      </c>
      <c r="T52" s="715" t="b">
        <f ca="1">T51</f>
        <v>0</v>
      </c>
      <c r="X52" s="1482"/>
      <c r="Z52" s="1482"/>
      <c r="AB52" s="220"/>
      <c r="AC52" s="215"/>
      <c r="AD52" s="463"/>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27"/>
      <c r="BF52" s="920"/>
      <c r="BG52" s="920"/>
      <c r="BH52" s="920"/>
      <c r="BI52" s="921"/>
      <c r="BJ52" s="921"/>
    </row>
    <row r="53" spans="1:62" s="160" customFormat="1" ht="14.65" hidden="1" customHeight="1">
      <c r="A53" s="970" t="str">
        <f ca="1">"checkCosts_4."&amp;F53&amp;"."&amp;Y53</f>
        <v>checkCosts_4.0.0</v>
      </c>
      <c r="E53" s="716">
        <v>15</v>
      </c>
      <c r="F53" s="714">
        <f t="shared" ca="1" si="6"/>
        <v>0</v>
      </c>
      <c r="H53" s="94">
        <f>AC53</f>
        <v>0</v>
      </c>
      <c r="I53" s="152" t="s">
        <v>743</v>
      </c>
      <c r="S53" s="1482"/>
      <c r="T53" s="715" t="b">
        <f ca="1">AND(F53&gt;0,Y53&gt;0)</f>
        <v>0</v>
      </c>
      <c r="W53" s="109" t="s">
        <v>170</v>
      </c>
      <c r="X53" s="1482"/>
      <c r="Y53" s="1367">
        <v>0</v>
      </c>
      <c r="Z53" s="1482"/>
      <c r="AA53" s="1483" t="s">
        <v>157</v>
      </c>
      <c r="AB53" s="222" t="str">
        <f>"2.1."&amp;Y53</f>
        <v>2.1.0</v>
      </c>
      <c r="AC53" s="460"/>
      <c r="AD53" s="464" t="s">
        <v>648</v>
      </c>
      <c r="AE53" s="1135">
        <f>AE55*AE56/1000</f>
        <v>0</v>
      </c>
      <c r="AF53" s="11"/>
      <c r="AG53" s="11"/>
      <c r="AH53" s="1135">
        <f>AH55*AH56/1000</f>
        <v>0</v>
      </c>
      <c r="AI53" s="217"/>
      <c r="AJ53" s="1065"/>
      <c r="AK53" s="1065"/>
      <c r="AL53" s="11"/>
      <c r="AM53" s="11"/>
      <c r="AN53" s="11"/>
      <c r="AO53" s="11"/>
      <c r="AP53" s="11"/>
      <c r="AQ53" s="11"/>
      <c r="AR53" s="11"/>
      <c r="AS53" s="1136">
        <f t="shared" ref="AS53:BB53" si="20">AS55*AS56/1000</f>
        <v>0</v>
      </c>
      <c r="AT53" s="1136">
        <f t="shared" si="20"/>
        <v>0</v>
      </c>
      <c r="AU53" s="1136">
        <f t="shared" si="20"/>
        <v>0</v>
      </c>
      <c r="AV53" s="1135">
        <f t="shared" si="20"/>
        <v>0</v>
      </c>
      <c r="AW53" s="1135">
        <f t="shared" si="20"/>
        <v>0</v>
      </c>
      <c r="AX53" s="1135">
        <f t="shared" si="20"/>
        <v>0</v>
      </c>
      <c r="AY53" s="1135">
        <f t="shared" si="20"/>
        <v>0</v>
      </c>
      <c r="AZ53" s="1135">
        <f t="shared" si="20"/>
        <v>0</v>
      </c>
      <c r="BA53" s="1135">
        <f t="shared" si="20"/>
        <v>0</v>
      </c>
      <c r="BB53" s="1135">
        <f t="shared" si="20"/>
        <v>0</v>
      </c>
      <c r="BC53" s="46"/>
      <c r="BF53" s="920" t="s">
        <v>789</v>
      </c>
      <c r="BG53" s="920" t="s">
        <v>790</v>
      </c>
      <c r="BH53" s="920">
        <f>AC53</f>
        <v>0</v>
      </c>
      <c r="BI53" s="921"/>
      <c r="BJ53" s="921"/>
    </row>
    <row r="54" spans="1:62" s="160" customFormat="1" ht="14.65" hidden="1" customHeight="1">
      <c r="E54" s="716">
        <v>15</v>
      </c>
      <c r="F54" s="714">
        <f t="shared" ca="1" si="6"/>
        <v>0</v>
      </c>
      <c r="L54" s="150" t="str">
        <f ca="1">INDEX('Общие сведения'!$AK$169:$AK$202,MATCH($F54,'Общие сведения'!$Z$169:$Z$202,0))</f>
        <v>одноставочный</v>
      </c>
      <c r="R54" s="130" t="s">
        <v>781</v>
      </c>
      <c r="S54" s="1482"/>
      <c r="T54" s="715" t="b">
        <f ca="1">AND(T53,L54="двухставочный")</f>
        <v>0</v>
      </c>
      <c r="X54" s="1482"/>
      <c r="Y54" s="1482"/>
      <c r="Z54" s="1482"/>
      <c r="AA54" s="1483"/>
      <c r="AB54" s="222"/>
      <c r="AC54" s="455" t="s">
        <v>783</v>
      </c>
      <c r="AD54" s="464" t="s">
        <v>648</v>
      </c>
      <c r="AE54" s="15"/>
      <c r="AF54" s="15"/>
      <c r="AG54" s="15"/>
      <c r="AH54" s="15"/>
      <c r="AI54" s="465"/>
      <c r="AJ54" s="1133"/>
      <c r="AK54" s="1133"/>
      <c r="AL54" s="15"/>
      <c r="AM54" s="15"/>
      <c r="AN54" s="15"/>
      <c r="AO54" s="15"/>
      <c r="AP54" s="15"/>
      <c r="AQ54" s="15"/>
      <c r="AR54" s="15"/>
      <c r="AS54" s="465"/>
      <c r="AT54" s="1133"/>
      <c r="AU54" s="1133"/>
      <c r="AV54" s="15"/>
      <c r="AW54" s="15"/>
      <c r="AX54" s="15"/>
      <c r="AY54" s="15"/>
      <c r="AZ54" s="15"/>
      <c r="BA54" s="15"/>
      <c r="BB54" s="15"/>
      <c r="BC54" s="47"/>
      <c r="BF54" s="920" t="s">
        <v>791</v>
      </c>
      <c r="BG54" s="920" t="s">
        <v>790</v>
      </c>
      <c r="BH54" s="920">
        <f>BH53</f>
        <v>0</v>
      </c>
      <c r="BI54" s="921"/>
      <c r="BJ54" s="921"/>
    </row>
    <row r="55" spans="1:62" s="160" customFormat="1" ht="14.25" hidden="1" customHeight="1">
      <c r="E55" s="716">
        <v>15</v>
      </c>
      <c r="F55" s="714">
        <f t="shared" ca="1" si="6"/>
        <v>0</v>
      </c>
      <c r="H55" s="1018">
        <f>H53</f>
        <v>0</v>
      </c>
      <c r="S55" s="1482"/>
      <c r="T55" s="733" t="b">
        <f ca="1">T53</f>
        <v>0</v>
      </c>
      <c r="X55" s="1482"/>
      <c r="Y55" s="1482"/>
      <c r="Z55" s="1482"/>
      <c r="AA55" s="1483"/>
      <c r="AB55" s="408" t="str">
        <f>AB53&amp;".1"</f>
        <v>2.1.0.1</v>
      </c>
      <c r="AC55" s="455" t="s">
        <v>759</v>
      </c>
      <c r="AD55" s="1019" t="s">
        <v>787</v>
      </c>
      <c r="AE55" s="1137"/>
      <c r="AF55" s="510">
        <f>IF(AF56=0,0,AF53/AF56*1000)</f>
        <v>0</v>
      </c>
      <c r="AG55" s="510">
        <f>IF(AG56=0,0,AG53/AG56*1000)</f>
        <v>0</v>
      </c>
      <c r="AH55" s="1137"/>
      <c r="AI55" s="510">
        <f t="shared" ref="AI55:AR55" si="21">IF(AI56=0,0,AI53/AI56*1000)</f>
        <v>0</v>
      </c>
      <c r="AJ55" s="1138">
        <f t="shared" si="21"/>
        <v>0</v>
      </c>
      <c r="AK55" s="1138">
        <f t="shared" si="21"/>
        <v>0</v>
      </c>
      <c r="AL55" s="510">
        <f t="shared" si="21"/>
        <v>0</v>
      </c>
      <c r="AM55" s="510">
        <f t="shared" si="21"/>
        <v>0</v>
      </c>
      <c r="AN55" s="510">
        <f t="shared" si="21"/>
        <v>0</v>
      </c>
      <c r="AO55" s="510">
        <f t="shared" si="21"/>
        <v>0</v>
      </c>
      <c r="AP55" s="510">
        <f t="shared" si="21"/>
        <v>0</v>
      </c>
      <c r="AQ55" s="510">
        <f t="shared" si="21"/>
        <v>0</v>
      </c>
      <c r="AR55" s="510">
        <f t="shared" si="21"/>
        <v>0</v>
      </c>
      <c r="AS55" s="465"/>
      <c r="AT55" s="1133"/>
      <c r="AU55" s="1133"/>
      <c r="AV55" s="1137"/>
      <c r="AW55" s="1137"/>
      <c r="AX55" s="1137"/>
      <c r="AY55" s="1137"/>
      <c r="AZ55" s="1137"/>
      <c r="BA55" s="1137"/>
      <c r="BB55" s="1137"/>
      <c r="BC55" s="1131"/>
      <c r="BF55" s="920" t="s">
        <v>792</v>
      </c>
      <c r="BG55" s="920" t="s">
        <v>790</v>
      </c>
      <c r="BH55" s="920">
        <f>BH54</f>
        <v>0</v>
      </c>
      <c r="BI55" s="921"/>
      <c r="BJ55" s="921"/>
    </row>
    <row r="56" spans="1:62" s="160" customFormat="1" ht="14.65" hidden="1" customHeight="1">
      <c r="A56" s="970" t="str">
        <f ca="1">"checkVolume_4."&amp;F56&amp;"."&amp;Y53</f>
        <v>checkVolume_4.0.0</v>
      </c>
      <c r="E56" s="716">
        <v>15</v>
      </c>
      <c r="F56" s="714">
        <f t="shared" ca="1" si="6"/>
        <v>0</v>
      </c>
      <c r="H56" s="94">
        <f>H53</f>
        <v>0</v>
      </c>
      <c r="S56" s="1482"/>
      <c r="T56" s="715" t="b">
        <f ca="1">T53</f>
        <v>0</v>
      </c>
      <c r="X56" s="1482"/>
      <c r="Y56" s="1482"/>
      <c r="Z56" s="1482"/>
      <c r="AA56" s="1483"/>
      <c r="AB56" s="222" t="str">
        <f>AB53&amp;".2"</f>
        <v>2.1.0.2</v>
      </c>
      <c r="AC56" s="455" t="s">
        <v>793</v>
      </c>
      <c r="AD56" s="93" t="s">
        <v>598</v>
      </c>
      <c r="AE56" s="15"/>
      <c r="AF56" s="15"/>
      <c r="AG56" s="15"/>
      <c r="AH56" s="15"/>
      <c r="AI56" s="465"/>
      <c r="AJ56" s="1133"/>
      <c r="AK56" s="1133"/>
      <c r="AL56" s="15"/>
      <c r="AM56" s="15"/>
      <c r="AN56" s="15"/>
      <c r="AO56" s="15"/>
      <c r="AP56" s="15"/>
      <c r="AQ56" s="15"/>
      <c r="AR56" s="15"/>
      <c r="AS56" s="465"/>
      <c r="AT56" s="1133"/>
      <c r="AU56" s="1133"/>
      <c r="AV56" s="15"/>
      <c r="AW56" s="15"/>
      <c r="AX56" s="15"/>
      <c r="AY56" s="15"/>
      <c r="AZ56" s="15"/>
      <c r="BA56" s="15"/>
      <c r="BB56" s="15"/>
      <c r="BC56" s="22"/>
      <c r="BF56" s="920" t="s">
        <v>794</v>
      </c>
      <c r="BG56" s="920" t="s">
        <v>790</v>
      </c>
      <c r="BH56" s="920">
        <f>BH54</f>
        <v>0</v>
      </c>
      <c r="BI56" s="921"/>
      <c r="BJ56" s="921"/>
    </row>
    <row r="57" spans="1:62" s="160" customFormat="1" ht="14.65" hidden="1" customHeight="1">
      <c r="E57" s="716">
        <v>15</v>
      </c>
      <c r="F57" s="714">
        <f t="shared" ca="1" si="6"/>
        <v>0</v>
      </c>
      <c r="T57" s="715" t="b">
        <f ca="1">F57&gt;0</f>
        <v>0</v>
      </c>
      <c r="W57" s="291" t="s">
        <v>795</v>
      </c>
      <c r="X57" s="1482"/>
      <c r="Z57" s="1482"/>
      <c r="AB57" s="644"/>
      <c r="AC57" s="453" t="s">
        <v>796</v>
      </c>
      <c r="AD57" s="453"/>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850"/>
      <c r="BF57" s="920"/>
      <c r="BG57" s="920"/>
      <c r="BH57" s="920"/>
      <c r="BI57" s="921" t="s">
        <v>790</v>
      </c>
      <c r="BJ57" s="921"/>
    </row>
    <row r="58" spans="1:62" s="160" customFormat="1" ht="14.65" hidden="1" customHeight="1">
      <c r="E58" s="716">
        <v>15</v>
      </c>
      <c r="F58" s="714">
        <f t="shared" ca="1" si="6"/>
        <v>0</v>
      </c>
      <c r="T58" s="715" t="b">
        <f ca="1">F58&gt;0</f>
        <v>0</v>
      </c>
      <c r="X58" s="1482"/>
      <c r="Z58" s="1482"/>
      <c r="AB58" s="153" t="s">
        <v>377</v>
      </c>
      <c r="AC58" s="264" t="s">
        <v>765</v>
      </c>
      <c r="AD58" s="265"/>
      <c r="AE58" s="266"/>
      <c r="AF58" s="266"/>
      <c r="AG58" s="266"/>
      <c r="AH58" s="266"/>
      <c r="AI58" s="266"/>
      <c r="AJ58" s="266"/>
      <c r="AK58" s="266"/>
      <c r="AL58" s="266"/>
      <c r="AM58" s="266"/>
      <c r="AN58" s="266"/>
      <c r="AO58" s="266"/>
      <c r="AP58" s="266"/>
      <c r="AQ58" s="266"/>
      <c r="AR58" s="266"/>
      <c r="AS58" s="266"/>
      <c r="AT58" s="266"/>
      <c r="AU58" s="266"/>
      <c r="AV58" s="266"/>
      <c r="AW58" s="266"/>
      <c r="AX58" s="266"/>
      <c r="AY58" s="266"/>
      <c r="AZ58" s="266"/>
      <c r="BA58" s="266"/>
      <c r="BB58" s="266"/>
      <c r="BC58" s="847"/>
      <c r="BF58" s="920"/>
      <c r="BG58" s="920"/>
      <c r="BH58" s="920"/>
      <c r="BI58" s="921"/>
      <c r="BJ58" s="921"/>
    </row>
    <row r="59" spans="1:62" s="160" customFormat="1" ht="17.25" hidden="1" customHeight="1">
      <c r="E59" s="716">
        <v>0</v>
      </c>
      <c r="F59" s="714">
        <f t="shared" ca="1" si="6"/>
        <v>0</v>
      </c>
      <c r="T59" s="715" t="b">
        <f ca="1">F59&gt;0</f>
        <v>0</v>
      </c>
      <c r="X59" s="1482"/>
      <c r="Z59" s="1482"/>
      <c r="AB59" s="220"/>
      <c r="AC59" s="215"/>
      <c r="AD59" s="214"/>
      <c r="AE59" s="452"/>
      <c r="AF59" s="452"/>
      <c r="AG59" s="452"/>
      <c r="AH59" s="452"/>
      <c r="AI59" s="452"/>
      <c r="AJ59" s="452"/>
      <c r="AK59" s="452"/>
      <c r="AL59" s="452"/>
      <c r="AM59" s="452"/>
      <c r="AN59" s="452"/>
      <c r="AO59" s="452"/>
      <c r="AP59" s="452"/>
      <c r="AQ59" s="452"/>
      <c r="AR59" s="452"/>
      <c r="AS59" s="452"/>
      <c r="AT59" s="452"/>
      <c r="AU59" s="452"/>
      <c r="AV59" s="452"/>
      <c r="AW59" s="452"/>
      <c r="AX59" s="452"/>
      <c r="AY59" s="452"/>
      <c r="AZ59" s="452"/>
      <c r="BA59" s="452"/>
      <c r="BB59" s="452"/>
      <c r="BC59" s="45"/>
      <c r="BF59" s="920"/>
      <c r="BG59" s="920"/>
      <c r="BH59" s="920"/>
      <c r="BI59" s="921"/>
      <c r="BJ59" s="921"/>
    </row>
    <row r="60" spans="1:62" s="160" customFormat="1" ht="14.65" hidden="1" customHeight="1">
      <c r="E60" s="716">
        <v>15</v>
      </c>
      <c r="F60" s="714">
        <f t="shared" ca="1" si="6"/>
        <v>0</v>
      </c>
      <c r="H60" s="94">
        <f>AC60</f>
        <v>0</v>
      </c>
      <c r="I60" s="94" t="s">
        <v>743</v>
      </c>
      <c r="S60" s="1482"/>
      <c r="T60" s="715" t="b">
        <f ca="1">AND(F60&gt;0,Y60&gt;0)</f>
        <v>0</v>
      </c>
      <c r="W60" s="109" t="s">
        <v>170</v>
      </c>
      <c r="X60" s="1482"/>
      <c r="Y60" s="1367">
        <v>0</v>
      </c>
      <c r="Z60" s="1482"/>
      <c r="AA60" s="1483" t="s">
        <v>157</v>
      </c>
      <c r="AB60" s="93" t="str">
        <f>"2.3."&amp;Y60</f>
        <v>2.3.0</v>
      </c>
      <c r="AC60" s="460"/>
      <c r="AD60" s="93" t="s">
        <v>648</v>
      </c>
      <c r="AE60" s="456">
        <f t="shared" ref="AE60:BB60" si="22">AE63+AE65</f>
        <v>0</v>
      </c>
      <c r="AF60" s="456">
        <f t="shared" si="22"/>
        <v>0</v>
      </c>
      <c r="AG60" s="456">
        <f t="shared" si="22"/>
        <v>0</v>
      </c>
      <c r="AH60" s="456">
        <f t="shared" si="22"/>
        <v>0</v>
      </c>
      <c r="AI60" s="456">
        <f t="shared" si="22"/>
        <v>0</v>
      </c>
      <c r="AJ60" s="1067">
        <f t="shared" si="22"/>
        <v>0</v>
      </c>
      <c r="AK60" s="1067">
        <f t="shared" si="22"/>
        <v>0</v>
      </c>
      <c r="AL60" s="14">
        <f t="shared" si="22"/>
        <v>0</v>
      </c>
      <c r="AM60" s="14">
        <f t="shared" si="22"/>
        <v>0</v>
      </c>
      <c r="AN60" s="14">
        <f t="shared" si="22"/>
        <v>0</v>
      </c>
      <c r="AO60" s="14">
        <f t="shared" si="22"/>
        <v>0</v>
      </c>
      <c r="AP60" s="14">
        <f t="shared" si="22"/>
        <v>0</v>
      </c>
      <c r="AQ60" s="14">
        <f t="shared" si="22"/>
        <v>0</v>
      </c>
      <c r="AR60" s="14">
        <f t="shared" si="22"/>
        <v>0</v>
      </c>
      <c r="AS60" s="456">
        <f t="shared" si="22"/>
        <v>0</v>
      </c>
      <c r="AT60" s="1067">
        <f t="shared" si="22"/>
        <v>0</v>
      </c>
      <c r="AU60" s="1067">
        <f t="shared" si="22"/>
        <v>0</v>
      </c>
      <c r="AV60" s="14">
        <f t="shared" si="22"/>
        <v>0</v>
      </c>
      <c r="AW60" s="14">
        <f t="shared" si="22"/>
        <v>0</v>
      </c>
      <c r="AX60" s="14">
        <f t="shared" si="22"/>
        <v>0</v>
      </c>
      <c r="AY60" s="14">
        <f t="shared" si="22"/>
        <v>0</v>
      </c>
      <c r="AZ60" s="14">
        <f t="shared" si="22"/>
        <v>0</v>
      </c>
      <c r="BA60" s="14">
        <f t="shared" si="22"/>
        <v>0</v>
      </c>
      <c r="BB60" s="14">
        <f t="shared" si="22"/>
        <v>0</v>
      </c>
      <c r="BC60" s="26"/>
      <c r="BF60" s="920" t="s">
        <v>789</v>
      </c>
      <c r="BG60" s="920" t="s">
        <v>797</v>
      </c>
      <c r="BH60" s="920">
        <f>AC60</f>
        <v>0</v>
      </c>
      <c r="BI60" s="921"/>
      <c r="BJ60" s="921"/>
    </row>
    <row r="61" spans="1:62" s="160" customFormat="1" ht="14.65" hidden="1" customHeight="1">
      <c r="E61" s="716">
        <v>15</v>
      </c>
      <c r="F61" s="714">
        <f t="shared" ca="1" si="6"/>
        <v>0</v>
      </c>
      <c r="L61" s="150" t="str">
        <f ca="1">INDEX('Общие сведения'!$AK$169:$AK$202,MATCH($F61,'Общие сведения'!$Z$169:$Z$202,0))</f>
        <v>одноставочный</v>
      </c>
      <c r="R61" s="130" t="s">
        <v>781</v>
      </c>
      <c r="S61" s="1482"/>
      <c r="T61" s="715" t="b">
        <f ca="1">AND(T60,L61="двухставочный")</f>
        <v>0</v>
      </c>
      <c r="X61" s="1482"/>
      <c r="Y61" s="1482"/>
      <c r="Z61" s="1482"/>
      <c r="AA61" s="1483"/>
      <c r="AB61" s="222"/>
      <c r="AC61" s="455" t="s">
        <v>783</v>
      </c>
      <c r="AD61" s="464" t="s">
        <v>648</v>
      </c>
      <c r="AE61" s="15"/>
      <c r="AF61" s="15"/>
      <c r="AG61" s="15"/>
      <c r="AH61" s="15"/>
      <c r="AI61" s="465"/>
      <c r="AJ61" s="1133"/>
      <c r="AK61" s="1133"/>
      <c r="AL61" s="15"/>
      <c r="AM61" s="15"/>
      <c r="AN61" s="15"/>
      <c r="AO61" s="15"/>
      <c r="AP61" s="15"/>
      <c r="AQ61" s="15"/>
      <c r="AR61" s="15"/>
      <c r="AS61" s="465"/>
      <c r="AT61" s="1133"/>
      <c r="AU61" s="1133"/>
      <c r="AV61" s="15"/>
      <c r="AW61" s="15"/>
      <c r="AX61" s="15"/>
      <c r="AY61" s="15"/>
      <c r="AZ61" s="15"/>
      <c r="BA61" s="15"/>
      <c r="BB61" s="15"/>
      <c r="BC61" s="47"/>
      <c r="BF61" s="920" t="s">
        <v>791</v>
      </c>
      <c r="BG61" s="920" t="s">
        <v>797</v>
      </c>
      <c r="BH61" s="920">
        <f>BH60</f>
        <v>0</v>
      </c>
      <c r="BI61" s="921"/>
      <c r="BJ61" s="921"/>
    </row>
    <row r="62" spans="1:62" s="160" customFormat="1" ht="14.25" hidden="1" customHeight="1">
      <c r="E62" s="716">
        <v>15</v>
      </c>
      <c r="F62" s="714">
        <f t="shared" ca="1" si="6"/>
        <v>0</v>
      </c>
      <c r="H62" s="160">
        <f>H60</f>
        <v>0</v>
      </c>
      <c r="S62" s="1482"/>
      <c r="T62" s="733" t="b">
        <f ca="1">T60</f>
        <v>0</v>
      </c>
      <c r="X62" s="1482"/>
      <c r="Y62" s="1482"/>
      <c r="Z62" s="1482"/>
      <c r="AA62" s="1483"/>
      <c r="AB62" s="408" t="str">
        <f>AB60&amp;".1"</f>
        <v>2.3.0.1</v>
      </c>
      <c r="AC62" s="455" t="s">
        <v>759</v>
      </c>
      <c r="AD62" s="1019" t="s">
        <v>787</v>
      </c>
      <c r="AE62" s="1139"/>
      <c r="AF62" s="456">
        <f>IF(AF64=0,0,AF63/AF64*1000)</f>
        <v>0</v>
      </c>
      <c r="AG62" s="456">
        <f>IF(AG64=0,0,AG63/AG64*1000)</f>
        <v>0</v>
      </c>
      <c r="AH62" s="1139"/>
      <c r="AI62" s="456">
        <f t="shared" ref="AI62:AR62" si="23">IF(AI64=0,0,AI63/AI64*1000)</f>
        <v>0</v>
      </c>
      <c r="AJ62" s="1140">
        <f t="shared" si="23"/>
        <v>0</v>
      </c>
      <c r="AK62" s="1140">
        <f t="shared" si="23"/>
        <v>0</v>
      </c>
      <c r="AL62" s="456">
        <f t="shared" si="23"/>
        <v>0</v>
      </c>
      <c r="AM62" s="456">
        <f t="shared" si="23"/>
        <v>0</v>
      </c>
      <c r="AN62" s="456">
        <f t="shared" si="23"/>
        <v>0</v>
      </c>
      <c r="AO62" s="456">
        <f t="shared" si="23"/>
        <v>0</v>
      </c>
      <c r="AP62" s="456">
        <f t="shared" si="23"/>
        <v>0</v>
      </c>
      <c r="AQ62" s="456">
        <f t="shared" si="23"/>
        <v>0</v>
      </c>
      <c r="AR62" s="456">
        <f t="shared" si="23"/>
        <v>0</v>
      </c>
      <c r="AS62" s="796"/>
      <c r="AT62" s="1067"/>
      <c r="AU62" s="1067"/>
      <c r="AV62" s="1139"/>
      <c r="AW62" s="1139"/>
      <c r="AX62" s="1139"/>
      <c r="AY62" s="1139"/>
      <c r="AZ62" s="1139"/>
      <c r="BA62" s="1139"/>
      <c r="BB62" s="1139"/>
      <c r="BC62" s="1131"/>
      <c r="BF62" s="920" t="s">
        <v>792</v>
      </c>
      <c r="BG62" s="920" t="s">
        <v>797</v>
      </c>
      <c r="BH62" s="920">
        <f>BH61</f>
        <v>0</v>
      </c>
      <c r="BI62" s="921"/>
      <c r="BJ62" s="921"/>
    </row>
    <row r="63" spans="1:62" s="160" customFormat="1" ht="14.65" hidden="1" customHeight="1">
      <c r="A63" s="970" t="str">
        <f ca="1">"checkCosts_5."&amp;F63&amp;"."&amp;Y60</f>
        <v>checkCosts_5.0.0</v>
      </c>
      <c r="E63" s="716">
        <v>15</v>
      </c>
      <c r="F63" s="714">
        <f t="shared" ca="1" si="6"/>
        <v>0</v>
      </c>
      <c r="S63" s="1482"/>
      <c r="T63" s="715" t="b">
        <f ca="1">T60</f>
        <v>0</v>
      </c>
      <c r="X63" s="1482"/>
      <c r="Y63" s="1482"/>
      <c r="Z63" s="1482"/>
      <c r="AA63" s="1483"/>
      <c r="AB63" s="222" t="str">
        <f>AB60&amp;".2"</f>
        <v>2.3.0.2</v>
      </c>
      <c r="AC63" s="455" t="s">
        <v>798</v>
      </c>
      <c r="AD63" s="93" t="s">
        <v>648</v>
      </c>
      <c r="AE63" s="14"/>
      <c r="AF63" s="14"/>
      <c r="AG63" s="14"/>
      <c r="AH63" s="14"/>
      <c r="AI63" s="451"/>
      <c r="AJ63" s="1067"/>
      <c r="AK63" s="1067"/>
      <c r="AL63" s="14"/>
      <c r="AM63" s="14"/>
      <c r="AN63" s="14"/>
      <c r="AO63" s="14"/>
      <c r="AP63" s="14"/>
      <c r="AQ63" s="14"/>
      <c r="AR63" s="14"/>
      <c r="AS63" s="451"/>
      <c r="AT63" s="1067"/>
      <c r="AU63" s="1067"/>
      <c r="AV63" s="14"/>
      <c r="AW63" s="14"/>
      <c r="AX63" s="14"/>
      <c r="AY63" s="14"/>
      <c r="AZ63" s="14"/>
      <c r="BA63" s="14"/>
      <c r="BB63" s="14"/>
      <c r="BC63" s="22"/>
      <c r="BF63" s="920" t="s">
        <v>799</v>
      </c>
      <c r="BG63" s="920" t="s">
        <v>797</v>
      </c>
      <c r="BH63" s="920">
        <f>BH61</f>
        <v>0</v>
      </c>
      <c r="BI63" s="921"/>
      <c r="BJ63" s="921"/>
    </row>
    <row r="64" spans="1:62" s="160" customFormat="1" ht="14.65" hidden="1" customHeight="1">
      <c r="A64" s="970" t="str">
        <f ca="1">"checkVolume_5."&amp;F64&amp;"."&amp;Y60</f>
        <v>checkVolume_5.0.0</v>
      </c>
      <c r="E64" s="716">
        <v>15</v>
      </c>
      <c r="F64" s="714">
        <f t="shared" ca="1" si="6"/>
        <v>0</v>
      </c>
      <c r="S64" s="1482"/>
      <c r="T64" s="715" t="b">
        <f ca="1">T63</f>
        <v>0</v>
      </c>
      <c r="X64" s="1482"/>
      <c r="Y64" s="1482"/>
      <c r="Z64" s="1482"/>
      <c r="AA64" s="1483"/>
      <c r="AB64" s="318" t="str">
        <f>AB63&amp;".1"</f>
        <v>2.3.0.2.1</v>
      </c>
      <c r="AC64" s="461" t="s">
        <v>793</v>
      </c>
      <c r="AD64" s="93" t="s">
        <v>598</v>
      </c>
      <c r="AE64" s="14"/>
      <c r="AF64" s="14"/>
      <c r="AG64" s="14"/>
      <c r="AH64" s="14"/>
      <c r="AI64" s="451"/>
      <c r="AJ64" s="1067"/>
      <c r="AK64" s="1067"/>
      <c r="AL64" s="14"/>
      <c r="AM64" s="14"/>
      <c r="AN64" s="14"/>
      <c r="AO64" s="14"/>
      <c r="AP64" s="14"/>
      <c r="AQ64" s="14"/>
      <c r="AR64" s="14"/>
      <c r="AS64" s="451"/>
      <c r="AT64" s="1067"/>
      <c r="AU64" s="1067"/>
      <c r="AV64" s="14"/>
      <c r="AW64" s="14"/>
      <c r="AX64" s="14"/>
      <c r="AY64" s="14"/>
      <c r="AZ64" s="14"/>
      <c r="BA64" s="14"/>
      <c r="BB64" s="14"/>
      <c r="BC64" s="22"/>
      <c r="BF64" s="920" t="s">
        <v>800</v>
      </c>
      <c r="BG64" s="920" t="s">
        <v>797</v>
      </c>
      <c r="BH64" s="920">
        <f>BH63</f>
        <v>0</v>
      </c>
      <c r="BI64" s="921"/>
      <c r="BJ64" s="921"/>
    </row>
    <row r="65" spans="1:62" s="160" customFormat="1" ht="14.65" hidden="1" customHeight="1">
      <c r="A65" s="970" t="str">
        <f ca="1">"checkCosts_6."&amp;F65&amp;"."&amp;Y60</f>
        <v>checkCosts_6.0.0</v>
      </c>
      <c r="E65" s="716">
        <v>15</v>
      </c>
      <c r="F65" s="714">
        <f t="shared" ca="1" si="6"/>
        <v>0</v>
      </c>
      <c r="S65" s="1482"/>
      <c r="T65" s="715" t="b">
        <f ca="1">T64</f>
        <v>0</v>
      </c>
      <c r="X65" s="1482"/>
      <c r="Y65" s="1482"/>
      <c r="Z65" s="1482"/>
      <c r="AA65" s="1483"/>
      <c r="AB65" s="222" t="str">
        <f>AB60&amp;".3"</f>
        <v>2.3.0.3</v>
      </c>
      <c r="AC65" s="455" t="s">
        <v>801</v>
      </c>
      <c r="AD65" s="93" t="s">
        <v>770</v>
      </c>
      <c r="AE65" s="14"/>
      <c r="AF65" s="14"/>
      <c r="AG65" s="14"/>
      <c r="AH65" s="14"/>
      <c r="AI65" s="451"/>
      <c r="AJ65" s="1067"/>
      <c r="AK65" s="1067"/>
      <c r="AL65" s="14"/>
      <c r="AM65" s="14"/>
      <c r="AN65" s="14"/>
      <c r="AO65" s="14"/>
      <c r="AP65" s="14"/>
      <c r="AQ65" s="14"/>
      <c r="AR65" s="14"/>
      <c r="AS65" s="451"/>
      <c r="AT65" s="1067"/>
      <c r="AU65" s="1067"/>
      <c r="AV65" s="14"/>
      <c r="AW65" s="14"/>
      <c r="AX65" s="14"/>
      <c r="AY65" s="14"/>
      <c r="AZ65" s="14"/>
      <c r="BA65" s="14"/>
      <c r="BB65" s="14"/>
      <c r="BC65" s="22"/>
      <c r="BF65" s="920" t="s">
        <v>802</v>
      </c>
      <c r="BG65" s="920" t="s">
        <v>797</v>
      </c>
      <c r="BH65" s="920">
        <f>BH64</f>
        <v>0</v>
      </c>
      <c r="BI65" s="921"/>
      <c r="BJ65" s="921"/>
    </row>
    <row r="66" spans="1:62" s="160" customFormat="1" ht="14.65" hidden="1" customHeight="1">
      <c r="A66" s="970" t="str">
        <f ca="1">"checkVolume_6."&amp;F66&amp;"."&amp;Y60</f>
        <v>checkVolume_6.0.0</v>
      </c>
      <c r="E66" s="716">
        <v>15</v>
      </c>
      <c r="F66" s="714">
        <f t="shared" ca="1" si="6"/>
        <v>0</v>
      </c>
      <c r="H66" s="94">
        <f>H60</f>
        <v>0</v>
      </c>
      <c r="S66" s="1482"/>
      <c r="T66" s="715" t="b">
        <f ca="1">T65</f>
        <v>0</v>
      </c>
      <c r="X66" s="1482"/>
      <c r="Y66" s="1482"/>
      <c r="Z66" s="1482"/>
      <c r="AA66" s="1483"/>
      <c r="AB66" s="318" t="str">
        <f>AB65&amp;".1"</f>
        <v>2.3.0.3.1</v>
      </c>
      <c r="AC66" s="462" t="s">
        <v>803</v>
      </c>
      <c r="AD66" s="93" t="s">
        <v>804</v>
      </c>
      <c r="AE66" s="14"/>
      <c r="AF66" s="14"/>
      <c r="AG66" s="14"/>
      <c r="AH66" s="14"/>
      <c r="AI66" s="451"/>
      <c r="AJ66" s="1067"/>
      <c r="AK66" s="1067"/>
      <c r="AL66" s="14"/>
      <c r="AM66" s="14"/>
      <c r="AN66" s="14"/>
      <c r="AO66" s="14"/>
      <c r="AP66" s="14"/>
      <c r="AQ66" s="14"/>
      <c r="AR66" s="14"/>
      <c r="AS66" s="451"/>
      <c r="AT66" s="1067"/>
      <c r="AU66" s="1067"/>
      <c r="AV66" s="14"/>
      <c r="AW66" s="14"/>
      <c r="AX66" s="14"/>
      <c r="AY66" s="14"/>
      <c r="AZ66" s="14"/>
      <c r="BA66" s="14"/>
      <c r="BB66" s="14"/>
      <c r="BC66" s="22"/>
      <c r="BF66" s="920" t="s">
        <v>805</v>
      </c>
      <c r="BG66" s="920" t="s">
        <v>797</v>
      </c>
      <c r="BH66" s="920">
        <f>BH65</f>
        <v>0</v>
      </c>
      <c r="BI66" s="921"/>
      <c r="BJ66" s="921"/>
    </row>
    <row r="67" spans="1:62" s="160" customFormat="1" ht="11.1" hidden="1" customHeight="1">
      <c r="E67" s="716">
        <v>11.4</v>
      </c>
      <c r="F67" s="714">
        <f t="shared" ca="1" si="6"/>
        <v>0</v>
      </c>
      <c r="T67" s="715" t="b">
        <f ca="1">F67&gt;0</f>
        <v>0</v>
      </c>
      <c r="W67" s="291" t="s">
        <v>806</v>
      </c>
      <c r="X67" s="1482"/>
      <c r="Z67" s="1482"/>
      <c r="AB67" s="454"/>
      <c r="AC67" s="442" t="s">
        <v>796</v>
      </c>
      <c r="AD67" s="442"/>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s="237"/>
      <c r="BA67" s="237"/>
      <c r="BB67" s="237"/>
      <c r="BC67" s="851"/>
      <c r="BF67" s="920"/>
      <c r="BG67" s="920"/>
      <c r="BH67" s="920"/>
      <c r="BI67" s="921" t="s">
        <v>797</v>
      </c>
      <c r="BJ67" s="921"/>
    </row>
    <row r="68" spans="1:62" s="751" customFormat="1" ht="18" customHeight="1">
      <c r="A68" s="152"/>
      <c r="B68" s="152"/>
      <c r="C68" s="152"/>
      <c r="D68" s="152"/>
      <c r="E68" s="629">
        <v>18.8</v>
      </c>
      <c r="F68" s="714" t="str">
        <f>X68</f>
        <v>1</v>
      </c>
      <c r="G68" s="152"/>
      <c r="H68" s="152"/>
      <c r="I68" s="152"/>
      <c r="J68" s="152"/>
      <c r="K68" s="150" t="str">
        <f>INDEX('Общие сведения'!$AL$169:$AL$202,MATCH($F68,'Общие сведения'!$Z$169:$Z$202,0))</f>
        <v>Производство теплоносителя</v>
      </c>
      <c r="L68" s="150" t="str">
        <f>INDEX('Общие сведения'!$AK$169:$AK$202,MATCH($F68,'Общие сведения'!$Z$169:$Z$202,0))</f>
        <v>одноставочный</v>
      </c>
      <c r="M68" s="152"/>
      <c r="N68" s="152"/>
      <c r="O68" s="152"/>
      <c r="P68" s="152"/>
      <c r="Q68" s="152"/>
      <c r="R68" s="152"/>
      <c r="S68" s="152"/>
      <c r="T68" s="634" t="b">
        <f>X68&gt;0</f>
        <v>1</v>
      </c>
      <c r="U68" s="152"/>
      <c r="V68" s="109" t="str">
        <f>'Топливо 4.4'!$AB$139</f>
        <v>Тариф 1 (Теплоснабжение) - Тарифы на теплоноситель (Не определено)</v>
      </c>
      <c r="W68" s="152"/>
      <c r="X68" s="1400" t="s">
        <v>247</v>
      </c>
      <c r="Y68" s="152"/>
      <c r="Z68" s="1412"/>
      <c r="AA68" s="152"/>
      <c r="AB68" s="200" t="str">
        <f>IF(ISBLANK('Топливо 4.4'!$AB$139),"",'Топливо 4.4'!$AB$139)</f>
        <v>Тариф 1 (Теплоснабжение) - Тарифы на теплоноситель (Не определено)</v>
      </c>
      <c r="AC68" s="197"/>
      <c r="AD68" s="191"/>
      <c r="AE68" s="297">
        <f t="shared" ref="AE68:BB68" si="24">AE69+AE88</f>
        <v>0</v>
      </c>
      <c r="AF68" s="297">
        <f t="shared" si="24"/>
        <v>0</v>
      </c>
      <c r="AG68" s="297">
        <f t="shared" si="24"/>
        <v>0</v>
      </c>
      <c r="AH68" s="297">
        <f t="shared" si="24"/>
        <v>0</v>
      </c>
      <c r="AI68" s="297">
        <f t="shared" si="24"/>
        <v>0</v>
      </c>
      <c r="AJ68" s="297">
        <f t="shared" si="24"/>
        <v>0</v>
      </c>
      <c r="AK68" s="297">
        <f t="shared" si="24"/>
        <v>0</v>
      </c>
      <c r="AL68" s="297">
        <f t="shared" si="24"/>
        <v>0</v>
      </c>
      <c r="AM68" s="297">
        <f t="shared" si="24"/>
        <v>0</v>
      </c>
      <c r="AN68" s="297">
        <f t="shared" si="24"/>
        <v>0</v>
      </c>
      <c r="AO68" s="297">
        <f t="shared" si="24"/>
        <v>0</v>
      </c>
      <c r="AP68" s="297">
        <f t="shared" si="24"/>
        <v>0</v>
      </c>
      <c r="AQ68" s="297">
        <f t="shared" si="24"/>
        <v>0</v>
      </c>
      <c r="AR68" s="297">
        <f t="shared" si="24"/>
        <v>0</v>
      </c>
      <c r="AS68" s="297">
        <f t="shared" si="24"/>
        <v>0</v>
      </c>
      <c r="AT68" s="297">
        <f t="shared" si="24"/>
        <v>0</v>
      </c>
      <c r="AU68" s="297">
        <f t="shared" si="24"/>
        <v>0</v>
      </c>
      <c r="AV68" s="297">
        <f t="shared" si="24"/>
        <v>0</v>
      </c>
      <c r="AW68" s="297">
        <f t="shared" si="24"/>
        <v>0</v>
      </c>
      <c r="AX68" s="297">
        <f t="shared" si="24"/>
        <v>0</v>
      </c>
      <c r="AY68" s="297">
        <f t="shared" si="24"/>
        <v>0</v>
      </c>
      <c r="AZ68" s="297">
        <f t="shared" si="24"/>
        <v>0</v>
      </c>
      <c r="BA68" s="297">
        <f t="shared" si="24"/>
        <v>0</v>
      </c>
      <c r="BB68" s="297">
        <f t="shared" si="24"/>
        <v>0</v>
      </c>
      <c r="BC68" s="846"/>
      <c r="BD68" s="152"/>
      <c r="BE68" s="152"/>
      <c r="BF68" s="912"/>
      <c r="BG68" s="918"/>
      <c r="BH68" s="918"/>
      <c r="BI68" s="919"/>
      <c r="BJ68" s="919"/>
    </row>
    <row r="69" spans="1:62" s="618" customFormat="1" ht="16.5" customHeight="1">
      <c r="A69" s="1015"/>
      <c r="B69" s="1015"/>
      <c r="C69" s="1015"/>
      <c r="D69" s="1015"/>
      <c r="E69" s="629">
        <v>17.100000000000001</v>
      </c>
      <c r="F69" s="714" t="str">
        <f t="shared" ref="F69:F108" ca="1" si="25">OFFSET(G69,-1,-1)</f>
        <v>1</v>
      </c>
      <c r="G69" s="566" t="s">
        <v>742</v>
      </c>
      <c r="H69" s="1015"/>
      <c r="I69" s="152" t="s">
        <v>743</v>
      </c>
      <c r="J69" s="1015"/>
      <c r="K69" s="1015"/>
      <c r="L69" s="1015"/>
      <c r="M69" s="1015"/>
      <c r="N69" s="1015"/>
      <c r="O69" s="1015"/>
      <c r="P69" s="1015"/>
      <c r="Q69" s="1015"/>
      <c r="R69" s="1015"/>
      <c r="S69" s="1015"/>
      <c r="T69" s="715" t="b">
        <f t="shared" ref="T69:T74" si="26">T68</f>
        <v>1</v>
      </c>
      <c r="U69" s="1015"/>
      <c r="V69" s="1015"/>
      <c r="W69" s="1015"/>
      <c r="X69" s="1400"/>
      <c r="Y69" s="1015"/>
      <c r="Z69" s="1400"/>
      <c r="AA69" s="1015"/>
      <c r="AB69" s="220">
        <v>1</v>
      </c>
      <c r="AC69" s="215" t="s">
        <v>744</v>
      </c>
      <c r="AD69" s="214" t="s">
        <v>648</v>
      </c>
      <c r="AE69" s="466">
        <f t="shared" ref="AE69:BB69" si="27">SUMIF($I74:$I86,$I69,AE74:AE86)</f>
        <v>0</v>
      </c>
      <c r="AF69" s="466">
        <f t="shared" si="27"/>
        <v>0</v>
      </c>
      <c r="AG69" s="466">
        <f t="shared" si="27"/>
        <v>0</v>
      </c>
      <c r="AH69" s="466">
        <f t="shared" si="27"/>
        <v>0</v>
      </c>
      <c r="AI69" s="466">
        <f t="shared" si="27"/>
        <v>0</v>
      </c>
      <c r="AJ69" s="1120">
        <f t="shared" si="27"/>
        <v>0</v>
      </c>
      <c r="AK69" s="1120">
        <f t="shared" si="27"/>
        <v>0</v>
      </c>
      <c r="AL69" s="1141">
        <f t="shared" si="27"/>
        <v>0</v>
      </c>
      <c r="AM69" s="1141">
        <f t="shared" si="27"/>
        <v>0</v>
      </c>
      <c r="AN69" s="1141">
        <f t="shared" si="27"/>
        <v>0</v>
      </c>
      <c r="AO69" s="1141">
        <f t="shared" si="27"/>
        <v>0</v>
      </c>
      <c r="AP69" s="1141">
        <f t="shared" si="27"/>
        <v>0</v>
      </c>
      <c r="AQ69" s="1141">
        <f t="shared" si="27"/>
        <v>0</v>
      </c>
      <c r="AR69" s="1141">
        <f t="shared" si="27"/>
        <v>0</v>
      </c>
      <c r="AS69" s="466">
        <f t="shared" si="27"/>
        <v>0</v>
      </c>
      <c r="AT69" s="1120">
        <f t="shared" si="27"/>
        <v>0</v>
      </c>
      <c r="AU69" s="1120">
        <f t="shared" si="27"/>
        <v>0</v>
      </c>
      <c r="AV69" s="1141">
        <f t="shared" si="27"/>
        <v>0</v>
      </c>
      <c r="AW69" s="1141">
        <f t="shared" si="27"/>
        <v>0</v>
      </c>
      <c r="AX69" s="1141">
        <f t="shared" si="27"/>
        <v>0</v>
      </c>
      <c r="AY69" s="1141">
        <f t="shared" si="27"/>
        <v>0</v>
      </c>
      <c r="AZ69" s="1141">
        <f t="shared" si="27"/>
        <v>0</v>
      </c>
      <c r="BA69" s="1141">
        <f t="shared" si="27"/>
        <v>0</v>
      </c>
      <c r="BB69" s="1141">
        <f t="shared" si="27"/>
        <v>0</v>
      </c>
      <c r="BC69" s="1108"/>
      <c r="BD69" s="1015"/>
      <c r="BE69" s="1015"/>
      <c r="BF69" s="902" t="s">
        <v>745</v>
      </c>
      <c r="BG69" s="918"/>
      <c r="BH69" s="918"/>
      <c r="BI69" s="919"/>
      <c r="BJ69" s="919"/>
    </row>
    <row r="70" spans="1:62" s="618" customFormat="1" ht="16.5" customHeight="1">
      <c r="A70" s="1015"/>
      <c r="B70" s="1015"/>
      <c r="C70" s="1015"/>
      <c r="D70" s="1015"/>
      <c r="E70" s="629">
        <v>17.100000000000001</v>
      </c>
      <c r="F70" s="714" t="str">
        <f t="shared" ca="1" si="25"/>
        <v>1</v>
      </c>
      <c r="G70" s="1015"/>
      <c r="H70" s="1015"/>
      <c r="I70" s="1015"/>
      <c r="J70" s="1015"/>
      <c r="K70" s="1015"/>
      <c r="L70" s="1015"/>
      <c r="M70" s="1015"/>
      <c r="N70" s="1015"/>
      <c r="O70" s="1015"/>
      <c r="P70" s="1015"/>
      <c r="Q70" s="1015"/>
      <c r="R70" s="1015"/>
      <c r="S70" s="1015"/>
      <c r="T70" s="715" t="b">
        <f t="shared" si="26"/>
        <v>1</v>
      </c>
      <c r="U70" s="1015"/>
      <c r="V70" s="1015"/>
      <c r="W70" s="1015"/>
      <c r="X70" s="1400"/>
      <c r="Y70" s="1015"/>
      <c r="Z70" s="1400"/>
      <c r="AA70" s="1015"/>
      <c r="AB70" s="153" t="s">
        <v>339</v>
      </c>
      <c r="AC70" s="210" t="s">
        <v>746</v>
      </c>
      <c r="AD70" s="108" t="s">
        <v>572</v>
      </c>
      <c r="AE70" s="203">
        <f t="shared" ref="AE70:BB70" si="28">SUMIF($AD74:$AD86,$AD70,AE74:AE86)</f>
        <v>0</v>
      </c>
      <c r="AF70" s="203">
        <f t="shared" si="28"/>
        <v>0</v>
      </c>
      <c r="AG70" s="203">
        <f t="shared" si="28"/>
        <v>0</v>
      </c>
      <c r="AH70" s="203">
        <f t="shared" si="28"/>
        <v>0</v>
      </c>
      <c r="AI70" s="203">
        <f t="shared" si="28"/>
        <v>0</v>
      </c>
      <c r="AJ70" s="1063">
        <f t="shared" si="28"/>
        <v>0</v>
      </c>
      <c r="AK70" s="1063">
        <f t="shared" si="28"/>
        <v>0</v>
      </c>
      <c r="AL70" s="1070">
        <f t="shared" si="28"/>
        <v>0</v>
      </c>
      <c r="AM70" s="1070">
        <f t="shared" si="28"/>
        <v>0</v>
      </c>
      <c r="AN70" s="1070">
        <f t="shared" si="28"/>
        <v>0</v>
      </c>
      <c r="AO70" s="1070">
        <f t="shared" si="28"/>
        <v>0</v>
      </c>
      <c r="AP70" s="1070">
        <f t="shared" si="28"/>
        <v>0</v>
      </c>
      <c r="AQ70" s="1070">
        <f t="shared" si="28"/>
        <v>0</v>
      </c>
      <c r="AR70" s="1070">
        <f t="shared" si="28"/>
        <v>0</v>
      </c>
      <c r="AS70" s="203">
        <f t="shared" si="28"/>
        <v>0</v>
      </c>
      <c r="AT70" s="1063">
        <f t="shared" si="28"/>
        <v>0</v>
      </c>
      <c r="AU70" s="1063">
        <f t="shared" si="28"/>
        <v>0</v>
      </c>
      <c r="AV70" s="1070">
        <f t="shared" si="28"/>
        <v>0</v>
      </c>
      <c r="AW70" s="1070">
        <f t="shared" si="28"/>
        <v>0</v>
      </c>
      <c r="AX70" s="1070">
        <f t="shared" si="28"/>
        <v>0</v>
      </c>
      <c r="AY70" s="1070">
        <f t="shared" si="28"/>
        <v>0</v>
      </c>
      <c r="AZ70" s="1070">
        <f t="shared" si="28"/>
        <v>0</v>
      </c>
      <c r="BA70" s="1070">
        <f t="shared" si="28"/>
        <v>0</v>
      </c>
      <c r="BB70" s="1070">
        <f t="shared" si="28"/>
        <v>0</v>
      </c>
      <c r="BC70" s="1106"/>
      <c r="BD70" s="1015"/>
      <c r="BE70" s="1015"/>
      <c r="BF70" s="912" t="s">
        <v>747</v>
      </c>
      <c r="BG70" s="918"/>
      <c r="BH70" s="918"/>
      <c r="BI70" s="919"/>
      <c r="BJ70" s="919"/>
    </row>
    <row r="71" spans="1:62" s="618" customFormat="1" ht="16.5" customHeight="1">
      <c r="A71" s="1015"/>
      <c r="B71" s="1015"/>
      <c r="C71" s="1015"/>
      <c r="D71" s="1015"/>
      <c r="E71" s="629">
        <v>17.100000000000001</v>
      </c>
      <c r="F71" s="714" t="str">
        <f t="shared" ca="1" si="25"/>
        <v>1</v>
      </c>
      <c r="G71" s="1015"/>
      <c r="H71" s="1015"/>
      <c r="I71" s="1015"/>
      <c r="J71" s="1015"/>
      <c r="K71" s="1015"/>
      <c r="L71" s="1015"/>
      <c r="M71" s="1015"/>
      <c r="N71" s="1015"/>
      <c r="O71" s="1015"/>
      <c r="P71" s="1015"/>
      <c r="Q71" s="1015"/>
      <c r="R71" s="1015"/>
      <c r="S71" s="1015"/>
      <c r="T71" s="715" t="b">
        <f t="shared" si="26"/>
        <v>1</v>
      </c>
      <c r="U71" s="1015"/>
      <c r="V71" s="1015"/>
      <c r="W71" s="1015"/>
      <c r="X71" s="1400"/>
      <c r="Y71" s="1015"/>
      <c r="Z71" s="1400"/>
      <c r="AA71" s="1015"/>
      <c r="AB71" s="153" t="s">
        <v>503</v>
      </c>
      <c r="AC71" s="210" t="s">
        <v>748</v>
      </c>
      <c r="AD71" s="324" t="s">
        <v>491</v>
      </c>
      <c r="AE71" s="1142">
        <f ca="1">SUMIFS('Баланс ТН'!AE$27:AE$101,'Баланс ТН'!$F$27:$F$101,$F71,'Баланс ТН'!$AB$27:$AB$101,"7")</f>
        <v>72.581000000000003</v>
      </c>
      <c r="AF71" s="1142">
        <f ca="1">SUMIFS('Баланс ТН'!AF$27:AF$101,'Баланс ТН'!$F$27:$F$101,$F71,'Баланс ТН'!$AB$27:$AB$101,"7")</f>
        <v>71.245000000000005</v>
      </c>
      <c r="AG71" s="1142">
        <f ca="1">SUMIFS('Баланс ТН'!AG$27:AG$101,'Баланс ТН'!$F$27:$F$101,$F71,'Баланс ТН'!$AB$27:$AB$101,"7")</f>
        <v>71.245000000000005</v>
      </c>
      <c r="AH71" s="1142">
        <f ca="1">SUMIFS('Баланс ТН'!AH$27:AH$101,'Баланс ТН'!$F$27:$F$101,$F71,'Баланс ТН'!$AB$27:$AB$101,"7")</f>
        <v>72.581230000000005</v>
      </c>
      <c r="AI71" s="241">
        <f ca="1">SUMIFS('Баланс ТН'!AI$27:AI$101,'Баланс ТН'!$F$27:$F$101,$F71,'Баланс ТН'!$AB$27:$AB$101,"7")</f>
        <v>72.581000000000003</v>
      </c>
      <c r="AJ71" s="1121">
        <f ca="1">SUMIFS('Баланс ТН'!AJ$27:AJ$101,'Баланс ТН'!$F$27:$F$101,$F71,'Баланс ТН'!$AB$27:$AB$101,"7")</f>
        <v>0</v>
      </c>
      <c r="AK71" s="1121">
        <f ca="1">SUMIFS('Баланс ТН'!AK$27:AK$101,'Баланс ТН'!$F$27:$F$101,$F71,'Баланс ТН'!$AB$27:$AB$101,"7")</f>
        <v>0</v>
      </c>
      <c r="AL71" s="1142">
        <f ca="1">SUMIFS('Баланс ТН'!AL$27:AL$101,'Баланс ТН'!$F$27:$F$101,$F71,'Баланс ТН'!$AB$27:$AB$101,"7")</f>
        <v>0</v>
      </c>
      <c r="AM71" s="1142">
        <f ca="1">SUMIFS('Баланс ТН'!AM$27:AM$101,'Баланс ТН'!$F$27:$F$101,$F71,'Баланс ТН'!$AB$27:$AB$101,"7")</f>
        <v>0</v>
      </c>
      <c r="AN71" s="1142">
        <f ca="1">SUMIFS('Баланс ТН'!AN$27:AN$101,'Баланс ТН'!$F$27:$F$101,$F71,'Баланс ТН'!$AB$27:$AB$101,"7")</f>
        <v>0</v>
      </c>
      <c r="AO71" s="1142">
        <f ca="1">SUMIFS('Баланс ТН'!AO$27:AO$101,'Баланс ТН'!$F$27:$F$101,$F71,'Баланс ТН'!$AB$27:$AB$101,"7")</f>
        <v>0</v>
      </c>
      <c r="AP71" s="1142">
        <f ca="1">SUMIFS('Баланс ТН'!AP$27:AP$101,'Баланс ТН'!$F$27:$F$101,$F71,'Баланс ТН'!$AB$27:$AB$101,"7")</f>
        <v>0</v>
      </c>
      <c r="AQ71" s="1142">
        <f ca="1">SUMIFS('Баланс ТН'!AQ$27:AQ$101,'Баланс ТН'!$F$27:$F$101,$F71,'Баланс ТН'!$AB$27:$AB$101,"7")</f>
        <v>0</v>
      </c>
      <c r="AR71" s="1142">
        <f ca="1">SUMIFS('Баланс ТН'!AR$27:AR$101,'Баланс ТН'!$F$27:$F$101,$F71,'Баланс ТН'!$AB$27:$AB$101,"7")</f>
        <v>0</v>
      </c>
      <c r="AS71" s="241">
        <f ca="1">SUMIFS('Баланс ТН'!AS$27:AS$101,'Баланс ТН'!$F$27:$F$101,$F71,'Баланс ТН'!$AB$27:$AB$101,"7")</f>
        <v>72.581000000000003</v>
      </c>
      <c r="AT71" s="1121">
        <f ca="1">SUMIFS('Баланс ТН'!AT$27:AT$101,'Баланс ТН'!$F$27:$F$101,$F71,'Баланс ТН'!$AB$27:$AB$101,"7")</f>
        <v>0</v>
      </c>
      <c r="AU71" s="1121">
        <f ca="1">SUMIFS('Баланс ТН'!AU$27:AU$101,'Баланс ТН'!$F$27:$F$101,$F71,'Баланс ТН'!$AB$27:$AB$101,"7")</f>
        <v>0</v>
      </c>
      <c r="AV71" s="1142">
        <f ca="1">SUMIFS('Баланс ТН'!AV$27:AV$101,'Баланс ТН'!$F$27:$F$101,$F71,'Баланс ТН'!$AB$27:$AB$101,"7")</f>
        <v>0</v>
      </c>
      <c r="AW71" s="1142">
        <f ca="1">SUMIFS('Баланс ТН'!AW$27:AW$101,'Баланс ТН'!$F$27:$F$101,$F71,'Баланс ТН'!$AB$27:$AB$101,"7")</f>
        <v>0</v>
      </c>
      <c r="AX71" s="1142">
        <f ca="1">SUMIFS('Баланс ТН'!AX$27:AX$101,'Баланс ТН'!$F$27:$F$101,$F71,'Баланс ТН'!$AB$27:$AB$101,"7")</f>
        <v>0</v>
      </c>
      <c r="AY71" s="1142">
        <f ca="1">SUMIFS('Баланс ТН'!AY$27:AY$101,'Баланс ТН'!$F$27:$F$101,$F71,'Баланс ТН'!$AB$27:$AB$101,"7")</f>
        <v>0</v>
      </c>
      <c r="AZ71" s="1142">
        <f ca="1">SUMIFS('Баланс ТН'!AZ$27:AZ$101,'Баланс ТН'!$F$27:$F$101,$F71,'Баланс ТН'!$AB$27:$AB$101,"7")</f>
        <v>0</v>
      </c>
      <c r="BA71" s="1142">
        <f ca="1">SUMIFS('Баланс ТН'!BA$27:BA$101,'Баланс ТН'!$F$27:$F$101,$F71,'Баланс ТН'!$AB$27:$AB$101,"7")</f>
        <v>0</v>
      </c>
      <c r="BB71" s="1142">
        <f ca="1">SUMIFS('Баланс ТН'!BB$27:BB$101,'Баланс ТН'!$F$27:$F$101,$F71,'Баланс ТН'!$AB$27:$AB$101,"7")</f>
        <v>0</v>
      </c>
      <c r="BC71" s="1106"/>
      <c r="BD71" s="1015"/>
      <c r="BE71" s="1015"/>
      <c r="BF71" s="912" t="s">
        <v>596</v>
      </c>
      <c r="BG71" s="918"/>
      <c r="BH71" s="918"/>
      <c r="BI71" s="919"/>
      <c r="BJ71" s="919"/>
    </row>
    <row r="72" spans="1:62" s="618" customFormat="1" ht="16.5" customHeight="1">
      <c r="A72" s="1015"/>
      <c r="B72" s="1015"/>
      <c r="C72" s="1015"/>
      <c r="D72" s="1015"/>
      <c r="E72" s="629">
        <v>17.100000000000001</v>
      </c>
      <c r="F72" s="714" t="str">
        <f t="shared" ca="1" si="25"/>
        <v>1</v>
      </c>
      <c r="G72" s="1015"/>
      <c r="H72" s="1015"/>
      <c r="I72" s="1015"/>
      <c r="J72" s="1015"/>
      <c r="K72" s="1015"/>
      <c r="L72" s="1015"/>
      <c r="M72" s="1015"/>
      <c r="N72" s="1015"/>
      <c r="O72" s="1015"/>
      <c r="P72" s="1015"/>
      <c r="Q72" s="1015"/>
      <c r="R72" s="1015"/>
      <c r="S72" s="1015"/>
      <c r="T72" s="715" t="b">
        <f t="shared" si="26"/>
        <v>1</v>
      </c>
      <c r="U72" s="1015"/>
      <c r="V72" s="1015"/>
      <c r="W72" s="1015"/>
      <c r="X72" s="1400"/>
      <c r="Y72" s="1015"/>
      <c r="Z72" s="1400"/>
      <c r="AA72" s="1015"/>
      <c r="AB72" s="153" t="s">
        <v>749</v>
      </c>
      <c r="AC72" s="210" t="s">
        <v>750</v>
      </c>
      <c r="AD72" s="108" t="s">
        <v>751</v>
      </c>
      <c r="AE72" s="203">
        <f t="shared" ref="AE72:BB72" si="29">IF(AE70=0,0,AE69/AE70)</f>
        <v>0</v>
      </c>
      <c r="AF72" s="203">
        <f t="shared" si="29"/>
        <v>0</v>
      </c>
      <c r="AG72" s="203">
        <f t="shared" si="29"/>
        <v>0</v>
      </c>
      <c r="AH72" s="203">
        <f t="shared" si="29"/>
        <v>0</v>
      </c>
      <c r="AI72" s="203">
        <f t="shared" si="29"/>
        <v>0</v>
      </c>
      <c r="AJ72" s="1063">
        <f t="shared" si="29"/>
        <v>0</v>
      </c>
      <c r="AK72" s="1063">
        <f t="shared" si="29"/>
        <v>0</v>
      </c>
      <c r="AL72" s="1070">
        <f t="shared" si="29"/>
        <v>0</v>
      </c>
      <c r="AM72" s="1070">
        <f t="shared" si="29"/>
        <v>0</v>
      </c>
      <c r="AN72" s="1070">
        <f t="shared" si="29"/>
        <v>0</v>
      </c>
      <c r="AO72" s="1070">
        <f t="shared" si="29"/>
        <v>0</v>
      </c>
      <c r="AP72" s="1070">
        <f t="shared" si="29"/>
        <v>0</v>
      </c>
      <c r="AQ72" s="1070">
        <f t="shared" si="29"/>
        <v>0</v>
      </c>
      <c r="AR72" s="1070">
        <f t="shared" si="29"/>
        <v>0</v>
      </c>
      <c r="AS72" s="203">
        <f t="shared" si="29"/>
        <v>0</v>
      </c>
      <c r="AT72" s="1063">
        <f t="shared" si="29"/>
        <v>0</v>
      </c>
      <c r="AU72" s="1063">
        <f t="shared" si="29"/>
        <v>0</v>
      </c>
      <c r="AV72" s="1070">
        <f t="shared" si="29"/>
        <v>0</v>
      </c>
      <c r="AW72" s="1070">
        <f t="shared" si="29"/>
        <v>0</v>
      </c>
      <c r="AX72" s="1070">
        <f t="shared" si="29"/>
        <v>0</v>
      </c>
      <c r="AY72" s="1070">
        <f t="shared" si="29"/>
        <v>0</v>
      </c>
      <c r="AZ72" s="1070">
        <f t="shared" si="29"/>
        <v>0</v>
      </c>
      <c r="BA72" s="1070">
        <f t="shared" si="29"/>
        <v>0</v>
      </c>
      <c r="BB72" s="1070">
        <f t="shared" si="29"/>
        <v>0</v>
      </c>
      <c r="BC72" s="1106"/>
      <c r="BD72" s="1015"/>
      <c r="BE72" s="1015"/>
      <c r="BF72" s="912" t="s">
        <v>752</v>
      </c>
      <c r="BG72" s="918"/>
      <c r="BH72" s="918"/>
      <c r="BI72" s="919"/>
      <c r="BJ72" s="919"/>
    </row>
    <row r="73" spans="1:62" s="618" customFormat="1" ht="16.5" customHeight="1">
      <c r="A73" s="1015"/>
      <c r="B73" s="1015"/>
      <c r="C73" s="1015"/>
      <c r="D73" s="1015"/>
      <c r="E73" s="629">
        <v>17.100000000000001</v>
      </c>
      <c r="F73" s="714" t="str">
        <f t="shared" ca="1" si="25"/>
        <v>1</v>
      </c>
      <c r="G73" s="1015"/>
      <c r="H73" s="1015"/>
      <c r="I73" s="1015"/>
      <c r="J73" s="1015"/>
      <c r="K73" s="1015"/>
      <c r="L73" s="1015"/>
      <c r="M73" s="1015"/>
      <c r="N73" s="1015"/>
      <c r="O73" s="1015"/>
      <c r="P73" s="1015"/>
      <c r="Q73" s="1015"/>
      <c r="R73" s="1015"/>
      <c r="S73" s="1015"/>
      <c r="T73" s="715" t="b">
        <f t="shared" si="26"/>
        <v>1</v>
      </c>
      <c r="U73" s="1015"/>
      <c r="V73" s="1015"/>
      <c r="W73" s="1015"/>
      <c r="X73" s="1400"/>
      <c r="Y73" s="1015"/>
      <c r="Z73" s="1400"/>
      <c r="AA73" s="1015"/>
      <c r="AB73" s="153" t="s">
        <v>753</v>
      </c>
      <c r="AC73" s="210" t="s">
        <v>754</v>
      </c>
      <c r="AD73" s="108" t="s">
        <v>755</v>
      </c>
      <c r="AE73" s="303">
        <f t="shared" ref="AE73:BB73" ca="1" si="30">IF(AE71=0,0,AE70/AE71)</f>
        <v>0</v>
      </c>
      <c r="AF73" s="303">
        <f t="shared" ca="1" si="30"/>
        <v>0</v>
      </c>
      <c r="AG73" s="303">
        <f t="shared" ca="1" si="30"/>
        <v>0</v>
      </c>
      <c r="AH73" s="303">
        <f t="shared" ca="1" si="30"/>
        <v>0</v>
      </c>
      <c r="AI73" s="303">
        <f t="shared" ca="1" si="30"/>
        <v>0</v>
      </c>
      <c r="AJ73" s="1122">
        <f t="shared" ca="1" si="30"/>
        <v>0</v>
      </c>
      <c r="AK73" s="1122">
        <f t="shared" ca="1" si="30"/>
        <v>0</v>
      </c>
      <c r="AL73" s="1143">
        <f t="shared" ca="1" si="30"/>
        <v>0</v>
      </c>
      <c r="AM73" s="1143">
        <f t="shared" ca="1" si="30"/>
        <v>0</v>
      </c>
      <c r="AN73" s="1143">
        <f t="shared" ca="1" si="30"/>
        <v>0</v>
      </c>
      <c r="AO73" s="1143">
        <f t="shared" ca="1" si="30"/>
        <v>0</v>
      </c>
      <c r="AP73" s="1143">
        <f t="shared" ca="1" si="30"/>
        <v>0</v>
      </c>
      <c r="AQ73" s="1143">
        <f t="shared" ca="1" si="30"/>
        <v>0</v>
      </c>
      <c r="AR73" s="1143">
        <f t="shared" ca="1" si="30"/>
        <v>0</v>
      </c>
      <c r="AS73" s="303">
        <f t="shared" ca="1" si="30"/>
        <v>0</v>
      </c>
      <c r="AT73" s="1122">
        <f t="shared" ca="1" si="30"/>
        <v>0</v>
      </c>
      <c r="AU73" s="1122">
        <f t="shared" ca="1" si="30"/>
        <v>0</v>
      </c>
      <c r="AV73" s="1143">
        <f t="shared" ca="1" si="30"/>
        <v>0</v>
      </c>
      <c r="AW73" s="1143">
        <f t="shared" ca="1" si="30"/>
        <v>0</v>
      </c>
      <c r="AX73" s="1143">
        <f t="shared" ca="1" si="30"/>
        <v>0</v>
      </c>
      <c r="AY73" s="1143">
        <f t="shared" ca="1" si="30"/>
        <v>0</v>
      </c>
      <c r="AZ73" s="1143">
        <f t="shared" ca="1" si="30"/>
        <v>0</v>
      </c>
      <c r="BA73" s="1143">
        <f t="shared" ca="1" si="30"/>
        <v>0</v>
      </c>
      <c r="BB73" s="1143">
        <f t="shared" ca="1" si="30"/>
        <v>0</v>
      </c>
      <c r="BC73" s="1106"/>
      <c r="BD73" s="1015"/>
      <c r="BE73" s="1015"/>
      <c r="BF73" s="912" t="s">
        <v>575</v>
      </c>
      <c r="BG73" s="918"/>
      <c r="BH73" s="918"/>
      <c r="BI73" s="919"/>
      <c r="BJ73" s="919"/>
    </row>
    <row r="74" spans="1:62" s="618" customFormat="1" ht="16.5" customHeight="1">
      <c r="A74" s="1015"/>
      <c r="B74" s="1015"/>
      <c r="C74" s="1015"/>
      <c r="D74" s="1015"/>
      <c r="E74" s="629">
        <v>17.100000000000001</v>
      </c>
      <c r="F74" s="714" t="str">
        <f t="shared" ca="1" si="25"/>
        <v>1</v>
      </c>
      <c r="G74" s="1015"/>
      <c r="H74" s="1015"/>
      <c r="I74" s="1015"/>
      <c r="J74" s="1015"/>
      <c r="K74" s="1015"/>
      <c r="L74" s="1015"/>
      <c r="M74" s="1015"/>
      <c r="N74" s="1015"/>
      <c r="O74" s="1015"/>
      <c r="P74" s="1015"/>
      <c r="Q74" s="1015"/>
      <c r="R74" s="1015"/>
      <c r="S74" s="97"/>
      <c r="T74" s="715" t="b">
        <f t="shared" si="26"/>
        <v>1</v>
      </c>
      <c r="U74" s="1015"/>
      <c r="V74" s="1015"/>
      <c r="W74" s="1015"/>
      <c r="X74" s="1400"/>
      <c r="Y74" s="1015"/>
      <c r="Z74" s="1400"/>
      <c r="AA74" s="1015"/>
      <c r="AB74" s="267"/>
      <c r="AC74" s="264" t="s">
        <v>756</v>
      </c>
      <c r="AD74" s="265"/>
      <c r="AE74" s="266"/>
      <c r="AF74" s="266"/>
      <c r="AG74" s="266"/>
      <c r="AH74" s="266"/>
      <c r="AI74" s="266"/>
      <c r="AJ74" s="266"/>
      <c r="AK74" s="266"/>
      <c r="AL74" s="266"/>
      <c r="AM74" s="266"/>
      <c r="AN74" s="266"/>
      <c r="AO74" s="266"/>
      <c r="AP74" s="266"/>
      <c r="AQ74" s="266"/>
      <c r="AR74" s="266"/>
      <c r="AS74" s="266"/>
      <c r="AT74" s="266"/>
      <c r="AU74" s="266"/>
      <c r="AV74" s="266"/>
      <c r="AW74" s="266"/>
      <c r="AX74" s="266"/>
      <c r="AY74" s="266"/>
      <c r="AZ74" s="266"/>
      <c r="BA74" s="266"/>
      <c r="BB74" s="266"/>
      <c r="BC74" s="847"/>
      <c r="BD74" s="1015"/>
      <c r="BE74" s="1015"/>
      <c r="BF74" s="912"/>
      <c r="BG74" s="918"/>
      <c r="BH74" s="918"/>
      <c r="BI74" s="919"/>
      <c r="BJ74" s="919"/>
    </row>
    <row r="75" spans="1:62" s="618" customFormat="1" ht="16.5" hidden="1" customHeight="1">
      <c r="A75" s="970" t="str">
        <f ca="1">"checkCosts_1."&amp;F75&amp;"."&amp;Y75</f>
        <v>checkCosts_1.1.0</v>
      </c>
      <c r="B75" s="1015"/>
      <c r="C75" s="1015"/>
      <c r="D75" s="1015"/>
      <c r="E75" s="629">
        <v>17.100000000000001</v>
      </c>
      <c r="F75" s="714" t="str">
        <f t="shared" ca="1" si="25"/>
        <v>1</v>
      </c>
      <c r="G75" s="1015"/>
      <c r="H75" s="150">
        <f>AC75</f>
        <v>0</v>
      </c>
      <c r="I75" s="152" t="s">
        <v>743</v>
      </c>
      <c r="J75" s="1015"/>
      <c r="K75" s="1015"/>
      <c r="L75" s="1015"/>
      <c r="M75" s="1015"/>
      <c r="N75" s="1015"/>
      <c r="O75" s="1015"/>
      <c r="P75" s="1015"/>
      <c r="Q75" s="1015"/>
      <c r="R75" s="1015"/>
      <c r="S75" s="1475"/>
      <c r="T75" s="715" t="b">
        <f ca="1">AND(F75&gt;0,Y75&gt;0)</f>
        <v>0</v>
      </c>
      <c r="U75" s="1015"/>
      <c r="V75" s="1015"/>
      <c r="W75" s="109" t="s">
        <v>170</v>
      </c>
      <c r="X75" s="1400"/>
      <c r="Y75" s="1400">
        <v>0</v>
      </c>
      <c r="Z75" s="1400"/>
      <c r="AA75" s="1350" t="s">
        <v>157</v>
      </c>
      <c r="AB75" s="153" t="str">
        <f>"1.5."&amp;Y75</f>
        <v>1.5.0</v>
      </c>
      <c r="AC75" s="42"/>
      <c r="AD75" s="95" t="s">
        <v>648</v>
      </c>
      <c r="AE75" s="1123">
        <f>AE76*AE77</f>
        <v>0</v>
      </c>
      <c r="AF75" s="8"/>
      <c r="AG75" s="8"/>
      <c r="AH75" s="1123">
        <f>AH76*AH77</f>
        <v>0</v>
      </c>
      <c r="AI75" s="149"/>
      <c r="AJ75" s="1063"/>
      <c r="AK75" s="1063"/>
      <c r="AL75" s="8"/>
      <c r="AM75" s="8"/>
      <c r="AN75" s="8"/>
      <c r="AO75" s="8"/>
      <c r="AP75" s="8"/>
      <c r="AQ75" s="8"/>
      <c r="AR75" s="8"/>
      <c r="AS75" s="1124">
        <f t="shared" ref="AS75:BB75" si="31">AS76*AS77</f>
        <v>0</v>
      </c>
      <c r="AT75" s="1124">
        <f t="shared" si="31"/>
        <v>0</v>
      </c>
      <c r="AU75" s="1124">
        <f t="shared" si="31"/>
        <v>0</v>
      </c>
      <c r="AV75" s="1123">
        <f t="shared" si="31"/>
        <v>0</v>
      </c>
      <c r="AW75" s="1123">
        <f t="shared" si="31"/>
        <v>0</v>
      </c>
      <c r="AX75" s="1123">
        <f t="shared" si="31"/>
        <v>0</v>
      </c>
      <c r="AY75" s="1123">
        <f t="shared" si="31"/>
        <v>0</v>
      </c>
      <c r="AZ75" s="1123">
        <f t="shared" si="31"/>
        <v>0</v>
      </c>
      <c r="BA75" s="1123">
        <f t="shared" si="31"/>
        <v>0</v>
      </c>
      <c r="BB75" s="1123">
        <f t="shared" si="31"/>
        <v>0</v>
      </c>
      <c r="BC75" s="22"/>
      <c r="BD75" s="1015"/>
      <c r="BE75" s="1015"/>
      <c r="BF75" s="912" t="s">
        <v>757</v>
      </c>
      <c r="BG75" s="918" t="s">
        <v>758</v>
      </c>
      <c r="BH75" s="918">
        <f>AC75</f>
        <v>0</v>
      </c>
      <c r="BI75" s="919"/>
      <c r="BJ75" s="919"/>
    </row>
    <row r="76" spans="1:62" s="618" customFormat="1" ht="16.5" hidden="1" customHeight="1">
      <c r="B76" s="1015"/>
      <c r="C76" s="1015"/>
      <c r="D76" s="1015"/>
      <c r="E76" s="629">
        <v>17.100000000000001</v>
      </c>
      <c r="F76" s="714" t="str">
        <f t="shared" ca="1" si="25"/>
        <v>1</v>
      </c>
      <c r="G76" s="1015"/>
      <c r="H76" s="394">
        <f>H75</f>
        <v>0</v>
      </c>
      <c r="I76" s="1015"/>
      <c r="J76" s="1015"/>
      <c r="K76" s="1015"/>
      <c r="L76" s="1015"/>
      <c r="M76" s="1015"/>
      <c r="N76" s="1015"/>
      <c r="O76" s="1015"/>
      <c r="P76" s="1015"/>
      <c r="Q76" s="1015"/>
      <c r="R76" s="1015"/>
      <c r="S76" s="1475"/>
      <c r="T76" s="733" t="b">
        <f ca="1">T75</f>
        <v>0</v>
      </c>
      <c r="U76" s="1015"/>
      <c r="V76" s="1015"/>
      <c r="W76" s="1015"/>
      <c r="X76" s="1400"/>
      <c r="Y76" s="1400"/>
      <c r="Z76" s="1400"/>
      <c r="AA76" s="1350"/>
      <c r="AB76" s="641" t="str">
        <f>AB75&amp;".1"</f>
        <v>1.5.0.1</v>
      </c>
      <c r="AC76" s="610" t="s">
        <v>759</v>
      </c>
      <c r="AD76" s="1013" t="s">
        <v>760</v>
      </c>
      <c r="AE76" s="1125"/>
      <c r="AF76" s="1126">
        <f>IF(AF77=0,0,AF75/AF77)</f>
        <v>0</v>
      </c>
      <c r="AG76" s="1126">
        <f>IF(AG77=0,0,AG75/AG77)</f>
        <v>0</v>
      </c>
      <c r="AH76" s="1125"/>
      <c r="AI76" s="1126">
        <f t="shared" ref="AI76:AR76" si="32">IF(AI77=0,0,AI75/AI77)</f>
        <v>0</v>
      </c>
      <c r="AJ76" s="1127">
        <f t="shared" si="32"/>
        <v>0</v>
      </c>
      <c r="AK76" s="1127">
        <f t="shared" si="32"/>
        <v>0</v>
      </c>
      <c r="AL76" s="1126">
        <f t="shared" si="32"/>
        <v>0</v>
      </c>
      <c r="AM76" s="1126">
        <f t="shared" si="32"/>
        <v>0</v>
      </c>
      <c r="AN76" s="1126">
        <f t="shared" si="32"/>
        <v>0</v>
      </c>
      <c r="AO76" s="1126">
        <f t="shared" si="32"/>
        <v>0</v>
      </c>
      <c r="AP76" s="1126">
        <f t="shared" si="32"/>
        <v>0</v>
      </c>
      <c r="AQ76" s="1126">
        <f t="shared" si="32"/>
        <v>0</v>
      </c>
      <c r="AR76" s="1126">
        <f t="shared" si="32"/>
        <v>0</v>
      </c>
      <c r="AS76" s="608"/>
      <c r="AT76" s="1128"/>
      <c r="AU76" s="1128"/>
      <c r="AV76" s="1125"/>
      <c r="AW76" s="1125"/>
      <c r="AX76" s="1125"/>
      <c r="AY76" s="1125"/>
      <c r="AZ76" s="1125"/>
      <c r="BA76" s="1125"/>
      <c r="BB76" s="1125"/>
      <c r="BC76" s="1129"/>
      <c r="BD76" s="1015"/>
      <c r="BE76" s="1015"/>
      <c r="BF76" s="930" t="s">
        <v>761</v>
      </c>
      <c r="BG76" s="918" t="s">
        <v>758</v>
      </c>
      <c r="BH76" s="918">
        <f>BH75</f>
        <v>0</v>
      </c>
      <c r="BI76" s="919"/>
      <c r="BJ76" s="919"/>
    </row>
    <row r="77" spans="1:62" s="618" customFormat="1" ht="16.5" hidden="1" customHeight="1">
      <c r="A77" s="970" t="str">
        <f ca="1">"checkVolume_1."&amp;F77&amp;"."&amp;Y75</f>
        <v>checkVolume_1.1.0</v>
      </c>
      <c r="B77" s="1015"/>
      <c r="C77" s="1015"/>
      <c r="D77" s="1015"/>
      <c r="E77" s="629">
        <v>17.100000000000001</v>
      </c>
      <c r="F77" s="714" t="str">
        <f t="shared" ca="1" si="25"/>
        <v>1</v>
      </c>
      <c r="G77" s="1015"/>
      <c r="H77" s="150">
        <f>H75</f>
        <v>0</v>
      </c>
      <c r="I77" s="1015"/>
      <c r="J77" s="1015"/>
      <c r="K77" s="1015"/>
      <c r="L77" s="1015"/>
      <c r="M77" s="1015"/>
      <c r="N77" s="1015"/>
      <c r="O77" s="1015"/>
      <c r="P77" s="1015"/>
      <c r="Q77" s="1015"/>
      <c r="R77" s="1015"/>
      <c r="S77" s="1475"/>
      <c r="T77" s="715" t="b">
        <f ca="1">T75</f>
        <v>0</v>
      </c>
      <c r="U77" s="1015"/>
      <c r="V77" s="1015"/>
      <c r="W77" s="1015"/>
      <c r="X77" s="1400"/>
      <c r="Y77" s="1400"/>
      <c r="Z77" s="1400"/>
      <c r="AA77" s="1350"/>
      <c r="AB77" s="641" t="str">
        <f>AB75&amp;".2"</f>
        <v>1.5.0.2</v>
      </c>
      <c r="AC77" s="610" t="s">
        <v>762</v>
      </c>
      <c r="AD77" s="112" t="s">
        <v>572</v>
      </c>
      <c r="AE77" s="43"/>
      <c r="AF77" s="43"/>
      <c r="AG77" s="43"/>
      <c r="AH77" s="43"/>
      <c r="AI77" s="608"/>
      <c r="AJ77" s="1128"/>
      <c r="AK77" s="1128"/>
      <c r="AL77" s="43"/>
      <c r="AM77" s="43"/>
      <c r="AN77" s="43"/>
      <c r="AO77" s="43"/>
      <c r="AP77" s="43"/>
      <c r="AQ77" s="43"/>
      <c r="AR77" s="43"/>
      <c r="AS77" s="608"/>
      <c r="AT77" s="1128"/>
      <c r="AU77" s="1128"/>
      <c r="AV77" s="43"/>
      <c r="AW77" s="43"/>
      <c r="AX77" s="43"/>
      <c r="AY77" s="43"/>
      <c r="AZ77" s="43"/>
      <c r="BA77" s="43"/>
      <c r="BB77" s="43"/>
      <c r="BC77" s="18"/>
      <c r="BD77" s="1015"/>
      <c r="BE77" s="1015"/>
      <c r="BF77" s="912" t="s">
        <v>763</v>
      </c>
      <c r="BG77" s="918" t="s">
        <v>758</v>
      </c>
      <c r="BH77" s="918">
        <f>BH75</f>
        <v>0</v>
      </c>
      <c r="BI77" s="919"/>
      <c r="BJ77" s="919"/>
    </row>
    <row r="78" spans="1:62" s="750" customFormat="1" ht="16.5" customHeight="1">
      <c r="E78" s="623">
        <v>17.100000000000001</v>
      </c>
      <c r="F78" s="714" t="str">
        <f t="shared" ca="1" si="25"/>
        <v>1</v>
      </c>
      <c r="T78" s="715" t="b">
        <f ca="1">F78&gt;0</f>
        <v>1</v>
      </c>
      <c r="W78" s="291" t="s">
        <v>764</v>
      </c>
      <c r="X78" s="1485"/>
      <c r="Z78" s="1485"/>
      <c r="AB78" s="642"/>
      <c r="AC78" s="609" t="s">
        <v>172</v>
      </c>
      <c r="AD78" s="609"/>
      <c r="AE78" s="609"/>
      <c r="AF78" s="609"/>
      <c r="AG78" s="609"/>
      <c r="AH78" s="609"/>
      <c r="AI78" s="609"/>
      <c r="AJ78" s="609"/>
      <c r="AK78" s="609"/>
      <c r="AL78" s="609"/>
      <c r="AM78" s="609"/>
      <c r="AN78" s="609"/>
      <c r="AO78" s="609"/>
      <c r="AP78" s="609"/>
      <c r="AQ78" s="609"/>
      <c r="AR78" s="609"/>
      <c r="AS78" s="609"/>
      <c r="AT78" s="609"/>
      <c r="AU78" s="609"/>
      <c r="AV78" s="609"/>
      <c r="AW78" s="609"/>
      <c r="AX78" s="609"/>
      <c r="AY78" s="609"/>
      <c r="AZ78" s="609"/>
      <c r="BA78" s="609"/>
      <c r="BB78" s="609"/>
      <c r="BC78" s="848"/>
      <c r="BF78" s="902"/>
      <c r="BG78" s="902"/>
      <c r="BH78" s="902"/>
      <c r="BI78" s="917" t="s">
        <v>758</v>
      </c>
      <c r="BJ78" s="917"/>
    </row>
    <row r="79" spans="1:62" s="618" customFormat="1" ht="16.5" customHeight="1">
      <c r="A79" s="1015"/>
      <c r="B79" s="1015"/>
      <c r="C79" s="1015"/>
      <c r="D79" s="1015"/>
      <c r="E79" s="629">
        <v>17.100000000000001</v>
      </c>
      <c r="F79" s="714" t="str">
        <f t="shared" ca="1" si="25"/>
        <v>1</v>
      </c>
      <c r="G79" s="1015"/>
      <c r="H79" s="1015"/>
      <c r="I79" s="1015"/>
      <c r="J79" s="1015"/>
      <c r="K79" s="1015"/>
      <c r="L79" s="1015"/>
      <c r="M79" s="1015"/>
      <c r="N79" s="1015"/>
      <c r="O79" s="1015"/>
      <c r="P79" s="1015"/>
      <c r="Q79" s="1015"/>
      <c r="R79" s="1015"/>
      <c r="S79" s="97"/>
      <c r="T79" s="715" t="b">
        <f ca="1">F79&gt;0</f>
        <v>1</v>
      </c>
      <c r="U79" s="1015"/>
      <c r="V79" s="1015"/>
      <c r="W79" s="1015"/>
      <c r="X79" s="1400"/>
      <c r="Y79" s="1015"/>
      <c r="Z79" s="1400"/>
      <c r="AA79" s="1015"/>
      <c r="AB79" s="611"/>
      <c r="AC79" s="264" t="s">
        <v>765</v>
      </c>
      <c r="AD79" s="265"/>
      <c r="AE79" s="266"/>
      <c r="AF79" s="266"/>
      <c r="AG79" s="266"/>
      <c r="AH79" s="266"/>
      <c r="AI79" s="266"/>
      <c r="AJ79" s="266"/>
      <c r="AK79" s="266"/>
      <c r="AL79" s="266"/>
      <c r="AM79" s="266"/>
      <c r="AN79" s="266"/>
      <c r="AO79" s="266"/>
      <c r="AP79" s="266"/>
      <c r="AQ79" s="266"/>
      <c r="AR79" s="266"/>
      <c r="AS79" s="266"/>
      <c r="AT79" s="266"/>
      <c r="AU79" s="266"/>
      <c r="AV79" s="266"/>
      <c r="AW79" s="266"/>
      <c r="AX79" s="266"/>
      <c r="AY79" s="266"/>
      <c r="AZ79" s="266"/>
      <c r="BA79" s="266"/>
      <c r="BB79" s="266"/>
      <c r="BC79" s="849"/>
      <c r="BD79" s="1015"/>
      <c r="BE79" s="1015"/>
      <c r="BF79" s="912"/>
      <c r="BG79" s="918"/>
      <c r="BH79" s="918"/>
      <c r="BI79" s="919"/>
      <c r="BJ79" s="919"/>
    </row>
    <row r="80" spans="1:62" s="618" customFormat="1" ht="16.5" hidden="1" customHeight="1">
      <c r="A80" s="1015"/>
      <c r="B80" s="1015"/>
      <c r="C80" s="1015"/>
      <c r="D80" s="1015"/>
      <c r="E80" s="629">
        <v>17.100000000000001</v>
      </c>
      <c r="F80" s="714" t="str">
        <f t="shared" ca="1" si="25"/>
        <v>1</v>
      </c>
      <c r="G80" s="1015"/>
      <c r="H80" s="150">
        <f>AC80</f>
        <v>0</v>
      </c>
      <c r="I80" s="152" t="s">
        <v>743</v>
      </c>
      <c r="J80" s="1015"/>
      <c r="K80" s="1015"/>
      <c r="L80" s="1015"/>
      <c r="M80" s="1015"/>
      <c r="N80" s="1015"/>
      <c r="O80" s="1015"/>
      <c r="P80" s="1015"/>
      <c r="Q80" s="1015"/>
      <c r="R80" s="1015"/>
      <c r="S80" s="1475"/>
      <c r="T80" s="715" t="b">
        <f ca="1">AND(F80&gt;0,Y80&gt;0)</f>
        <v>0</v>
      </c>
      <c r="U80" s="1015"/>
      <c r="V80" s="1015"/>
      <c r="W80" s="109" t="s">
        <v>170</v>
      </c>
      <c r="X80" s="1400"/>
      <c r="Y80" s="1400">
        <v>0</v>
      </c>
      <c r="Z80" s="1400"/>
      <c r="AA80" s="1350" t="s">
        <v>157</v>
      </c>
      <c r="AB80" s="153" t="str">
        <f>"1.6."&amp;Y80</f>
        <v>1.6.0</v>
      </c>
      <c r="AC80" s="42"/>
      <c r="AD80" s="95" t="s">
        <v>648</v>
      </c>
      <c r="AE80" s="203">
        <f t="shared" ref="AE80:BB80" si="33">AE82+AE84</f>
        <v>0</v>
      </c>
      <c r="AF80" s="203">
        <f t="shared" si="33"/>
        <v>0</v>
      </c>
      <c r="AG80" s="203">
        <f t="shared" si="33"/>
        <v>0</v>
      </c>
      <c r="AH80" s="203">
        <f t="shared" si="33"/>
        <v>0</v>
      </c>
      <c r="AI80" s="203">
        <f t="shared" si="33"/>
        <v>0</v>
      </c>
      <c r="AJ80" s="1063">
        <f t="shared" si="33"/>
        <v>0</v>
      </c>
      <c r="AK80" s="1063">
        <f t="shared" si="33"/>
        <v>0</v>
      </c>
      <c r="AL80" s="8">
        <f t="shared" si="33"/>
        <v>0</v>
      </c>
      <c r="AM80" s="8">
        <f t="shared" si="33"/>
        <v>0</v>
      </c>
      <c r="AN80" s="8">
        <f t="shared" si="33"/>
        <v>0</v>
      </c>
      <c r="AO80" s="8">
        <f t="shared" si="33"/>
        <v>0</v>
      </c>
      <c r="AP80" s="8">
        <f t="shared" si="33"/>
        <v>0</v>
      </c>
      <c r="AQ80" s="8">
        <f t="shared" si="33"/>
        <v>0</v>
      </c>
      <c r="AR80" s="8">
        <f t="shared" si="33"/>
        <v>0</v>
      </c>
      <c r="AS80" s="203">
        <f t="shared" si="33"/>
        <v>0</v>
      </c>
      <c r="AT80" s="1063">
        <f t="shared" si="33"/>
        <v>0</v>
      </c>
      <c r="AU80" s="1063">
        <f t="shared" si="33"/>
        <v>0</v>
      </c>
      <c r="AV80" s="8">
        <f t="shared" si="33"/>
        <v>0</v>
      </c>
      <c r="AW80" s="8">
        <f t="shared" si="33"/>
        <v>0</v>
      </c>
      <c r="AX80" s="8">
        <f t="shared" si="33"/>
        <v>0</v>
      </c>
      <c r="AY80" s="8">
        <f t="shared" si="33"/>
        <v>0</v>
      </c>
      <c r="AZ80" s="8">
        <f t="shared" si="33"/>
        <v>0</v>
      </c>
      <c r="BA80" s="8">
        <f t="shared" si="33"/>
        <v>0</v>
      </c>
      <c r="BB80" s="8">
        <f t="shared" si="33"/>
        <v>0</v>
      </c>
      <c r="BC80" s="22"/>
      <c r="BD80" s="1015"/>
      <c r="BE80" s="1015"/>
      <c r="BF80" s="912" t="s">
        <v>766</v>
      </c>
      <c r="BG80" s="918" t="s">
        <v>767</v>
      </c>
      <c r="BH80" s="918">
        <f>AC80</f>
        <v>0</v>
      </c>
      <c r="BI80" s="919"/>
      <c r="BJ80" s="919"/>
    </row>
    <row r="81" spans="1:62" s="618" customFormat="1" ht="16.5" hidden="1" customHeight="1">
      <c r="B81" s="1015"/>
      <c r="C81" s="1015"/>
      <c r="D81" s="1015"/>
      <c r="E81" s="629">
        <v>17.100000000000001</v>
      </c>
      <c r="F81" s="714" t="str">
        <f t="shared" ca="1" si="25"/>
        <v>1</v>
      </c>
      <c r="G81" s="1015"/>
      <c r="H81" s="394">
        <f>H80</f>
        <v>0</v>
      </c>
      <c r="I81" s="1015"/>
      <c r="J81" s="1015"/>
      <c r="K81" s="1015"/>
      <c r="L81" s="1015"/>
      <c r="M81" s="1015"/>
      <c r="N81" s="1015"/>
      <c r="O81" s="1015"/>
      <c r="P81" s="1015"/>
      <c r="Q81" s="1015"/>
      <c r="R81" s="1015"/>
      <c r="S81" s="1475"/>
      <c r="T81" s="733" t="b">
        <f ca="1">T80</f>
        <v>0</v>
      </c>
      <c r="U81" s="1015"/>
      <c r="V81" s="1015"/>
      <c r="W81" s="1015"/>
      <c r="X81" s="1400"/>
      <c r="Y81" s="1400"/>
      <c r="Z81" s="1400"/>
      <c r="AA81" s="1350"/>
      <c r="AB81" s="433" t="str">
        <f>AB80&amp;".1"</f>
        <v>1.6.0.1</v>
      </c>
      <c r="AC81" s="524" t="s">
        <v>759</v>
      </c>
      <c r="AD81" s="1017" t="s">
        <v>760</v>
      </c>
      <c r="AE81" s="1130"/>
      <c r="AF81" s="203">
        <f>IF(AF83=0,0,AF82/AF83)</f>
        <v>0</v>
      </c>
      <c r="AG81" s="203">
        <f>IF(AG83=0,0,AG82/AG83)</f>
        <v>0</v>
      </c>
      <c r="AH81" s="1130"/>
      <c r="AI81" s="203">
        <f t="shared" ref="AI81:AR81" si="34">IF(AI83=0,0,AI82/AI83)</f>
        <v>0</v>
      </c>
      <c r="AJ81" s="1124">
        <f t="shared" si="34"/>
        <v>0</v>
      </c>
      <c r="AK81" s="1124">
        <f t="shared" si="34"/>
        <v>0</v>
      </c>
      <c r="AL81" s="203">
        <f t="shared" si="34"/>
        <v>0</v>
      </c>
      <c r="AM81" s="203">
        <f t="shared" si="34"/>
        <v>0</v>
      </c>
      <c r="AN81" s="203">
        <f t="shared" si="34"/>
        <v>0</v>
      </c>
      <c r="AO81" s="203">
        <f t="shared" si="34"/>
        <v>0</v>
      </c>
      <c r="AP81" s="203">
        <f t="shared" si="34"/>
        <v>0</v>
      </c>
      <c r="AQ81" s="203">
        <f t="shared" si="34"/>
        <v>0</v>
      </c>
      <c r="AR81" s="203">
        <f t="shared" si="34"/>
        <v>0</v>
      </c>
      <c r="AS81" s="149"/>
      <c r="AT81" s="1063"/>
      <c r="AU81" s="1063"/>
      <c r="AV81" s="1130"/>
      <c r="AW81" s="1130"/>
      <c r="AX81" s="1130"/>
      <c r="AY81" s="1130"/>
      <c r="AZ81" s="1130"/>
      <c r="BA81" s="1130"/>
      <c r="BB81" s="1130"/>
      <c r="BC81" s="1131"/>
      <c r="BD81" s="1015"/>
      <c r="BE81" s="1015"/>
      <c r="BF81" s="930" t="s">
        <v>761</v>
      </c>
      <c r="BG81" s="918" t="s">
        <v>767</v>
      </c>
      <c r="BH81" s="918">
        <f>BH80</f>
        <v>0</v>
      </c>
      <c r="BI81" s="919"/>
      <c r="BJ81" s="919"/>
    </row>
    <row r="82" spans="1:62" s="618" customFormat="1" ht="16.5" hidden="1" customHeight="1">
      <c r="A82" s="970" t="str">
        <f ca="1">"checkCosts_2."&amp;F82&amp;"."&amp;Y80</f>
        <v>checkCosts_2.1.0</v>
      </c>
      <c r="B82" s="1015"/>
      <c r="C82" s="1015"/>
      <c r="D82" s="1015"/>
      <c r="E82" s="629">
        <v>17.100000000000001</v>
      </c>
      <c r="F82" s="714" t="str">
        <f t="shared" ca="1" si="25"/>
        <v>1</v>
      </c>
      <c r="G82" s="1015"/>
      <c r="H82" s="150">
        <f>H80</f>
        <v>0</v>
      </c>
      <c r="I82" s="1015"/>
      <c r="J82" s="1015"/>
      <c r="K82" s="1015"/>
      <c r="L82" s="1015"/>
      <c r="M82" s="1015"/>
      <c r="N82" s="1015"/>
      <c r="O82" s="1015"/>
      <c r="P82" s="1015"/>
      <c r="Q82" s="1015"/>
      <c r="R82" s="1015"/>
      <c r="S82" s="1475"/>
      <c r="T82" s="715" t="b">
        <f ca="1">T80</f>
        <v>0</v>
      </c>
      <c r="U82" s="1015"/>
      <c r="V82" s="1015"/>
      <c r="W82" s="1015"/>
      <c r="X82" s="1400"/>
      <c r="Y82" s="1400"/>
      <c r="Z82" s="1400"/>
      <c r="AA82" s="1350"/>
      <c r="AB82" s="153" t="str">
        <f>AB80&amp;".2"</f>
        <v>1.6.0.2</v>
      </c>
      <c r="AC82" s="210" t="s">
        <v>768</v>
      </c>
      <c r="AD82" s="95" t="s">
        <v>648</v>
      </c>
      <c r="AE82" s="8"/>
      <c r="AF82" s="8"/>
      <c r="AG82" s="8"/>
      <c r="AH82" s="8"/>
      <c r="AI82" s="149"/>
      <c r="AJ82" s="1063"/>
      <c r="AK82" s="1063"/>
      <c r="AL82" s="8"/>
      <c r="AM82" s="8"/>
      <c r="AN82" s="8"/>
      <c r="AO82" s="8"/>
      <c r="AP82" s="8"/>
      <c r="AQ82" s="8"/>
      <c r="AR82" s="8"/>
      <c r="AS82" s="149"/>
      <c r="AT82" s="1063"/>
      <c r="AU82" s="1063"/>
      <c r="AV82" s="8"/>
      <c r="AW82" s="8"/>
      <c r="AX82" s="8"/>
      <c r="AY82" s="8"/>
      <c r="AZ82" s="8"/>
      <c r="BA82" s="8"/>
      <c r="BB82" s="8"/>
      <c r="BC82" s="22"/>
      <c r="BD82" s="1015"/>
      <c r="BE82" s="1015"/>
      <c r="BF82" s="912" t="s">
        <v>757</v>
      </c>
      <c r="BG82" s="918" t="s">
        <v>767</v>
      </c>
      <c r="BH82" s="918">
        <f>BH80</f>
        <v>0</v>
      </c>
      <c r="BI82" s="919"/>
      <c r="BJ82" s="919"/>
    </row>
    <row r="83" spans="1:62" s="618" customFormat="1" ht="16.5" hidden="1" customHeight="1">
      <c r="A83" s="970" t="str">
        <f ca="1">"checkVolume_2."&amp;F83&amp;"."&amp;Y80</f>
        <v>checkVolume_2.1.0</v>
      </c>
      <c r="B83" s="1015"/>
      <c r="C83" s="1015"/>
      <c r="D83" s="1015"/>
      <c r="E83" s="629">
        <v>17.100000000000001</v>
      </c>
      <c r="F83" s="714" t="str">
        <f t="shared" ca="1" si="25"/>
        <v>1</v>
      </c>
      <c r="G83" s="1015"/>
      <c r="H83" s="150">
        <f>H82</f>
        <v>0</v>
      </c>
      <c r="I83" s="1015"/>
      <c r="J83" s="1015"/>
      <c r="K83" s="1015"/>
      <c r="L83" s="1015"/>
      <c r="M83" s="1015"/>
      <c r="N83" s="1015"/>
      <c r="O83" s="1015"/>
      <c r="P83" s="1015"/>
      <c r="Q83" s="1015"/>
      <c r="R83" s="1015"/>
      <c r="S83" s="1475"/>
      <c r="T83" s="715" t="b">
        <f ca="1">T82</f>
        <v>0</v>
      </c>
      <c r="U83" s="1015"/>
      <c r="V83" s="1015"/>
      <c r="W83" s="1015"/>
      <c r="X83" s="1400"/>
      <c r="Y83" s="1400"/>
      <c r="Z83" s="1400"/>
      <c r="AA83" s="1350"/>
      <c r="AB83" s="153" t="str">
        <f>AB80&amp;".2.1"</f>
        <v>1.6.0.2.1</v>
      </c>
      <c r="AC83" s="327" t="s">
        <v>762</v>
      </c>
      <c r="AD83" s="108" t="s">
        <v>572</v>
      </c>
      <c r="AE83" s="8"/>
      <c r="AF83" s="8"/>
      <c r="AG83" s="8"/>
      <c r="AH83" s="8"/>
      <c r="AI83" s="149"/>
      <c r="AJ83" s="1063"/>
      <c r="AK83" s="1063"/>
      <c r="AL83" s="8"/>
      <c r="AM83" s="8"/>
      <c r="AN83" s="8"/>
      <c r="AO83" s="8"/>
      <c r="AP83" s="8"/>
      <c r="AQ83" s="8"/>
      <c r="AR83" s="8"/>
      <c r="AS83" s="149"/>
      <c r="AT83" s="1063"/>
      <c r="AU83" s="1063"/>
      <c r="AV83" s="8"/>
      <c r="AW83" s="8"/>
      <c r="AX83" s="8"/>
      <c r="AY83" s="8"/>
      <c r="AZ83" s="8"/>
      <c r="BA83" s="8"/>
      <c r="BB83" s="8"/>
      <c r="BC83" s="22"/>
      <c r="BD83" s="1015"/>
      <c r="BE83" s="1015"/>
      <c r="BF83" s="912" t="s">
        <v>763</v>
      </c>
      <c r="BG83" s="918" t="s">
        <v>767</v>
      </c>
      <c r="BH83" s="918">
        <f>BH82</f>
        <v>0</v>
      </c>
      <c r="BI83" s="919"/>
      <c r="BJ83" s="919"/>
    </row>
    <row r="84" spans="1:62" s="618" customFormat="1" ht="16.5" hidden="1" customHeight="1">
      <c r="A84" s="970" t="str">
        <f ca="1">"checkCosts_3."&amp;F84&amp;"."&amp;Y80</f>
        <v>checkCosts_3.1.0</v>
      </c>
      <c r="B84" s="1015"/>
      <c r="C84" s="1015"/>
      <c r="D84" s="1015"/>
      <c r="E84" s="629">
        <v>17.100000000000001</v>
      </c>
      <c r="F84" s="714" t="str">
        <f t="shared" ca="1" si="25"/>
        <v>1</v>
      </c>
      <c r="G84" s="1015"/>
      <c r="H84" s="150">
        <f>H83</f>
        <v>0</v>
      </c>
      <c r="I84" s="1015"/>
      <c r="J84" s="1015"/>
      <c r="K84" s="1015"/>
      <c r="L84" s="1015"/>
      <c r="M84" s="1015"/>
      <c r="N84" s="1015"/>
      <c r="O84" s="1015"/>
      <c r="P84" s="1015"/>
      <c r="Q84" s="1015"/>
      <c r="R84" s="1015"/>
      <c r="S84" s="1475"/>
      <c r="T84" s="715" t="b">
        <f ca="1">T83</f>
        <v>0</v>
      </c>
      <c r="U84" s="1015"/>
      <c r="V84" s="1015"/>
      <c r="W84" s="1015"/>
      <c r="X84" s="1400"/>
      <c r="Y84" s="1400"/>
      <c r="Z84" s="1400"/>
      <c r="AA84" s="1350"/>
      <c r="AB84" s="153" t="str">
        <f>AB80&amp;".3"</f>
        <v>1.6.0.3</v>
      </c>
      <c r="AC84" s="210" t="s">
        <v>769</v>
      </c>
      <c r="AD84" s="95" t="s">
        <v>770</v>
      </c>
      <c r="AE84" s="8"/>
      <c r="AF84" s="8"/>
      <c r="AG84" s="8"/>
      <c r="AH84" s="8"/>
      <c r="AI84" s="149"/>
      <c r="AJ84" s="1063"/>
      <c r="AK84" s="1063"/>
      <c r="AL84" s="8"/>
      <c r="AM84" s="8"/>
      <c r="AN84" s="8"/>
      <c r="AO84" s="8"/>
      <c r="AP84" s="8"/>
      <c r="AQ84" s="8"/>
      <c r="AR84" s="8"/>
      <c r="AS84" s="149"/>
      <c r="AT84" s="1063"/>
      <c r="AU84" s="1063"/>
      <c r="AV84" s="8"/>
      <c r="AW84" s="8"/>
      <c r="AX84" s="8"/>
      <c r="AY84" s="8"/>
      <c r="AZ84" s="8"/>
      <c r="BA84" s="8"/>
      <c r="BB84" s="8"/>
      <c r="BC84" s="22"/>
      <c r="BD84" s="1015"/>
      <c r="BE84" s="1015"/>
      <c r="BF84" s="912" t="s">
        <v>771</v>
      </c>
      <c r="BG84" s="918" t="s">
        <v>767</v>
      </c>
      <c r="BH84" s="918">
        <f>BH83</f>
        <v>0</v>
      </c>
      <c r="BI84" s="919"/>
      <c r="BJ84" s="919"/>
    </row>
    <row r="85" spans="1:62" s="618" customFormat="1" ht="16.5" hidden="1" customHeight="1">
      <c r="A85" s="970" t="str">
        <f ca="1">"checkVolume_3."&amp;F85&amp;"."&amp;Y80</f>
        <v>checkVolume_3.1.0</v>
      </c>
      <c r="B85" s="1015"/>
      <c r="C85" s="1015"/>
      <c r="D85" s="1015"/>
      <c r="E85" s="629">
        <v>17.100000000000001</v>
      </c>
      <c r="F85" s="714" t="str">
        <f t="shared" ca="1" si="25"/>
        <v>1</v>
      </c>
      <c r="G85" s="1015"/>
      <c r="H85" s="150">
        <f>H84</f>
        <v>0</v>
      </c>
      <c r="I85" s="1015"/>
      <c r="J85" s="1015"/>
      <c r="K85" s="1015"/>
      <c r="L85" s="1015"/>
      <c r="M85" s="1015"/>
      <c r="N85" s="1015"/>
      <c r="O85" s="1015"/>
      <c r="P85" s="1015"/>
      <c r="Q85" s="1015"/>
      <c r="R85" s="1015"/>
      <c r="S85" s="1475"/>
      <c r="T85" s="715" t="b">
        <f ca="1">T84</f>
        <v>0</v>
      </c>
      <c r="U85" s="1015"/>
      <c r="V85" s="1015"/>
      <c r="W85" s="1015"/>
      <c r="X85" s="1400"/>
      <c r="Y85" s="1400"/>
      <c r="Z85" s="1400"/>
      <c r="AA85" s="1350"/>
      <c r="AB85" s="641" t="str">
        <f>AB80&amp;".3.1"</f>
        <v>1.6.0.3.1</v>
      </c>
      <c r="AC85" s="607" t="s">
        <v>772</v>
      </c>
      <c r="AD85" s="112" t="s">
        <v>773</v>
      </c>
      <c r="AE85" s="43"/>
      <c r="AF85" s="43"/>
      <c r="AG85" s="43"/>
      <c r="AH85" s="43"/>
      <c r="AI85" s="608"/>
      <c r="AJ85" s="1128"/>
      <c r="AK85" s="1128"/>
      <c r="AL85" s="43"/>
      <c r="AM85" s="43"/>
      <c r="AN85" s="43"/>
      <c r="AO85" s="43"/>
      <c r="AP85" s="43"/>
      <c r="AQ85" s="43"/>
      <c r="AR85" s="43"/>
      <c r="AS85" s="608"/>
      <c r="AT85" s="1128"/>
      <c r="AU85" s="1128"/>
      <c r="AV85" s="43"/>
      <c r="AW85" s="43"/>
      <c r="AX85" s="43"/>
      <c r="AY85" s="43"/>
      <c r="AZ85" s="43"/>
      <c r="BA85" s="43"/>
      <c r="BB85" s="43"/>
      <c r="BC85" s="18"/>
      <c r="BD85" s="1015"/>
      <c r="BE85" s="1015"/>
      <c r="BF85" s="912" t="s">
        <v>774</v>
      </c>
      <c r="BG85" s="918" t="s">
        <v>767</v>
      </c>
      <c r="BH85" s="918">
        <f>BH84</f>
        <v>0</v>
      </c>
      <c r="BI85" s="919"/>
      <c r="BJ85" s="919"/>
    </row>
    <row r="86" spans="1:62" s="750" customFormat="1" ht="16.5" customHeight="1">
      <c r="E86" s="623">
        <v>17.100000000000001</v>
      </c>
      <c r="F86" s="714" t="str">
        <f t="shared" ca="1" si="25"/>
        <v>1</v>
      </c>
      <c r="T86" s="715" t="b">
        <f ca="1">F86&gt;0</f>
        <v>1</v>
      </c>
      <c r="W86" s="291" t="s">
        <v>775</v>
      </c>
      <c r="X86" s="1485"/>
      <c r="Z86" s="1485"/>
      <c r="AB86" s="642"/>
      <c r="AC86" s="609" t="s">
        <v>776</v>
      </c>
      <c r="AD86" s="609"/>
      <c r="AE86" s="609"/>
      <c r="AF86" s="609"/>
      <c r="AG86" s="609"/>
      <c r="AH86" s="609"/>
      <c r="AI86" s="609"/>
      <c r="AJ86" s="609"/>
      <c r="AK86" s="609"/>
      <c r="AL86" s="609"/>
      <c r="AM86" s="609"/>
      <c r="AN86" s="609"/>
      <c r="AO86" s="609"/>
      <c r="AP86" s="609"/>
      <c r="AQ86" s="609"/>
      <c r="AR86" s="609"/>
      <c r="AS86" s="609"/>
      <c r="AT86" s="609"/>
      <c r="AU86" s="609"/>
      <c r="AV86" s="609"/>
      <c r="AW86" s="609"/>
      <c r="AX86" s="609"/>
      <c r="AY86" s="609"/>
      <c r="AZ86" s="609"/>
      <c r="BA86" s="609"/>
      <c r="BB86" s="609"/>
      <c r="BC86" s="848"/>
      <c r="BF86" s="902"/>
      <c r="BG86" s="902"/>
      <c r="BH86" s="902"/>
      <c r="BI86" s="917" t="s">
        <v>767</v>
      </c>
      <c r="BJ86" s="917"/>
    </row>
    <row r="87" spans="1:62" s="750" customFormat="1" ht="12" hidden="1" customHeight="1">
      <c r="E87" s="623">
        <v>0</v>
      </c>
      <c r="F87" s="714" t="str">
        <f t="shared" ca="1" si="25"/>
        <v>1</v>
      </c>
      <c r="T87" s="715" t="b">
        <f ca="1">F87&gt;0</f>
        <v>1</v>
      </c>
      <c r="X87" s="1485"/>
      <c r="Z87" s="1485"/>
      <c r="BF87" s="902"/>
      <c r="BG87" s="902"/>
      <c r="BH87" s="902"/>
      <c r="BI87" s="917"/>
      <c r="BJ87" s="917"/>
    </row>
    <row r="88" spans="1:62" s="160" customFormat="1" ht="14.25" customHeight="1">
      <c r="E88" s="716">
        <v>15</v>
      </c>
      <c r="F88" s="714" t="str">
        <f t="shared" ca="1" si="25"/>
        <v>1</v>
      </c>
      <c r="G88" s="130" t="s">
        <v>777</v>
      </c>
      <c r="I88" s="152" t="s">
        <v>743</v>
      </c>
      <c r="T88" s="715" t="b">
        <f ca="1">F88&gt;0</f>
        <v>1</v>
      </c>
      <c r="X88" s="1482"/>
      <c r="Z88" s="1482"/>
      <c r="AB88" s="643">
        <v>2</v>
      </c>
      <c r="AC88" s="612" t="s">
        <v>778</v>
      </c>
      <c r="AD88" s="613" t="s">
        <v>648</v>
      </c>
      <c r="AE88" s="216">
        <f t="shared" ref="AE88:BB88" si="35">SUMIF($I92:$I108,$I88,AE92:AE108)</f>
        <v>0</v>
      </c>
      <c r="AF88" s="216">
        <f t="shared" si="35"/>
        <v>0</v>
      </c>
      <c r="AG88" s="216">
        <f t="shared" si="35"/>
        <v>0</v>
      </c>
      <c r="AH88" s="216">
        <f t="shared" si="35"/>
        <v>0</v>
      </c>
      <c r="AI88" s="216">
        <f t="shared" si="35"/>
        <v>0</v>
      </c>
      <c r="AJ88" s="1132">
        <f t="shared" si="35"/>
        <v>0</v>
      </c>
      <c r="AK88" s="1132">
        <f t="shared" si="35"/>
        <v>0</v>
      </c>
      <c r="AL88" s="1144">
        <f t="shared" si="35"/>
        <v>0</v>
      </c>
      <c r="AM88" s="1144">
        <f t="shared" si="35"/>
        <v>0</v>
      </c>
      <c r="AN88" s="1144">
        <f t="shared" si="35"/>
        <v>0</v>
      </c>
      <c r="AO88" s="1144">
        <f t="shared" si="35"/>
        <v>0</v>
      </c>
      <c r="AP88" s="1144">
        <f t="shared" si="35"/>
        <v>0</v>
      </c>
      <c r="AQ88" s="1144">
        <f t="shared" si="35"/>
        <v>0</v>
      </c>
      <c r="AR88" s="1144">
        <f t="shared" si="35"/>
        <v>0</v>
      </c>
      <c r="AS88" s="216">
        <f t="shared" si="35"/>
        <v>0</v>
      </c>
      <c r="AT88" s="1132">
        <f t="shared" si="35"/>
        <v>0</v>
      </c>
      <c r="AU88" s="1132">
        <f t="shared" si="35"/>
        <v>0</v>
      </c>
      <c r="AV88" s="1144">
        <f t="shared" si="35"/>
        <v>0</v>
      </c>
      <c r="AW88" s="1144">
        <f t="shared" si="35"/>
        <v>0</v>
      </c>
      <c r="AX88" s="1144">
        <f t="shared" si="35"/>
        <v>0</v>
      </c>
      <c r="AY88" s="1144">
        <f t="shared" si="35"/>
        <v>0</v>
      </c>
      <c r="AZ88" s="1144">
        <f t="shared" si="35"/>
        <v>0</v>
      </c>
      <c r="BA88" s="1144">
        <f t="shared" si="35"/>
        <v>0</v>
      </c>
      <c r="BB88" s="1144">
        <f t="shared" si="35"/>
        <v>0</v>
      </c>
      <c r="BC88" s="1145"/>
      <c r="BF88" s="920" t="s">
        <v>779</v>
      </c>
      <c r="BG88" s="920"/>
      <c r="BH88" s="920"/>
      <c r="BI88" s="921"/>
      <c r="BJ88" s="921"/>
    </row>
    <row r="89" spans="1:62" s="160" customFormat="1" ht="14.25" hidden="1" customHeight="1">
      <c r="E89" s="716">
        <v>15</v>
      </c>
      <c r="F89" s="714" t="str">
        <f t="shared" ca="1" si="25"/>
        <v>1</v>
      </c>
      <c r="G89" s="130" t="s">
        <v>780</v>
      </c>
      <c r="L89" s="150" t="str">
        <f ca="1">INDEX('Общие сведения'!$AK$169:$AK$202,MATCH($F89,'Общие сведения'!$Z$169:$Z$202,0))</f>
        <v>одноставочный</v>
      </c>
      <c r="R89" s="130" t="s">
        <v>781</v>
      </c>
      <c r="T89" s="715" t="b">
        <f ca="1">AND(F89&gt;0,L89="двухставочный")</f>
        <v>0</v>
      </c>
      <c r="X89" s="1482"/>
      <c r="Z89" s="1482"/>
      <c r="AA89" s="713" t="s">
        <v>782</v>
      </c>
      <c r="AB89" s="222" t="s">
        <v>782</v>
      </c>
      <c r="AC89" s="455" t="s">
        <v>783</v>
      </c>
      <c r="AD89" s="464" t="s">
        <v>648</v>
      </c>
      <c r="AE89" s="510">
        <f t="shared" ref="AE89:BB89" si="36">SUMIFS(AE92:AE108,$AC92:$AC108,$AC89)</f>
        <v>0</v>
      </c>
      <c r="AF89" s="510">
        <f t="shared" si="36"/>
        <v>0</v>
      </c>
      <c r="AG89" s="510">
        <f t="shared" si="36"/>
        <v>0</v>
      </c>
      <c r="AH89" s="510">
        <f t="shared" si="36"/>
        <v>0</v>
      </c>
      <c r="AI89" s="510">
        <f t="shared" si="36"/>
        <v>0</v>
      </c>
      <c r="AJ89" s="1133">
        <f t="shared" si="36"/>
        <v>0</v>
      </c>
      <c r="AK89" s="1133">
        <f t="shared" si="36"/>
        <v>0</v>
      </c>
      <c r="AL89" s="15">
        <f t="shared" si="36"/>
        <v>0</v>
      </c>
      <c r="AM89" s="15">
        <f t="shared" si="36"/>
        <v>0</v>
      </c>
      <c r="AN89" s="15">
        <f t="shared" si="36"/>
        <v>0</v>
      </c>
      <c r="AO89" s="15">
        <f t="shared" si="36"/>
        <v>0</v>
      </c>
      <c r="AP89" s="15">
        <f t="shared" si="36"/>
        <v>0</v>
      </c>
      <c r="AQ89" s="15">
        <f t="shared" si="36"/>
        <v>0</v>
      </c>
      <c r="AR89" s="15">
        <f t="shared" si="36"/>
        <v>0</v>
      </c>
      <c r="AS89" s="510">
        <f t="shared" si="36"/>
        <v>0</v>
      </c>
      <c r="AT89" s="1133">
        <f t="shared" si="36"/>
        <v>0</v>
      </c>
      <c r="AU89" s="1133">
        <f t="shared" si="36"/>
        <v>0</v>
      </c>
      <c r="AV89" s="15">
        <f t="shared" si="36"/>
        <v>0</v>
      </c>
      <c r="AW89" s="15">
        <f t="shared" si="36"/>
        <v>0</v>
      </c>
      <c r="AX89" s="15">
        <f t="shared" si="36"/>
        <v>0</v>
      </c>
      <c r="AY89" s="15">
        <f t="shared" si="36"/>
        <v>0</v>
      </c>
      <c r="AZ89" s="15">
        <f t="shared" si="36"/>
        <v>0</v>
      </c>
      <c r="BA89" s="15">
        <f t="shared" si="36"/>
        <v>0</v>
      </c>
      <c r="BB89" s="15">
        <f t="shared" si="36"/>
        <v>0</v>
      </c>
      <c r="BC89" s="45"/>
      <c r="BF89" s="920" t="s">
        <v>784</v>
      </c>
      <c r="BG89" s="920"/>
      <c r="BH89" s="920"/>
      <c r="BI89" s="921"/>
      <c r="BJ89" s="921"/>
    </row>
    <row r="90" spans="1:62" s="160" customFormat="1" ht="14.25" customHeight="1">
      <c r="E90" s="716">
        <v>15</v>
      </c>
      <c r="F90" s="714" t="str">
        <f t="shared" ca="1" si="25"/>
        <v>1</v>
      </c>
      <c r="T90" s="715" t="b">
        <f ca="1">T88</f>
        <v>1</v>
      </c>
      <c r="X90" s="1482"/>
      <c r="Z90" s="1482"/>
      <c r="AB90" s="153" t="s">
        <v>346</v>
      </c>
      <c r="AC90" s="210" t="s">
        <v>785</v>
      </c>
      <c r="AD90" s="93" t="s">
        <v>598</v>
      </c>
      <c r="AE90" s="203">
        <f t="shared" ref="AE90:BB90" si="37">SUMIF($AD92:$AD108,$AD90,AE92:AE108)</f>
        <v>0</v>
      </c>
      <c r="AF90" s="203">
        <f t="shared" si="37"/>
        <v>0</v>
      </c>
      <c r="AG90" s="203">
        <f t="shared" si="37"/>
        <v>0</v>
      </c>
      <c r="AH90" s="203">
        <f t="shared" si="37"/>
        <v>0</v>
      </c>
      <c r="AI90" s="203">
        <f t="shared" si="37"/>
        <v>0</v>
      </c>
      <c r="AJ90" s="1063">
        <f t="shared" si="37"/>
        <v>0</v>
      </c>
      <c r="AK90" s="1063">
        <f t="shared" si="37"/>
        <v>0</v>
      </c>
      <c r="AL90" s="1070">
        <f t="shared" si="37"/>
        <v>0</v>
      </c>
      <c r="AM90" s="1070">
        <f t="shared" si="37"/>
        <v>0</v>
      </c>
      <c r="AN90" s="1070">
        <f t="shared" si="37"/>
        <v>0</v>
      </c>
      <c r="AO90" s="1070">
        <f t="shared" si="37"/>
        <v>0</v>
      </c>
      <c r="AP90" s="1070">
        <f t="shared" si="37"/>
        <v>0</v>
      </c>
      <c r="AQ90" s="1070">
        <f t="shared" si="37"/>
        <v>0</v>
      </c>
      <c r="AR90" s="1070">
        <f t="shared" si="37"/>
        <v>0</v>
      </c>
      <c r="AS90" s="203">
        <f t="shared" si="37"/>
        <v>0</v>
      </c>
      <c r="AT90" s="1063">
        <f t="shared" si="37"/>
        <v>0</v>
      </c>
      <c r="AU90" s="1063">
        <f t="shared" si="37"/>
        <v>0</v>
      </c>
      <c r="AV90" s="1070">
        <f t="shared" si="37"/>
        <v>0</v>
      </c>
      <c r="AW90" s="1070">
        <f t="shared" si="37"/>
        <v>0</v>
      </c>
      <c r="AX90" s="1070">
        <f t="shared" si="37"/>
        <v>0</v>
      </c>
      <c r="AY90" s="1070">
        <f t="shared" si="37"/>
        <v>0</v>
      </c>
      <c r="AZ90" s="1070">
        <f t="shared" si="37"/>
        <v>0</v>
      </c>
      <c r="BA90" s="1070">
        <f t="shared" si="37"/>
        <v>0</v>
      </c>
      <c r="BB90" s="1070">
        <f t="shared" si="37"/>
        <v>0</v>
      </c>
      <c r="BC90" s="1145"/>
      <c r="BF90" s="920" t="s">
        <v>786</v>
      </c>
      <c r="BG90" s="920"/>
      <c r="BH90" s="920"/>
      <c r="BI90" s="921"/>
      <c r="BJ90" s="921"/>
    </row>
    <row r="91" spans="1:62" s="160" customFormat="1" ht="14.25" customHeight="1">
      <c r="E91" s="716">
        <v>15</v>
      </c>
      <c r="F91" s="714" t="str">
        <f t="shared" ca="1" si="25"/>
        <v>1</v>
      </c>
      <c r="T91" s="733" t="b">
        <f ca="1">T90</f>
        <v>1</v>
      </c>
      <c r="X91" s="1482"/>
      <c r="Z91" s="1482"/>
      <c r="AB91" s="433" t="s">
        <v>377</v>
      </c>
      <c r="AC91" s="524" t="s">
        <v>750</v>
      </c>
      <c r="AD91" s="1019" t="s">
        <v>787</v>
      </c>
      <c r="AE91" s="203">
        <f t="shared" ref="AE91:BB91" si="38">IF(AE90=0,0,AE88/AE90*1000)</f>
        <v>0</v>
      </c>
      <c r="AF91" s="203">
        <f t="shared" si="38"/>
        <v>0</v>
      </c>
      <c r="AG91" s="203">
        <f t="shared" si="38"/>
        <v>0</v>
      </c>
      <c r="AH91" s="203">
        <f t="shared" si="38"/>
        <v>0</v>
      </c>
      <c r="AI91" s="203">
        <f t="shared" si="38"/>
        <v>0</v>
      </c>
      <c r="AJ91" s="1063">
        <f t="shared" si="38"/>
        <v>0</v>
      </c>
      <c r="AK91" s="1063">
        <f t="shared" si="38"/>
        <v>0</v>
      </c>
      <c r="AL91" s="1070">
        <f t="shared" si="38"/>
        <v>0</v>
      </c>
      <c r="AM91" s="1070">
        <f t="shared" si="38"/>
        <v>0</v>
      </c>
      <c r="AN91" s="1070">
        <f t="shared" si="38"/>
        <v>0</v>
      </c>
      <c r="AO91" s="1070">
        <f t="shared" si="38"/>
        <v>0</v>
      </c>
      <c r="AP91" s="1070">
        <f t="shared" si="38"/>
        <v>0</v>
      </c>
      <c r="AQ91" s="1070">
        <f t="shared" si="38"/>
        <v>0</v>
      </c>
      <c r="AR91" s="1070">
        <f t="shared" si="38"/>
        <v>0</v>
      </c>
      <c r="AS91" s="203">
        <f t="shared" si="38"/>
        <v>0</v>
      </c>
      <c r="AT91" s="1063">
        <f t="shared" si="38"/>
        <v>0</v>
      </c>
      <c r="AU91" s="1063">
        <f t="shared" si="38"/>
        <v>0</v>
      </c>
      <c r="AV91" s="1070">
        <f t="shared" si="38"/>
        <v>0</v>
      </c>
      <c r="AW91" s="1070">
        <f t="shared" si="38"/>
        <v>0</v>
      </c>
      <c r="AX91" s="1070">
        <f t="shared" si="38"/>
        <v>0</v>
      </c>
      <c r="AY91" s="1070">
        <f t="shared" si="38"/>
        <v>0</v>
      </c>
      <c r="AZ91" s="1070">
        <f t="shared" si="38"/>
        <v>0</v>
      </c>
      <c r="BA91" s="1070">
        <f t="shared" si="38"/>
        <v>0</v>
      </c>
      <c r="BB91" s="1070">
        <f t="shared" si="38"/>
        <v>0</v>
      </c>
      <c r="BC91" s="1145"/>
      <c r="BF91" s="920" t="s">
        <v>788</v>
      </c>
      <c r="BG91" s="920"/>
      <c r="BH91" s="920"/>
      <c r="BI91" s="921"/>
      <c r="BJ91" s="921"/>
    </row>
    <row r="92" spans="1:62" s="160" customFormat="1" ht="14.25" customHeight="1">
      <c r="E92" s="716">
        <v>15</v>
      </c>
      <c r="F92" s="714" t="str">
        <f t="shared" ca="1" si="25"/>
        <v>1</v>
      </c>
      <c r="T92" s="715" t="b">
        <f ca="1">T90</f>
        <v>1</v>
      </c>
      <c r="X92" s="1482"/>
      <c r="Z92" s="1482"/>
      <c r="AB92" s="153" t="s">
        <v>373</v>
      </c>
      <c r="AC92" s="264" t="s">
        <v>756</v>
      </c>
      <c r="AD92" s="265"/>
      <c r="AE92" s="266"/>
      <c r="AF92" s="266"/>
      <c r="AG92" s="266"/>
      <c r="AH92" s="266"/>
      <c r="AI92" s="266"/>
      <c r="AJ92" s="266"/>
      <c r="AK92" s="266"/>
      <c r="AL92" s="266"/>
      <c r="AM92" s="266"/>
      <c r="AN92" s="266"/>
      <c r="AO92" s="266"/>
      <c r="AP92" s="266"/>
      <c r="AQ92" s="266"/>
      <c r="AR92" s="266"/>
      <c r="AS92" s="266"/>
      <c r="AT92" s="266"/>
      <c r="AU92" s="266"/>
      <c r="AV92" s="266"/>
      <c r="AW92" s="266"/>
      <c r="AX92" s="266"/>
      <c r="AY92" s="266"/>
      <c r="AZ92" s="266"/>
      <c r="BA92" s="266"/>
      <c r="BB92" s="266"/>
      <c r="BC92" s="847"/>
      <c r="BF92" s="920"/>
      <c r="BG92" s="920"/>
      <c r="BH92" s="920"/>
      <c r="BI92" s="921"/>
      <c r="BJ92" s="921"/>
    </row>
    <row r="93" spans="1:62" s="160" customFormat="1" ht="17.25" hidden="1" customHeight="1">
      <c r="E93" s="716">
        <v>0</v>
      </c>
      <c r="F93" s="714" t="str">
        <f t="shared" ca="1" si="25"/>
        <v>1</v>
      </c>
      <c r="T93" s="715" t="b">
        <f ca="1">T92</f>
        <v>1</v>
      </c>
      <c r="X93" s="1482"/>
      <c r="Z93" s="1482"/>
      <c r="AB93" s="220"/>
      <c r="AC93" s="215"/>
      <c r="AD93" s="463"/>
      <c r="AE93" s="218"/>
      <c r="AF93" s="218"/>
      <c r="AG93" s="218"/>
      <c r="AH93" s="218"/>
      <c r="AI93" s="218"/>
      <c r="AJ93" s="218"/>
      <c r="AK93" s="218"/>
      <c r="AL93" s="218"/>
      <c r="AM93" s="218"/>
      <c r="AN93" s="218"/>
      <c r="AO93" s="218"/>
      <c r="AP93" s="218"/>
      <c r="AQ93" s="218"/>
      <c r="AR93" s="218"/>
      <c r="AS93" s="218"/>
      <c r="AT93" s="218"/>
      <c r="AU93" s="218"/>
      <c r="AV93" s="218"/>
      <c r="AW93" s="218"/>
      <c r="AX93" s="218"/>
      <c r="AY93" s="218"/>
      <c r="AZ93" s="218"/>
      <c r="BA93" s="218"/>
      <c r="BB93" s="218"/>
      <c r="BC93" s="227"/>
      <c r="BF93" s="920"/>
      <c r="BG93" s="920"/>
      <c r="BH93" s="920"/>
      <c r="BI93" s="921"/>
      <c r="BJ93" s="921"/>
    </row>
    <row r="94" spans="1:62" s="160" customFormat="1" ht="14.25" hidden="1" customHeight="1">
      <c r="A94" s="970" t="str">
        <f ca="1">"checkCosts_4."&amp;F94&amp;"."&amp;Y94</f>
        <v>checkCosts_4.1.0</v>
      </c>
      <c r="E94" s="716">
        <v>15</v>
      </c>
      <c r="F94" s="714" t="str">
        <f t="shared" ca="1" si="25"/>
        <v>1</v>
      </c>
      <c r="H94" s="94">
        <f>AC94</f>
        <v>0</v>
      </c>
      <c r="I94" s="152" t="s">
        <v>743</v>
      </c>
      <c r="S94" s="1482"/>
      <c r="T94" s="715" t="b">
        <f ca="1">AND(F94&gt;0,Y94&gt;0)</f>
        <v>0</v>
      </c>
      <c r="W94" s="109" t="s">
        <v>170</v>
      </c>
      <c r="X94" s="1482"/>
      <c r="Y94" s="1367">
        <v>0</v>
      </c>
      <c r="Z94" s="1482"/>
      <c r="AA94" s="1483" t="s">
        <v>157</v>
      </c>
      <c r="AB94" s="222" t="str">
        <f>"2.1."&amp;Y94</f>
        <v>2.1.0</v>
      </c>
      <c r="AC94" s="460"/>
      <c r="AD94" s="464" t="s">
        <v>648</v>
      </c>
      <c r="AE94" s="1135">
        <f>AE96*AE97/1000</f>
        <v>0</v>
      </c>
      <c r="AF94" s="11"/>
      <c r="AG94" s="11"/>
      <c r="AH94" s="1135">
        <f>AH96*AH97/1000</f>
        <v>0</v>
      </c>
      <c r="AI94" s="217"/>
      <c r="AJ94" s="1065"/>
      <c r="AK94" s="1065"/>
      <c r="AL94" s="11"/>
      <c r="AM94" s="11"/>
      <c r="AN94" s="11"/>
      <c r="AO94" s="11"/>
      <c r="AP94" s="11"/>
      <c r="AQ94" s="11"/>
      <c r="AR94" s="11"/>
      <c r="AS94" s="1136">
        <f t="shared" ref="AS94:BB94" si="39">AS96*AS97/1000</f>
        <v>0</v>
      </c>
      <c r="AT94" s="1136">
        <f t="shared" si="39"/>
        <v>0</v>
      </c>
      <c r="AU94" s="1136">
        <f t="shared" si="39"/>
        <v>0</v>
      </c>
      <c r="AV94" s="1135">
        <f t="shared" si="39"/>
        <v>0</v>
      </c>
      <c r="AW94" s="1135">
        <f t="shared" si="39"/>
        <v>0</v>
      </c>
      <c r="AX94" s="1135">
        <f t="shared" si="39"/>
        <v>0</v>
      </c>
      <c r="AY94" s="1135">
        <f t="shared" si="39"/>
        <v>0</v>
      </c>
      <c r="AZ94" s="1135">
        <f t="shared" si="39"/>
        <v>0</v>
      </c>
      <c r="BA94" s="1135">
        <f t="shared" si="39"/>
        <v>0</v>
      </c>
      <c r="BB94" s="1135">
        <f t="shared" si="39"/>
        <v>0</v>
      </c>
      <c r="BC94" s="46"/>
      <c r="BF94" s="920" t="s">
        <v>789</v>
      </c>
      <c r="BG94" s="920" t="s">
        <v>790</v>
      </c>
      <c r="BH94" s="920">
        <f>AC94</f>
        <v>0</v>
      </c>
      <c r="BI94" s="921"/>
      <c r="BJ94" s="921"/>
    </row>
    <row r="95" spans="1:62" s="160" customFormat="1" ht="14.25" hidden="1" customHeight="1">
      <c r="E95" s="716">
        <v>15</v>
      </c>
      <c r="F95" s="714" t="str">
        <f t="shared" ca="1" si="25"/>
        <v>1</v>
      </c>
      <c r="L95" s="150" t="str">
        <f ca="1">INDEX('Общие сведения'!$AK$169:$AK$202,MATCH($F95,'Общие сведения'!$Z$169:$Z$202,0))</f>
        <v>одноставочный</v>
      </c>
      <c r="R95" s="130" t="s">
        <v>781</v>
      </c>
      <c r="S95" s="1482"/>
      <c r="T95" s="715" t="b">
        <f ca="1">AND(T94,L95="двухставочный")</f>
        <v>0</v>
      </c>
      <c r="X95" s="1482"/>
      <c r="Y95" s="1482"/>
      <c r="Z95" s="1482"/>
      <c r="AA95" s="1483"/>
      <c r="AB95" s="222"/>
      <c r="AC95" s="455" t="s">
        <v>783</v>
      </c>
      <c r="AD95" s="464" t="s">
        <v>648</v>
      </c>
      <c r="AE95" s="15"/>
      <c r="AF95" s="15"/>
      <c r="AG95" s="15"/>
      <c r="AH95" s="15"/>
      <c r="AI95" s="465"/>
      <c r="AJ95" s="1133"/>
      <c r="AK95" s="1133"/>
      <c r="AL95" s="15"/>
      <c r="AM95" s="15"/>
      <c r="AN95" s="15"/>
      <c r="AO95" s="15"/>
      <c r="AP95" s="15"/>
      <c r="AQ95" s="15"/>
      <c r="AR95" s="15"/>
      <c r="AS95" s="465"/>
      <c r="AT95" s="1133"/>
      <c r="AU95" s="1133"/>
      <c r="AV95" s="15"/>
      <c r="AW95" s="15"/>
      <c r="AX95" s="15"/>
      <c r="AY95" s="15"/>
      <c r="AZ95" s="15"/>
      <c r="BA95" s="15"/>
      <c r="BB95" s="15"/>
      <c r="BC95" s="47"/>
      <c r="BF95" s="920" t="s">
        <v>791</v>
      </c>
      <c r="BG95" s="920" t="s">
        <v>790</v>
      </c>
      <c r="BH95" s="920">
        <f>BH94</f>
        <v>0</v>
      </c>
      <c r="BI95" s="921"/>
      <c r="BJ95" s="921"/>
    </row>
    <row r="96" spans="1:62" s="160" customFormat="1" ht="14.25" hidden="1" customHeight="1">
      <c r="E96" s="716">
        <v>15</v>
      </c>
      <c r="F96" s="714" t="str">
        <f t="shared" ca="1" si="25"/>
        <v>1</v>
      </c>
      <c r="H96" s="1018">
        <f>H94</f>
        <v>0</v>
      </c>
      <c r="S96" s="1482"/>
      <c r="T96" s="733" t="b">
        <f ca="1">T94</f>
        <v>0</v>
      </c>
      <c r="X96" s="1482"/>
      <c r="Y96" s="1482"/>
      <c r="Z96" s="1482"/>
      <c r="AA96" s="1483"/>
      <c r="AB96" s="408" t="str">
        <f>AB94&amp;".1"</f>
        <v>2.1.0.1</v>
      </c>
      <c r="AC96" s="455" t="s">
        <v>759</v>
      </c>
      <c r="AD96" s="1019" t="s">
        <v>787</v>
      </c>
      <c r="AE96" s="1137"/>
      <c r="AF96" s="510">
        <f>IF(AF97=0,0,AF94/AF97*1000)</f>
        <v>0</v>
      </c>
      <c r="AG96" s="510">
        <f>IF(AG97=0,0,AG94/AG97*1000)</f>
        <v>0</v>
      </c>
      <c r="AH96" s="1137"/>
      <c r="AI96" s="510">
        <f t="shared" ref="AI96:AR96" si="40">IF(AI97=0,0,AI94/AI97*1000)</f>
        <v>0</v>
      </c>
      <c r="AJ96" s="1138">
        <f t="shared" si="40"/>
        <v>0</v>
      </c>
      <c r="AK96" s="1138">
        <f t="shared" si="40"/>
        <v>0</v>
      </c>
      <c r="AL96" s="510">
        <f t="shared" si="40"/>
        <v>0</v>
      </c>
      <c r="AM96" s="510">
        <f t="shared" si="40"/>
        <v>0</v>
      </c>
      <c r="AN96" s="510">
        <f t="shared" si="40"/>
        <v>0</v>
      </c>
      <c r="AO96" s="510">
        <f t="shared" si="40"/>
        <v>0</v>
      </c>
      <c r="AP96" s="510">
        <f t="shared" si="40"/>
        <v>0</v>
      </c>
      <c r="AQ96" s="510">
        <f t="shared" si="40"/>
        <v>0</v>
      </c>
      <c r="AR96" s="510">
        <f t="shared" si="40"/>
        <v>0</v>
      </c>
      <c r="AS96" s="465"/>
      <c r="AT96" s="1133"/>
      <c r="AU96" s="1133"/>
      <c r="AV96" s="1137"/>
      <c r="AW96" s="1137"/>
      <c r="AX96" s="1137"/>
      <c r="AY96" s="1137"/>
      <c r="AZ96" s="1137"/>
      <c r="BA96" s="1137"/>
      <c r="BB96" s="1137"/>
      <c r="BC96" s="1131"/>
      <c r="BF96" s="920" t="s">
        <v>792</v>
      </c>
      <c r="BG96" s="920" t="s">
        <v>790</v>
      </c>
      <c r="BH96" s="920">
        <f>BH95</f>
        <v>0</v>
      </c>
      <c r="BI96" s="921"/>
      <c r="BJ96" s="921"/>
    </row>
    <row r="97" spans="1:62" s="160" customFormat="1" ht="14.25" hidden="1" customHeight="1">
      <c r="A97" s="970" t="str">
        <f ca="1">"checkVolume_4."&amp;F97&amp;"."&amp;Y94</f>
        <v>checkVolume_4.1.0</v>
      </c>
      <c r="E97" s="716">
        <v>15</v>
      </c>
      <c r="F97" s="714" t="str">
        <f t="shared" ca="1" si="25"/>
        <v>1</v>
      </c>
      <c r="H97" s="94">
        <f>H94</f>
        <v>0</v>
      </c>
      <c r="S97" s="1482"/>
      <c r="T97" s="715" t="b">
        <f ca="1">T94</f>
        <v>0</v>
      </c>
      <c r="X97" s="1482"/>
      <c r="Y97" s="1482"/>
      <c r="Z97" s="1482"/>
      <c r="AA97" s="1483"/>
      <c r="AB97" s="222" t="str">
        <f>AB94&amp;".2"</f>
        <v>2.1.0.2</v>
      </c>
      <c r="AC97" s="455" t="s">
        <v>793</v>
      </c>
      <c r="AD97" s="93" t="s">
        <v>598</v>
      </c>
      <c r="AE97" s="15"/>
      <c r="AF97" s="15"/>
      <c r="AG97" s="15"/>
      <c r="AH97" s="15"/>
      <c r="AI97" s="465"/>
      <c r="AJ97" s="1133"/>
      <c r="AK97" s="1133"/>
      <c r="AL97" s="15"/>
      <c r="AM97" s="15"/>
      <c r="AN97" s="15"/>
      <c r="AO97" s="15"/>
      <c r="AP97" s="15"/>
      <c r="AQ97" s="15"/>
      <c r="AR97" s="15"/>
      <c r="AS97" s="465"/>
      <c r="AT97" s="1133"/>
      <c r="AU97" s="1133"/>
      <c r="AV97" s="15"/>
      <c r="AW97" s="15"/>
      <c r="AX97" s="15"/>
      <c r="AY97" s="15"/>
      <c r="AZ97" s="15"/>
      <c r="BA97" s="15"/>
      <c r="BB97" s="15"/>
      <c r="BC97" s="22"/>
      <c r="BF97" s="920" t="s">
        <v>794</v>
      </c>
      <c r="BG97" s="920" t="s">
        <v>790</v>
      </c>
      <c r="BH97" s="920">
        <f>BH95</f>
        <v>0</v>
      </c>
      <c r="BI97" s="921"/>
      <c r="BJ97" s="921"/>
    </row>
    <row r="98" spans="1:62" s="160" customFormat="1" ht="14.25" customHeight="1">
      <c r="E98" s="716">
        <v>15</v>
      </c>
      <c r="F98" s="714" t="str">
        <f t="shared" ca="1" si="25"/>
        <v>1</v>
      </c>
      <c r="T98" s="715" t="b">
        <f ca="1">F98&gt;0</f>
        <v>1</v>
      </c>
      <c r="W98" s="291" t="s">
        <v>795</v>
      </c>
      <c r="X98" s="1482"/>
      <c r="Z98" s="1482"/>
      <c r="AB98" s="644"/>
      <c r="AC98" s="453" t="s">
        <v>796</v>
      </c>
      <c r="AD98" s="453"/>
      <c r="AE98" s="237"/>
      <c r="AF98" s="237"/>
      <c r="AG98" s="237"/>
      <c r="AH98" s="237"/>
      <c r="AI98" s="237"/>
      <c r="AJ98" s="237"/>
      <c r="AK98" s="237"/>
      <c r="AL98" s="237"/>
      <c r="AM98" s="237"/>
      <c r="AN98" s="237"/>
      <c r="AO98" s="237"/>
      <c r="AP98" s="237"/>
      <c r="AQ98" s="237"/>
      <c r="AR98" s="237"/>
      <c r="AS98" s="237"/>
      <c r="AT98" s="237"/>
      <c r="AU98" s="237"/>
      <c r="AV98" s="237"/>
      <c r="AW98" s="237"/>
      <c r="AX98" s="237"/>
      <c r="AY98" s="237"/>
      <c r="AZ98" s="237"/>
      <c r="BA98" s="237"/>
      <c r="BB98" s="237"/>
      <c r="BC98" s="850"/>
      <c r="BF98" s="920"/>
      <c r="BG98" s="920"/>
      <c r="BH98" s="920"/>
      <c r="BI98" s="921" t="s">
        <v>790</v>
      </c>
      <c r="BJ98" s="921"/>
    </row>
    <row r="99" spans="1:62" s="160" customFormat="1" ht="14.25" customHeight="1">
      <c r="E99" s="716">
        <v>15</v>
      </c>
      <c r="F99" s="714" t="str">
        <f t="shared" ca="1" si="25"/>
        <v>1</v>
      </c>
      <c r="T99" s="715" t="b">
        <f ca="1">F99&gt;0</f>
        <v>1</v>
      </c>
      <c r="X99" s="1482"/>
      <c r="Z99" s="1482"/>
      <c r="AB99" s="153" t="s">
        <v>377</v>
      </c>
      <c r="AC99" s="264" t="s">
        <v>765</v>
      </c>
      <c r="AD99" s="265"/>
      <c r="AE99" s="266"/>
      <c r="AF99" s="266"/>
      <c r="AG99" s="266"/>
      <c r="AH99" s="266"/>
      <c r="AI99" s="266"/>
      <c r="AJ99" s="266"/>
      <c r="AK99" s="266"/>
      <c r="AL99" s="266"/>
      <c r="AM99" s="266"/>
      <c r="AN99" s="266"/>
      <c r="AO99" s="266"/>
      <c r="AP99" s="266"/>
      <c r="AQ99" s="266"/>
      <c r="AR99" s="266"/>
      <c r="AS99" s="266"/>
      <c r="AT99" s="266"/>
      <c r="AU99" s="266"/>
      <c r="AV99" s="266"/>
      <c r="AW99" s="266"/>
      <c r="AX99" s="266"/>
      <c r="AY99" s="266"/>
      <c r="AZ99" s="266"/>
      <c r="BA99" s="266"/>
      <c r="BB99" s="266"/>
      <c r="BC99" s="847"/>
      <c r="BF99" s="920"/>
      <c r="BG99" s="920"/>
      <c r="BH99" s="920"/>
      <c r="BI99" s="921"/>
      <c r="BJ99" s="921"/>
    </row>
    <row r="100" spans="1:62" s="160" customFormat="1" ht="17.25" hidden="1" customHeight="1">
      <c r="E100" s="716">
        <v>0</v>
      </c>
      <c r="F100" s="714" t="str">
        <f t="shared" ca="1" si="25"/>
        <v>1</v>
      </c>
      <c r="T100" s="715" t="b">
        <f ca="1">F100&gt;0</f>
        <v>1</v>
      </c>
      <c r="X100" s="1482"/>
      <c r="Z100" s="1482"/>
      <c r="AB100" s="220"/>
      <c r="AC100" s="215"/>
      <c r="AD100" s="214"/>
      <c r="AE100" s="452"/>
      <c r="AF100" s="452"/>
      <c r="AG100" s="452"/>
      <c r="AH100" s="452"/>
      <c r="AI100" s="452"/>
      <c r="AJ100" s="452"/>
      <c r="AK100" s="452"/>
      <c r="AL100" s="452"/>
      <c r="AM100" s="452"/>
      <c r="AN100" s="452"/>
      <c r="AO100" s="452"/>
      <c r="AP100" s="452"/>
      <c r="AQ100" s="452"/>
      <c r="AR100" s="452"/>
      <c r="AS100" s="452"/>
      <c r="AT100" s="452"/>
      <c r="AU100" s="452"/>
      <c r="AV100" s="452"/>
      <c r="AW100" s="452"/>
      <c r="AX100" s="452"/>
      <c r="AY100" s="452"/>
      <c r="AZ100" s="452"/>
      <c r="BA100" s="452"/>
      <c r="BB100" s="452"/>
      <c r="BC100" s="45"/>
      <c r="BF100" s="920"/>
      <c r="BG100" s="920"/>
      <c r="BH100" s="920"/>
      <c r="BI100" s="921"/>
      <c r="BJ100" s="921"/>
    </row>
    <row r="101" spans="1:62" s="160" customFormat="1" ht="14.25" hidden="1" customHeight="1">
      <c r="E101" s="716">
        <v>15</v>
      </c>
      <c r="F101" s="714" t="str">
        <f t="shared" ca="1" si="25"/>
        <v>1</v>
      </c>
      <c r="H101" s="94">
        <f>AC101</f>
        <v>0</v>
      </c>
      <c r="I101" s="94" t="s">
        <v>743</v>
      </c>
      <c r="S101" s="1482"/>
      <c r="T101" s="715" t="b">
        <f ca="1">AND(F101&gt;0,Y101&gt;0)</f>
        <v>0</v>
      </c>
      <c r="W101" s="109" t="s">
        <v>170</v>
      </c>
      <c r="X101" s="1482"/>
      <c r="Y101" s="1367">
        <v>0</v>
      </c>
      <c r="Z101" s="1482"/>
      <c r="AA101" s="1483" t="s">
        <v>157</v>
      </c>
      <c r="AB101" s="93" t="str">
        <f>"2.3."&amp;Y101</f>
        <v>2.3.0</v>
      </c>
      <c r="AC101" s="460"/>
      <c r="AD101" s="93" t="s">
        <v>648</v>
      </c>
      <c r="AE101" s="456">
        <f t="shared" ref="AE101:BB101" si="41">AE104+AE106</f>
        <v>0</v>
      </c>
      <c r="AF101" s="456">
        <f t="shared" si="41"/>
        <v>0</v>
      </c>
      <c r="AG101" s="456">
        <f t="shared" si="41"/>
        <v>0</v>
      </c>
      <c r="AH101" s="456">
        <f t="shared" si="41"/>
        <v>0</v>
      </c>
      <c r="AI101" s="456">
        <f t="shared" si="41"/>
        <v>0</v>
      </c>
      <c r="AJ101" s="1067">
        <f t="shared" si="41"/>
        <v>0</v>
      </c>
      <c r="AK101" s="1067">
        <f t="shared" si="41"/>
        <v>0</v>
      </c>
      <c r="AL101" s="14">
        <f t="shared" si="41"/>
        <v>0</v>
      </c>
      <c r="AM101" s="14">
        <f t="shared" si="41"/>
        <v>0</v>
      </c>
      <c r="AN101" s="14">
        <f t="shared" si="41"/>
        <v>0</v>
      </c>
      <c r="AO101" s="14">
        <f t="shared" si="41"/>
        <v>0</v>
      </c>
      <c r="AP101" s="14">
        <f t="shared" si="41"/>
        <v>0</v>
      </c>
      <c r="AQ101" s="14">
        <f t="shared" si="41"/>
        <v>0</v>
      </c>
      <c r="AR101" s="14">
        <f t="shared" si="41"/>
        <v>0</v>
      </c>
      <c r="AS101" s="456">
        <f t="shared" si="41"/>
        <v>0</v>
      </c>
      <c r="AT101" s="1067">
        <f t="shared" si="41"/>
        <v>0</v>
      </c>
      <c r="AU101" s="1067">
        <f t="shared" si="41"/>
        <v>0</v>
      </c>
      <c r="AV101" s="14">
        <f t="shared" si="41"/>
        <v>0</v>
      </c>
      <c r="AW101" s="14">
        <f t="shared" si="41"/>
        <v>0</v>
      </c>
      <c r="AX101" s="14">
        <f t="shared" si="41"/>
        <v>0</v>
      </c>
      <c r="AY101" s="14">
        <f t="shared" si="41"/>
        <v>0</v>
      </c>
      <c r="AZ101" s="14">
        <f t="shared" si="41"/>
        <v>0</v>
      </c>
      <c r="BA101" s="14">
        <f t="shared" si="41"/>
        <v>0</v>
      </c>
      <c r="BB101" s="14">
        <f t="shared" si="41"/>
        <v>0</v>
      </c>
      <c r="BC101" s="26"/>
      <c r="BF101" s="920" t="s">
        <v>789</v>
      </c>
      <c r="BG101" s="920" t="s">
        <v>797</v>
      </c>
      <c r="BH101" s="920">
        <f>AC101</f>
        <v>0</v>
      </c>
      <c r="BI101" s="921"/>
      <c r="BJ101" s="921"/>
    </row>
    <row r="102" spans="1:62" s="160" customFormat="1" ht="14.25" hidden="1" customHeight="1">
      <c r="E102" s="716">
        <v>15</v>
      </c>
      <c r="F102" s="714" t="str">
        <f t="shared" ca="1" si="25"/>
        <v>1</v>
      </c>
      <c r="L102" s="150" t="str">
        <f ca="1">INDEX('Общие сведения'!$AK$169:$AK$202,MATCH($F102,'Общие сведения'!$Z$169:$Z$202,0))</f>
        <v>одноставочный</v>
      </c>
      <c r="R102" s="130" t="s">
        <v>781</v>
      </c>
      <c r="S102" s="1482"/>
      <c r="T102" s="715" t="b">
        <f ca="1">AND(T101,L102="двухставочный")</f>
        <v>0</v>
      </c>
      <c r="X102" s="1482"/>
      <c r="Y102" s="1482"/>
      <c r="Z102" s="1482"/>
      <c r="AA102" s="1483"/>
      <c r="AB102" s="222"/>
      <c r="AC102" s="455" t="s">
        <v>783</v>
      </c>
      <c r="AD102" s="464" t="s">
        <v>648</v>
      </c>
      <c r="AE102" s="15"/>
      <c r="AF102" s="15"/>
      <c r="AG102" s="15"/>
      <c r="AH102" s="15"/>
      <c r="AI102" s="465"/>
      <c r="AJ102" s="1133"/>
      <c r="AK102" s="1133"/>
      <c r="AL102" s="15"/>
      <c r="AM102" s="15"/>
      <c r="AN102" s="15"/>
      <c r="AO102" s="15"/>
      <c r="AP102" s="15"/>
      <c r="AQ102" s="15"/>
      <c r="AR102" s="15"/>
      <c r="AS102" s="465"/>
      <c r="AT102" s="1133"/>
      <c r="AU102" s="1133"/>
      <c r="AV102" s="15"/>
      <c r="AW102" s="15"/>
      <c r="AX102" s="15"/>
      <c r="AY102" s="15"/>
      <c r="AZ102" s="15"/>
      <c r="BA102" s="15"/>
      <c r="BB102" s="15"/>
      <c r="BC102" s="47"/>
      <c r="BF102" s="920" t="s">
        <v>791</v>
      </c>
      <c r="BG102" s="920" t="s">
        <v>797</v>
      </c>
      <c r="BH102" s="920">
        <f>BH101</f>
        <v>0</v>
      </c>
      <c r="BI102" s="921"/>
      <c r="BJ102" s="921"/>
    </row>
    <row r="103" spans="1:62" s="160" customFormat="1" ht="14.25" hidden="1" customHeight="1">
      <c r="E103" s="716">
        <v>15</v>
      </c>
      <c r="F103" s="714" t="str">
        <f t="shared" ca="1" si="25"/>
        <v>1</v>
      </c>
      <c r="H103" s="160">
        <f>H101</f>
        <v>0</v>
      </c>
      <c r="S103" s="1482"/>
      <c r="T103" s="733" t="b">
        <f ca="1">T101</f>
        <v>0</v>
      </c>
      <c r="X103" s="1482"/>
      <c r="Y103" s="1482"/>
      <c r="Z103" s="1482"/>
      <c r="AA103" s="1483"/>
      <c r="AB103" s="408" t="str">
        <f>AB101&amp;".1"</f>
        <v>2.3.0.1</v>
      </c>
      <c r="AC103" s="455" t="s">
        <v>759</v>
      </c>
      <c r="AD103" s="1019" t="s">
        <v>787</v>
      </c>
      <c r="AE103" s="1139"/>
      <c r="AF103" s="456">
        <f>IF(AF105=0,0,AF104/AF105*1000)</f>
        <v>0</v>
      </c>
      <c r="AG103" s="456">
        <f>IF(AG105=0,0,AG104/AG105*1000)</f>
        <v>0</v>
      </c>
      <c r="AH103" s="1139"/>
      <c r="AI103" s="456">
        <f t="shared" ref="AI103:AR103" si="42">IF(AI105=0,0,AI104/AI105*1000)</f>
        <v>0</v>
      </c>
      <c r="AJ103" s="1140">
        <f t="shared" si="42"/>
        <v>0</v>
      </c>
      <c r="AK103" s="1140">
        <f t="shared" si="42"/>
        <v>0</v>
      </c>
      <c r="AL103" s="456">
        <f t="shared" si="42"/>
        <v>0</v>
      </c>
      <c r="AM103" s="456">
        <f t="shared" si="42"/>
        <v>0</v>
      </c>
      <c r="AN103" s="456">
        <f t="shared" si="42"/>
        <v>0</v>
      </c>
      <c r="AO103" s="456">
        <f t="shared" si="42"/>
        <v>0</v>
      </c>
      <c r="AP103" s="456">
        <f t="shared" si="42"/>
        <v>0</v>
      </c>
      <c r="AQ103" s="456">
        <f t="shared" si="42"/>
        <v>0</v>
      </c>
      <c r="AR103" s="456">
        <f t="shared" si="42"/>
        <v>0</v>
      </c>
      <c r="AS103" s="796"/>
      <c r="AT103" s="1067"/>
      <c r="AU103" s="1067"/>
      <c r="AV103" s="1139"/>
      <c r="AW103" s="1139"/>
      <c r="AX103" s="1139"/>
      <c r="AY103" s="1139"/>
      <c r="AZ103" s="1139"/>
      <c r="BA103" s="1139"/>
      <c r="BB103" s="1139"/>
      <c r="BC103" s="1131"/>
      <c r="BF103" s="920" t="s">
        <v>792</v>
      </c>
      <c r="BG103" s="920" t="s">
        <v>797</v>
      </c>
      <c r="BH103" s="920">
        <f>BH102</f>
        <v>0</v>
      </c>
      <c r="BI103" s="921"/>
      <c r="BJ103" s="921"/>
    </row>
    <row r="104" spans="1:62" s="160" customFormat="1" ht="14.25" hidden="1" customHeight="1">
      <c r="A104" s="970" t="str">
        <f ca="1">"checkCosts_5."&amp;F104&amp;"."&amp;Y101</f>
        <v>checkCosts_5.1.0</v>
      </c>
      <c r="E104" s="716">
        <v>15</v>
      </c>
      <c r="F104" s="714" t="str">
        <f t="shared" ca="1" si="25"/>
        <v>1</v>
      </c>
      <c r="S104" s="1482"/>
      <c r="T104" s="715" t="b">
        <f ca="1">T101</f>
        <v>0</v>
      </c>
      <c r="X104" s="1482"/>
      <c r="Y104" s="1482"/>
      <c r="Z104" s="1482"/>
      <c r="AA104" s="1483"/>
      <c r="AB104" s="222" t="str">
        <f>AB101&amp;".2"</f>
        <v>2.3.0.2</v>
      </c>
      <c r="AC104" s="455" t="s">
        <v>798</v>
      </c>
      <c r="AD104" s="93" t="s">
        <v>648</v>
      </c>
      <c r="AE104" s="14"/>
      <c r="AF104" s="14"/>
      <c r="AG104" s="14"/>
      <c r="AH104" s="14"/>
      <c r="AI104" s="451"/>
      <c r="AJ104" s="1067"/>
      <c r="AK104" s="1067"/>
      <c r="AL104" s="14"/>
      <c r="AM104" s="14"/>
      <c r="AN104" s="14"/>
      <c r="AO104" s="14"/>
      <c r="AP104" s="14"/>
      <c r="AQ104" s="14"/>
      <c r="AR104" s="14"/>
      <c r="AS104" s="451"/>
      <c r="AT104" s="1067"/>
      <c r="AU104" s="1067"/>
      <c r="AV104" s="14"/>
      <c r="AW104" s="14"/>
      <c r="AX104" s="14"/>
      <c r="AY104" s="14"/>
      <c r="AZ104" s="14"/>
      <c r="BA104" s="14"/>
      <c r="BB104" s="14"/>
      <c r="BC104" s="22"/>
      <c r="BF104" s="920" t="s">
        <v>799</v>
      </c>
      <c r="BG104" s="920" t="s">
        <v>797</v>
      </c>
      <c r="BH104" s="920">
        <f>BH102</f>
        <v>0</v>
      </c>
      <c r="BI104" s="921"/>
      <c r="BJ104" s="921"/>
    </row>
    <row r="105" spans="1:62" s="160" customFormat="1" ht="14.25" hidden="1" customHeight="1">
      <c r="A105" s="970" t="str">
        <f ca="1">"checkVolume_5."&amp;F105&amp;"."&amp;Y101</f>
        <v>checkVolume_5.1.0</v>
      </c>
      <c r="E105" s="716">
        <v>15</v>
      </c>
      <c r="F105" s="714" t="str">
        <f t="shared" ca="1" si="25"/>
        <v>1</v>
      </c>
      <c r="S105" s="1482"/>
      <c r="T105" s="715" t="b">
        <f ca="1">T104</f>
        <v>0</v>
      </c>
      <c r="X105" s="1482"/>
      <c r="Y105" s="1482"/>
      <c r="Z105" s="1482"/>
      <c r="AA105" s="1483"/>
      <c r="AB105" s="318" t="str">
        <f>AB104&amp;".1"</f>
        <v>2.3.0.2.1</v>
      </c>
      <c r="AC105" s="461" t="s">
        <v>793</v>
      </c>
      <c r="AD105" s="93" t="s">
        <v>598</v>
      </c>
      <c r="AE105" s="14"/>
      <c r="AF105" s="14"/>
      <c r="AG105" s="14"/>
      <c r="AH105" s="14"/>
      <c r="AI105" s="451"/>
      <c r="AJ105" s="1067"/>
      <c r="AK105" s="1067"/>
      <c r="AL105" s="14"/>
      <c r="AM105" s="14"/>
      <c r="AN105" s="14"/>
      <c r="AO105" s="14"/>
      <c r="AP105" s="14"/>
      <c r="AQ105" s="14"/>
      <c r="AR105" s="14"/>
      <c r="AS105" s="451"/>
      <c r="AT105" s="1067"/>
      <c r="AU105" s="1067"/>
      <c r="AV105" s="14"/>
      <c r="AW105" s="14"/>
      <c r="AX105" s="14"/>
      <c r="AY105" s="14"/>
      <c r="AZ105" s="14"/>
      <c r="BA105" s="14"/>
      <c r="BB105" s="14"/>
      <c r="BC105" s="22"/>
      <c r="BF105" s="920" t="s">
        <v>800</v>
      </c>
      <c r="BG105" s="920" t="s">
        <v>797</v>
      </c>
      <c r="BH105" s="920">
        <f>BH104</f>
        <v>0</v>
      </c>
      <c r="BI105" s="921"/>
      <c r="BJ105" s="921"/>
    </row>
    <row r="106" spans="1:62" s="160" customFormat="1" ht="14.25" hidden="1" customHeight="1">
      <c r="A106" s="970" t="str">
        <f ca="1">"checkCosts_6."&amp;F106&amp;"."&amp;Y101</f>
        <v>checkCosts_6.1.0</v>
      </c>
      <c r="E106" s="716">
        <v>15</v>
      </c>
      <c r="F106" s="714" t="str">
        <f t="shared" ca="1" si="25"/>
        <v>1</v>
      </c>
      <c r="S106" s="1482"/>
      <c r="T106" s="715" t="b">
        <f ca="1">T105</f>
        <v>0</v>
      </c>
      <c r="X106" s="1482"/>
      <c r="Y106" s="1482"/>
      <c r="Z106" s="1482"/>
      <c r="AA106" s="1483"/>
      <c r="AB106" s="222" t="str">
        <f>AB101&amp;".3"</f>
        <v>2.3.0.3</v>
      </c>
      <c r="AC106" s="455" t="s">
        <v>801</v>
      </c>
      <c r="AD106" s="93" t="s">
        <v>770</v>
      </c>
      <c r="AE106" s="14"/>
      <c r="AF106" s="14"/>
      <c r="AG106" s="14"/>
      <c r="AH106" s="14"/>
      <c r="AI106" s="451"/>
      <c r="AJ106" s="1067"/>
      <c r="AK106" s="1067"/>
      <c r="AL106" s="14"/>
      <c r="AM106" s="14"/>
      <c r="AN106" s="14"/>
      <c r="AO106" s="14"/>
      <c r="AP106" s="14"/>
      <c r="AQ106" s="14"/>
      <c r="AR106" s="14"/>
      <c r="AS106" s="451"/>
      <c r="AT106" s="1067"/>
      <c r="AU106" s="1067"/>
      <c r="AV106" s="14"/>
      <c r="AW106" s="14"/>
      <c r="AX106" s="14"/>
      <c r="AY106" s="14"/>
      <c r="AZ106" s="14"/>
      <c r="BA106" s="14"/>
      <c r="BB106" s="14"/>
      <c r="BC106" s="22"/>
      <c r="BF106" s="920" t="s">
        <v>802</v>
      </c>
      <c r="BG106" s="920" t="s">
        <v>797</v>
      </c>
      <c r="BH106" s="920">
        <f>BH105</f>
        <v>0</v>
      </c>
      <c r="BI106" s="921"/>
      <c r="BJ106" s="921"/>
    </row>
    <row r="107" spans="1:62" s="160" customFormat="1" ht="14.25" hidden="1" customHeight="1">
      <c r="A107" s="970" t="str">
        <f ca="1">"checkVolume_6."&amp;F107&amp;"."&amp;Y101</f>
        <v>checkVolume_6.1.0</v>
      </c>
      <c r="E107" s="716">
        <v>15</v>
      </c>
      <c r="F107" s="714" t="str">
        <f t="shared" ca="1" si="25"/>
        <v>1</v>
      </c>
      <c r="H107" s="94">
        <f>H101</f>
        <v>0</v>
      </c>
      <c r="S107" s="1482"/>
      <c r="T107" s="715" t="b">
        <f ca="1">T106</f>
        <v>0</v>
      </c>
      <c r="X107" s="1482"/>
      <c r="Y107" s="1482"/>
      <c r="Z107" s="1482"/>
      <c r="AA107" s="1483"/>
      <c r="AB107" s="318" t="str">
        <f>AB106&amp;".1"</f>
        <v>2.3.0.3.1</v>
      </c>
      <c r="AC107" s="462" t="s">
        <v>803</v>
      </c>
      <c r="AD107" s="93" t="s">
        <v>804</v>
      </c>
      <c r="AE107" s="14"/>
      <c r="AF107" s="14"/>
      <c r="AG107" s="14"/>
      <c r="AH107" s="14"/>
      <c r="AI107" s="451"/>
      <c r="AJ107" s="1067"/>
      <c r="AK107" s="1067"/>
      <c r="AL107" s="14"/>
      <c r="AM107" s="14"/>
      <c r="AN107" s="14"/>
      <c r="AO107" s="14"/>
      <c r="AP107" s="14"/>
      <c r="AQ107" s="14"/>
      <c r="AR107" s="14"/>
      <c r="AS107" s="451"/>
      <c r="AT107" s="1067"/>
      <c r="AU107" s="1067"/>
      <c r="AV107" s="14"/>
      <c r="AW107" s="14"/>
      <c r="AX107" s="14"/>
      <c r="AY107" s="14"/>
      <c r="AZ107" s="14"/>
      <c r="BA107" s="14"/>
      <c r="BB107" s="14"/>
      <c r="BC107" s="22"/>
      <c r="BF107" s="920" t="s">
        <v>805</v>
      </c>
      <c r="BG107" s="920" t="s">
        <v>797</v>
      </c>
      <c r="BH107" s="920">
        <f>BH106</f>
        <v>0</v>
      </c>
      <c r="BI107" s="921"/>
      <c r="BJ107" s="921"/>
    </row>
    <row r="108" spans="1:62" s="160" customFormat="1" ht="10.5" customHeight="1">
      <c r="E108" s="716">
        <v>11.4</v>
      </c>
      <c r="F108" s="714" t="str">
        <f t="shared" ca="1" si="25"/>
        <v>1</v>
      </c>
      <c r="T108" s="715" t="b">
        <f ca="1">F108&gt;0</f>
        <v>1</v>
      </c>
      <c r="W108" s="291" t="s">
        <v>806</v>
      </c>
      <c r="X108" s="1482"/>
      <c r="Z108" s="1482"/>
      <c r="AB108" s="454"/>
      <c r="AC108" s="442" t="s">
        <v>796</v>
      </c>
      <c r="AD108" s="442"/>
      <c r="AE108" s="237"/>
      <c r="AF108" s="237"/>
      <c r="AG108" s="237"/>
      <c r="AH108" s="237"/>
      <c r="AI108" s="237"/>
      <c r="AJ108" s="237"/>
      <c r="AK108" s="237"/>
      <c r="AL108" s="237"/>
      <c r="AM108" s="237"/>
      <c r="AN108" s="237"/>
      <c r="AO108" s="237"/>
      <c r="AP108" s="237"/>
      <c r="AQ108" s="237"/>
      <c r="AR108" s="237"/>
      <c r="AS108" s="237"/>
      <c r="AT108" s="237"/>
      <c r="AU108" s="237"/>
      <c r="AV108" s="237"/>
      <c r="AW108" s="237"/>
      <c r="AX108" s="237"/>
      <c r="AY108" s="237"/>
      <c r="AZ108" s="237"/>
      <c r="BA108" s="237"/>
      <c r="BB108" s="237"/>
      <c r="BC108" s="851"/>
      <c r="BF108" s="920"/>
      <c r="BG108" s="920"/>
      <c r="BH108" s="920"/>
      <c r="BI108" s="921" t="s">
        <v>797</v>
      </c>
      <c r="BJ108" s="921"/>
    </row>
    <row r="109" spans="1:62" s="750" customFormat="1" ht="11.1" customHeight="1">
      <c r="A109" s="769"/>
      <c r="B109" s="614"/>
      <c r="C109" s="116"/>
      <c r="D109" s="116"/>
      <c r="E109" s="717">
        <v>11.4</v>
      </c>
      <c r="F109" s="714"/>
      <c r="Q109" s="566"/>
      <c r="R109" s="566"/>
      <c r="T109" s="116"/>
      <c r="U109" s="116" t="s">
        <v>172</v>
      </c>
      <c r="V109" s="109" t="s">
        <v>807</v>
      </c>
      <c r="W109" s="116"/>
      <c r="X109" s="116"/>
      <c r="Y109" s="116"/>
      <c r="Z109" s="116"/>
      <c r="AB109" s="150"/>
      <c r="AC109" s="150"/>
      <c r="AD109" s="150"/>
      <c r="AE109" s="150"/>
      <c r="AF109" s="150"/>
      <c r="AG109" s="150"/>
      <c r="AH109" s="150"/>
      <c r="AI109" s="150"/>
      <c r="AJ109" s="150"/>
      <c r="AK109" s="150"/>
      <c r="AL109" s="150"/>
      <c r="AM109" s="150"/>
      <c r="AN109" s="150"/>
      <c r="AO109" s="150"/>
      <c r="AP109" s="150"/>
      <c r="AQ109" s="150"/>
      <c r="AR109" s="150"/>
      <c r="AS109" s="150"/>
      <c r="AT109" s="150"/>
      <c r="AU109" s="150"/>
      <c r="AV109" s="150"/>
      <c r="AW109" s="150"/>
      <c r="AX109" s="150"/>
      <c r="AY109" s="150"/>
      <c r="AZ109" s="150"/>
      <c r="BA109" s="150"/>
      <c r="BB109" s="150"/>
      <c r="BC109" s="150"/>
      <c r="BF109" s="909"/>
      <c r="BG109" s="909"/>
      <c r="BH109" s="909"/>
      <c r="BI109" s="917"/>
      <c r="BJ109" s="917"/>
    </row>
    <row r="110" spans="1:62" s="750" customFormat="1" ht="11.25" hidden="1" customHeight="1">
      <c r="A110" s="769"/>
      <c r="B110" s="614"/>
      <c r="C110" s="116"/>
      <c r="D110" s="116"/>
      <c r="E110" s="717">
        <v>0</v>
      </c>
      <c r="F110" s="116"/>
      <c r="Q110" s="566"/>
      <c r="R110" s="566"/>
      <c r="T110" s="116"/>
      <c r="U110" s="116"/>
      <c r="V110" s="109"/>
      <c r="W110" s="116"/>
      <c r="X110" s="116"/>
      <c r="Y110" s="116"/>
      <c r="Z110" s="116"/>
      <c r="AB110" s="150"/>
      <c r="AC110" s="150"/>
      <c r="AD110" s="150"/>
      <c r="AE110" s="150"/>
      <c r="AF110" s="150"/>
      <c r="AG110" s="150"/>
      <c r="AH110" s="150"/>
      <c r="AI110" s="150"/>
      <c r="AJ110" s="150"/>
      <c r="AK110" s="150"/>
      <c r="AL110" s="150"/>
      <c r="AM110" s="150"/>
      <c r="AN110" s="150"/>
      <c r="AO110" s="150"/>
      <c r="AP110" s="150"/>
      <c r="AQ110" s="150"/>
      <c r="AR110" s="150"/>
      <c r="AS110" s="150"/>
      <c r="AT110" s="150"/>
      <c r="AU110" s="150"/>
      <c r="AV110" s="150"/>
      <c r="AW110" s="150"/>
      <c r="AX110" s="150"/>
      <c r="AY110" s="150"/>
      <c r="AZ110" s="150"/>
      <c r="BA110" s="150"/>
      <c r="BB110" s="150"/>
      <c r="BC110" s="150"/>
      <c r="BF110" s="909"/>
      <c r="BG110" s="909"/>
      <c r="BH110" s="909"/>
      <c r="BI110" s="917"/>
      <c r="BJ110" s="917"/>
    </row>
    <row r="111" spans="1:62" ht="14.65" customHeight="1">
      <c r="E111" s="623">
        <v>15</v>
      </c>
      <c r="AB111" s="1476" t="s">
        <v>557</v>
      </c>
      <c r="AC111" s="1476"/>
      <c r="AD111" s="1476"/>
      <c r="AE111" s="1476"/>
      <c r="AF111" s="1476"/>
      <c r="AG111" s="1476"/>
      <c r="AH111" s="1476"/>
      <c r="AI111" s="1477"/>
      <c r="AJ111" s="1477"/>
      <c r="AK111" s="1477"/>
      <c r="AL111" s="1477"/>
      <c r="AM111" s="1477"/>
      <c r="AN111" s="1477"/>
      <c r="AO111" s="1477"/>
      <c r="AP111" s="1477"/>
      <c r="AQ111" s="1477"/>
      <c r="AR111" s="1477"/>
      <c r="AS111" s="1477"/>
      <c r="AT111" s="1477"/>
      <c r="AU111" s="1477"/>
      <c r="AV111" s="1477"/>
      <c r="AW111" s="1477"/>
      <c r="AX111" s="1477"/>
      <c r="AY111" s="1477"/>
      <c r="AZ111" s="1477"/>
      <c r="BA111" s="1477"/>
      <c r="BB111" s="1477"/>
      <c r="BC111" s="1477"/>
    </row>
    <row r="112" spans="1:62" ht="14.65" customHeight="1">
      <c r="E112" s="623">
        <v>15</v>
      </c>
      <c r="AA112" s="713"/>
      <c r="AB112" s="1478"/>
      <c r="AC112" s="1478"/>
      <c r="AD112" s="1478"/>
      <c r="AE112" s="1478"/>
      <c r="AF112" s="1478"/>
      <c r="AG112" s="1478"/>
      <c r="AH112" s="1478"/>
      <c r="AI112" s="1479"/>
      <c r="AJ112" s="1480"/>
      <c r="AK112" s="1480"/>
      <c r="AL112" s="1480"/>
      <c r="AM112" s="1480"/>
      <c r="AN112" s="1480"/>
      <c r="AO112" s="1480"/>
      <c r="AP112" s="1480"/>
      <c r="AQ112" s="1480"/>
      <c r="AR112" s="1480"/>
      <c r="AS112" s="1479"/>
      <c r="AT112" s="1480"/>
      <c r="AU112" s="1480"/>
      <c r="AV112" s="1480"/>
      <c r="AW112" s="1480"/>
      <c r="AX112" s="1480"/>
      <c r="AY112" s="1480"/>
      <c r="AZ112" s="1480"/>
      <c r="BA112" s="1480"/>
      <c r="BB112" s="1480"/>
      <c r="BC112" s="1479"/>
    </row>
    <row r="113" spans="5:56" ht="14.65" hidden="1" customHeight="1">
      <c r="E113" s="623">
        <v>15</v>
      </c>
      <c r="T113" s="634" t="b">
        <f>ROW(W113)&gt;ROW(W$113)</f>
        <v>0</v>
      </c>
      <c r="W113" s="113" t="s">
        <v>170</v>
      </c>
      <c r="AA113" s="709" t="s">
        <v>157</v>
      </c>
      <c r="AB113" s="1484"/>
      <c r="AC113" s="1484"/>
      <c r="AD113" s="1484"/>
      <c r="AE113" s="1484"/>
      <c r="AF113" s="1484"/>
      <c r="AG113" s="1484"/>
      <c r="AH113" s="1484"/>
      <c r="AI113" s="1479"/>
      <c r="AJ113" s="1480"/>
      <c r="AK113" s="1480"/>
      <c r="AL113" s="1480"/>
      <c r="AM113" s="1480"/>
      <c r="AN113" s="1480"/>
      <c r="AO113" s="1480"/>
      <c r="AP113" s="1480"/>
      <c r="AQ113" s="1480"/>
      <c r="AR113" s="1480"/>
      <c r="AS113" s="1479"/>
      <c r="AT113" s="1480"/>
      <c r="AU113" s="1480"/>
      <c r="AV113" s="1480"/>
      <c r="AW113" s="1480"/>
      <c r="AX113" s="1480"/>
      <c r="AY113" s="1480"/>
      <c r="AZ113" s="1480"/>
      <c r="BA113" s="1480"/>
      <c r="BB113" s="1480"/>
      <c r="BC113" s="1480"/>
    </row>
    <row r="114" spans="5:56" ht="14.65" customHeight="1">
      <c r="E114" s="623">
        <v>15</v>
      </c>
      <c r="W114" s="109" t="s">
        <v>808</v>
      </c>
      <c r="AB114" s="1420" t="s">
        <v>558</v>
      </c>
      <c r="AC114" s="1421"/>
      <c r="AD114" s="299"/>
      <c r="AE114" s="299"/>
      <c r="AF114" s="300"/>
      <c r="AG114" s="300"/>
      <c r="AH114" s="300"/>
      <c r="AI114" s="300"/>
      <c r="AJ114" s="300"/>
      <c r="AK114" s="300"/>
      <c r="AL114" s="300"/>
      <c r="AM114" s="300"/>
      <c r="AN114" s="300"/>
      <c r="AO114" s="300"/>
      <c r="AP114" s="300"/>
      <c r="AQ114" s="300"/>
      <c r="AR114" s="300"/>
      <c r="AS114" s="300"/>
      <c r="AT114" s="300"/>
      <c r="AU114" s="300"/>
      <c r="AV114" s="300"/>
      <c r="AW114" s="300"/>
      <c r="AX114" s="300"/>
      <c r="AY114" s="300"/>
      <c r="AZ114" s="300"/>
      <c r="BA114" s="300"/>
      <c r="BB114" s="300"/>
      <c r="BC114" s="301"/>
    </row>
    <row r="115" spans="5:56" ht="11.25" customHeight="1">
      <c r="BD115" s="150"/>
    </row>
  </sheetData>
  <sheetProtection formatColumns="0" formatRows="0" insertRows="0" deleteColumns="0" deleteRows="0" sort="0" autoFilter="0"/>
  <mergeCells count="36">
    <mergeCell ref="S94:S97"/>
    <mergeCell ref="S101:S107"/>
    <mergeCell ref="AA101:AA107"/>
    <mergeCell ref="AA94:AA97"/>
    <mergeCell ref="AA80:AA85"/>
    <mergeCell ref="Z68:Z108"/>
    <mergeCell ref="X68:X108"/>
    <mergeCell ref="Y75:Y77"/>
    <mergeCell ref="Y80:Y85"/>
    <mergeCell ref="Y94:Y97"/>
    <mergeCell ref="Y101:Y107"/>
    <mergeCell ref="AB114:AC114"/>
    <mergeCell ref="AB113:BC113"/>
    <mergeCell ref="Z27:Z67"/>
    <mergeCell ref="X27:X67"/>
    <mergeCell ref="Y34:Y36"/>
    <mergeCell ref="Y39:Y44"/>
    <mergeCell ref="Y53:Y56"/>
    <mergeCell ref="Y60:Y66"/>
    <mergeCell ref="AA75:AA77"/>
    <mergeCell ref="S39:S44"/>
    <mergeCell ref="AB111:BC111"/>
    <mergeCell ref="AB112:BC112"/>
    <mergeCell ref="AB24:AB25"/>
    <mergeCell ref="AC24:AC25"/>
    <mergeCell ref="AD24:AD25"/>
    <mergeCell ref="BC24:BC25"/>
    <mergeCell ref="S34:S36"/>
    <mergeCell ref="S53:S56"/>
    <mergeCell ref="S60:S66"/>
    <mergeCell ref="AA60:AA66"/>
    <mergeCell ref="AA53:AA56"/>
    <mergeCell ref="AA39:AA44"/>
    <mergeCell ref="AA34:AA36"/>
    <mergeCell ref="S80:S85"/>
    <mergeCell ref="S75:S77"/>
  </mergeCells>
  <conditionalFormatting sqref="BF53:BF55">
    <cfRule type="duplicateValues" dxfId="7" priority="8"/>
  </conditionalFormatting>
  <conditionalFormatting sqref="BF60:BF62">
    <cfRule type="duplicateValues" dxfId="6" priority="7"/>
  </conditionalFormatting>
  <conditionalFormatting sqref="BF63">
    <cfRule type="duplicateValues" dxfId="5" priority="6"/>
  </conditionalFormatting>
  <conditionalFormatting sqref="BF94:BF96">
    <cfRule type="duplicateValues" dxfId="4" priority="5"/>
  </conditionalFormatting>
  <conditionalFormatting sqref="BF101:BF103">
    <cfRule type="duplicateValues" dxfId="3" priority="4"/>
  </conditionalFormatting>
  <conditionalFormatting sqref="BF104">
    <cfRule type="duplicateValues" dxfId="2" priority="3"/>
  </conditionalFormatting>
  <conditionalFormatting sqref="BF103">
    <cfRule type="duplicateValues" dxfId="1" priority="2"/>
  </conditionalFormatting>
  <conditionalFormatting sqref="BF62">
    <cfRule type="duplicateValues" dxfId="0" priority="1"/>
  </conditionalFormatting>
  <dataValidations count="2">
    <dataValidation type="list" allowBlank="1" showInputMessage="1" showErrorMessage="1" errorTitle="Ошибка" error="Выберите значение из списка" prompt="Выберите значение из списка" sqref="AC34 AC39 AC75 AC80">
      <formula1>VOLTAGE_LEVEL_list</formula1>
    </dataValidation>
    <dataValidation type="decimal" allowBlank="1" showErrorMessage="1" errorTitle="Ошибка" error="Допускается ввод только неотрицательных чисел!" sqref="AE34:BB36 AE53:BB56 AE60:BB66 AE48:BB48 AE41:BB44 AE75:AE76 AF75:AF76 AG75:AG76 AH75:AH76 AI75:AI76 AJ75:AJ76 AK75:AK76 AL75:AL76 AM75:AM76 AN75:AN76 AO75:AO76 AP75:AP76 AQ75:AQ76 AR75:AR76 AS75:AS76 AT75:AT76 AU75:AU76 AV75:AV76 AW75:AW76 AX75:AX76 AY75:AY76 AZ75:AZ76 BA75:BA76 BB75:BB76 AE77 AF77 AG77 AH77 AI77 AJ77 AK77 AL77 AM77 AN77 AO77 AP77 AQ77 AR77 AS77 AT77 AU77 AV77 AW77 AX77 AY77 AZ77 BA77 BB77 AE82 AF82 AG82 AH82 AI82 AJ82 AK82 AL82 AM82 AN82 AO82 AP82 AQ82 AR82 AS82 AT82 AU82 AV82 AW82 AX82 AY82 AZ82 BA82 BB82 AE83 AF83 AG83 AH83 AI83 AJ83 AK83 AL83 AM83 AN83 AO83 AP83 AQ83 AR83 AS83 AT83 AU83 AV83 AW83 AX83 AY83 AZ83 BA83 BB83 AE84 AF84 AG84 AH84 AI84 AJ84 AK84 AL84 AM84 AN84 AO84 AP84 AQ84 AR84 AS84 AT84 AU84 AV84 AW84 AX84 AY84 AZ84 BA84 BB84 AE85 AF85 AG85 AH85 AI85 AJ85 AK85 AL85 AM85 AN85 AO85 AP85 AQ85 AR85 AS85 AT85 AU85 AV85 AW85 AX85 AY85 AZ85 BA85 BB85 AE89 AF89 AG89 AH89 AI89 AJ89 AK89 AL89 AM89 AN89 AO89 AP89 AQ89 AR89 AS89 AT89 AU89 AV89 AW89 AX89 AY89 AZ89 BA89 BB89 AE94 AF94 AG94 AH94 AI94 AJ94 AK94 AL94 AM94 AN94 AO94 AP94 AQ94 AR94 AS94 AT94 AU94 AV94 AW94 AX94 AY94 AZ94 BA94 BB94 AE95:AE96 AF95:AF96 AG95:AG96 AH95:AH96 AI95:AI96 AJ95:AJ96 AK95:AK96 AL95:AL96 AM95:AM96 AN95:AN96 AO95:AO96 AP95:AP96 AQ95:AQ96 AR95:AR96 AS95:AS96 AT95:AT96 AU95:AU96 AV95:AV96 AW95:AW96 AX95:AX96 AY95:AY96 AZ95:AZ96 BA95:BA96 BB95:BB96 AE97 AF97 AG97 AH97 AI97 AJ97 AK97 AL97 AM97 AN97 AO97 AP97 AQ97 AR97 AS97 AT97 AU97 AV97 AW97 AX97 AY97 AZ97 BA97 BB97 AE101 AF101 AG101 AH101 AI101 AJ101 AK101 AL101 AM101 AN101 AO101 AP101 AQ101 AR101 AS101 AT101 AU101 AV101 AW101 AX101 AY101 AZ101 BA101 BB101 AE102:AE103 AF102:AF103 AG102:AG103 AH102:AH103 AI102:AI103 AJ102:AJ103 AK102:AK103 AL102:AL103 AM102:AM103 AN102:AN103 AO102:AO103 AP102:AP103 AQ102:AQ103 AR102:AR103 AS102:AS103 AT102:AT103 AU102:AU103 AV102:AV103 AW102:AW103 AX102:AX103 AY102:AY103 AZ102:AZ103 BA102:BA103 BB102:BB103 AE104 AF104 AG104 AH104 AI104 AJ104 AK104 AL104 AM104 AN104 AO104 AP104 AQ104 AR104 AS104 AT104 AU104 AV104 AW104 AX104 AY104 AZ104 BA104 BB104 AE105 AF105 AG105 AH105 AI105 AJ105 AK105 AL105 AM105 AN105 AO105 AP105 AQ105 AR105 AS105 AT105 AU105 AV105 AW105 AX105 AY105 AZ105 BA105 BB105 AE106 AF106 AG106 AH106 AI106 AJ106 AK106 AL106 AM106 AN106 AO106 AP106 AQ106 AR106 AS106 AT106 AU106 AV106 AW106 AX106 AY106 AZ106 BA106 BB106 AE107 AF107 AG107 AH107 AI107 AJ107 AK107 AL107 AM107 AN107 AO107 AP107 AQ107 AR107 AS107 AT107 AU107 AV107 AW107 AX107 AY107 AZ107 BA107 BB107 AE81 AF81 AG81 AH81 AI81 AJ81 AK81 AL81 AM81 AN81 AO81 AP81 AQ81 AR81 AS81 AT81 AU81 AV81 AW81 AX81 AY81 AZ81 BA81 BB81 AE40 AF40 AG40 AH40 AI40 AJ40 AK40 AL40 AM40 AN40 AO40 AP40 AQ40 AR40 AS40 AT40 AU40 AV40 AW40 AX40 AY40 AZ40 BA40 BB40">
      <formula1>0</formula1>
      <formula2>9.99999999999999E+23</formula2>
    </dataValidation>
  </dataValidations>
  <printOptions horizontalCentered="1"/>
  <pageMargins left="0.35" right="0.35" top="0.4" bottom="0.4" header="0.08" footer="0.08"/>
  <pageSetup paperSize="9" scale="83" firstPageNumber="12" fitToHeight="0" orientation="landscape" useFirstPageNumber="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outlinePr summaryBelow="0" summaryRight="0"/>
    <pageSetUpPr fitToPage="1"/>
  </sheetPr>
  <dimension ref="A1:BJ61"/>
  <sheetViews>
    <sheetView showGridLines="0" workbookViewId="0">
      <pane xSplit="30" ySplit="26" topLeftCell="AE40" activePane="bottomRight" state="frozen"/>
      <selection pane="topRight" activeCell="AE1" sqref="AE1"/>
      <selection pane="bottomLeft" activeCell="A27" sqref="A27"/>
      <selection pane="bottomRight" activeCell="AS48" sqref="AS48"/>
    </sheetView>
  </sheetViews>
  <sheetFormatPr defaultColWidth="8.7109375" defaultRowHeight="11.25" customHeight="1"/>
  <cols>
    <col min="1" max="1" width="3.5703125" style="769" hidden="1" customWidth="1"/>
    <col min="2" max="2" width="8.5703125" style="718" hidden="1" customWidth="1"/>
    <col min="3" max="4" width="3.5703125" style="1011" hidden="1" customWidth="1"/>
    <col min="5" max="5" width="8.42578125" style="717" hidden="1" customWidth="1"/>
    <col min="6" max="6" width="3.5703125" style="1011" hidden="1" customWidth="1"/>
    <col min="7" max="16" width="3.5703125" style="1018" hidden="1" customWidth="1"/>
    <col min="17" max="18" width="3.5703125" style="130" hidden="1" customWidth="1"/>
    <col min="19" max="19" width="3.5703125" style="1018" hidden="1" customWidth="1"/>
    <col min="20" max="20" width="7.85546875" style="1016" hidden="1" customWidth="1"/>
    <col min="21" max="21" width="6" style="1016" hidden="1" customWidth="1"/>
    <col min="22" max="23" width="6.28515625" style="1016" hidden="1" customWidth="1"/>
    <col min="24" max="25" width="5.7109375" style="1016" hidden="1" customWidth="1"/>
    <col min="26" max="26" width="5.42578125" style="1016" hidden="1" customWidth="1"/>
    <col min="27" max="27" width="3" style="160" customWidth="1"/>
    <col min="28" max="28" width="11" style="160" customWidth="1"/>
    <col min="29" max="29" width="47.140625" style="160" customWidth="1"/>
    <col min="30" max="30" width="12.140625" style="160" customWidth="1"/>
    <col min="31" max="35" width="12.5703125" style="160" customWidth="1"/>
    <col min="36" max="44" width="12.5703125" style="160" hidden="1" customWidth="1"/>
    <col min="45" max="45" width="12.5703125" style="160" customWidth="1"/>
    <col min="46" max="54" width="12.5703125" style="160" hidden="1" customWidth="1"/>
    <col min="55" max="55" width="20.140625" style="160" customWidth="1"/>
    <col min="56" max="56" width="3" style="160" customWidth="1"/>
    <col min="57" max="57" width="8.7109375" style="160" hidden="1"/>
    <col min="58" max="60" width="8.7109375" style="920" hidden="1"/>
    <col min="61" max="62" width="8.7109375" style="921" hidden="1"/>
  </cols>
  <sheetData>
    <row r="1" spans="1:62" s="1016" customFormat="1" ht="12" hidden="1" customHeight="1">
      <c r="A1" s="769"/>
      <c r="B1" s="614"/>
      <c r="E1" s="614"/>
      <c r="F1" s="735" t="s">
        <v>77</v>
      </c>
      <c r="G1" s="563"/>
      <c r="H1" s="563"/>
      <c r="I1" s="563"/>
      <c r="J1" s="563"/>
      <c r="K1" s="563"/>
      <c r="L1" s="563"/>
      <c r="M1" s="563"/>
      <c r="N1" s="563"/>
      <c r="O1" s="563"/>
      <c r="P1" s="563"/>
      <c r="Q1" s="566"/>
      <c r="R1" s="566"/>
      <c r="S1" s="563"/>
      <c r="T1" s="634" t="s">
        <v>78</v>
      </c>
      <c r="U1" s="634" t="s">
        <v>83</v>
      </c>
      <c r="V1" s="634" t="s">
        <v>79</v>
      </c>
      <c r="W1" s="634" t="s">
        <v>80</v>
      </c>
      <c r="X1" s="634" t="s">
        <v>81</v>
      </c>
      <c r="Y1" s="735" t="s">
        <v>274</v>
      </c>
      <c r="Z1" s="634" t="s">
        <v>85</v>
      </c>
      <c r="AA1" s="735" t="s">
        <v>82</v>
      </c>
      <c r="AB1" s="735" t="s">
        <v>84</v>
      </c>
      <c r="AC1" s="735" t="s">
        <v>84</v>
      </c>
      <c r="BF1" s="912" t="s">
        <v>275</v>
      </c>
      <c r="BG1" s="902" t="s">
        <v>276</v>
      </c>
      <c r="BH1" s="902" t="s">
        <v>277</v>
      </c>
      <c r="BI1" s="996" t="s">
        <v>280</v>
      </c>
      <c r="BJ1" s="996" t="s">
        <v>281</v>
      </c>
    </row>
    <row r="2" spans="1:62" s="718" customFormat="1" ht="12" hidden="1" customHeight="1">
      <c r="A2" s="990"/>
      <c r="B2" s="703" t="s">
        <v>15</v>
      </c>
      <c r="G2" s="721"/>
      <c r="H2" s="721"/>
      <c r="I2" s="721"/>
      <c r="J2" s="721"/>
      <c r="K2" s="721"/>
      <c r="L2" s="721"/>
      <c r="M2" s="721"/>
      <c r="N2" s="721"/>
      <c r="O2" s="721"/>
      <c r="P2" s="721"/>
      <c r="Q2" s="721"/>
      <c r="R2" s="721"/>
      <c r="S2" s="721"/>
      <c r="AI2" s="635" t="b">
        <f t="shared" ref="AI2:BB2" si="0">AI6&lt;=last_year_vis</f>
        <v>1</v>
      </c>
      <c r="AJ2" s="635" t="b">
        <f t="shared" si="0"/>
        <v>0</v>
      </c>
      <c r="AK2" s="635" t="b">
        <f t="shared" si="0"/>
        <v>0</v>
      </c>
      <c r="AL2" s="635" t="b">
        <f t="shared" si="0"/>
        <v>0</v>
      </c>
      <c r="AM2" s="635" t="b">
        <f t="shared" si="0"/>
        <v>0</v>
      </c>
      <c r="AN2" s="635" t="b">
        <f t="shared" si="0"/>
        <v>0</v>
      </c>
      <c r="AO2" s="635" t="b">
        <f t="shared" si="0"/>
        <v>0</v>
      </c>
      <c r="AP2" s="635" t="b">
        <f t="shared" si="0"/>
        <v>0</v>
      </c>
      <c r="AQ2" s="635" t="b">
        <f t="shared" si="0"/>
        <v>0</v>
      </c>
      <c r="AR2" s="635" t="b">
        <f t="shared" si="0"/>
        <v>0</v>
      </c>
      <c r="AS2" s="635" t="b">
        <f t="shared" si="0"/>
        <v>1</v>
      </c>
      <c r="AT2" s="635" t="b">
        <f t="shared" si="0"/>
        <v>0</v>
      </c>
      <c r="AU2" s="635" t="b">
        <f t="shared" si="0"/>
        <v>0</v>
      </c>
      <c r="AV2" s="635" t="b">
        <f t="shared" si="0"/>
        <v>0</v>
      </c>
      <c r="AW2" s="635" t="b">
        <f t="shared" si="0"/>
        <v>0</v>
      </c>
      <c r="AX2" s="635" t="b">
        <f t="shared" si="0"/>
        <v>0</v>
      </c>
      <c r="AY2" s="635" t="b">
        <f t="shared" si="0"/>
        <v>0</v>
      </c>
      <c r="AZ2" s="635" t="b">
        <f t="shared" si="0"/>
        <v>0</v>
      </c>
      <c r="BA2" s="635" t="b">
        <f t="shared" si="0"/>
        <v>0</v>
      </c>
      <c r="BB2" s="635" t="b">
        <f t="shared" si="0"/>
        <v>0</v>
      </c>
      <c r="BF2" s="905"/>
      <c r="BG2" s="905"/>
      <c r="BH2" s="905"/>
      <c r="BI2" s="916"/>
      <c r="BJ2" s="916"/>
    </row>
    <row r="3" spans="1:62" s="1011" customFormat="1" ht="12" hidden="1" customHeight="1">
      <c r="A3" s="769"/>
      <c r="B3" s="614"/>
      <c r="E3" s="614"/>
      <c r="G3" s="94"/>
      <c r="H3" s="94"/>
      <c r="I3" s="94"/>
      <c r="J3" s="94"/>
      <c r="K3" s="94"/>
      <c r="L3" s="94"/>
      <c r="M3" s="94"/>
      <c r="N3" s="94"/>
      <c r="O3" s="94"/>
      <c r="P3" s="94"/>
      <c r="Q3" s="130"/>
      <c r="R3" s="130"/>
      <c r="S3" s="94"/>
      <c r="T3" s="116"/>
      <c r="U3" s="116"/>
      <c r="V3" s="116"/>
      <c r="W3" s="116"/>
      <c r="X3" s="116"/>
      <c r="Y3" s="116"/>
      <c r="Z3" s="116"/>
      <c r="BF3" s="920"/>
      <c r="BG3" s="920"/>
      <c r="BH3" s="920"/>
      <c r="BI3" s="921"/>
      <c r="BJ3" s="921"/>
    </row>
    <row r="4" spans="1:62" s="1011" customFormat="1" ht="12" hidden="1" customHeight="1">
      <c r="A4" s="769"/>
      <c r="B4" s="614"/>
      <c r="E4" s="614"/>
      <c r="G4" s="94"/>
      <c r="H4" s="94"/>
      <c r="I4" s="94"/>
      <c r="J4" s="94"/>
      <c r="K4" s="94"/>
      <c r="L4" s="94"/>
      <c r="M4" s="94"/>
      <c r="N4" s="94"/>
      <c r="O4" s="94"/>
      <c r="P4" s="94"/>
      <c r="Q4" s="130"/>
      <c r="R4" s="130"/>
      <c r="S4" s="94"/>
      <c r="T4" s="116"/>
      <c r="U4" s="116"/>
      <c r="V4" s="116"/>
      <c r="W4" s="116"/>
      <c r="X4" s="116"/>
      <c r="Y4" s="116"/>
      <c r="Z4" s="116"/>
      <c r="BF4" s="920"/>
      <c r="BG4" s="920"/>
      <c r="BH4" s="920"/>
      <c r="BI4" s="921"/>
      <c r="BJ4" s="921"/>
    </row>
    <row r="5" spans="1:62" s="717" customFormat="1" ht="12" hidden="1" customHeight="1">
      <c r="A5" s="990"/>
      <c r="B5" s="614"/>
      <c r="C5" s="614"/>
      <c r="D5" s="614"/>
      <c r="E5" s="623" t="s">
        <v>16</v>
      </c>
      <c r="G5" s="722"/>
      <c r="H5" s="722"/>
      <c r="I5" s="722"/>
      <c r="J5" s="722"/>
      <c r="K5" s="722"/>
      <c r="L5" s="722"/>
      <c r="M5" s="722"/>
      <c r="N5" s="722"/>
      <c r="O5" s="722"/>
      <c r="P5" s="722"/>
      <c r="Q5" s="722"/>
      <c r="R5" s="722"/>
      <c r="S5" s="722"/>
      <c r="AA5" s="623">
        <v>3</v>
      </c>
      <c r="AB5" s="623">
        <v>11</v>
      </c>
      <c r="AC5" s="623">
        <v>47.13</v>
      </c>
      <c r="AD5" s="623">
        <v>12.13</v>
      </c>
      <c r="AE5" s="623">
        <v>12.63</v>
      </c>
      <c r="AF5" s="623">
        <v>12.63</v>
      </c>
      <c r="AG5" s="623">
        <v>12.63</v>
      </c>
      <c r="AH5" s="623">
        <v>12.63</v>
      </c>
      <c r="AI5" s="623">
        <v>12.63</v>
      </c>
      <c r="AJ5" s="623">
        <v>12.63</v>
      </c>
      <c r="AK5" s="623">
        <v>12.63</v>
      </c>
      <c r="AL5" s="623">
        <v>12.63</v>
      </c>
      <c r="AM5" s="623">
        <v>12.63</v>
      </c>
      <c r="AN5" s="623">
        <v>12.63</v>
      </c>
      <c r="AO5" s="623">
        <v>12.63</v>
      </c>
      <c r="AP5" s="623">
        <v>12.63</v>
      </c>
      <c r="AQ5" s="623">
        <v>12.63</v>
      </c>
      <c r="AR5" s="623">
        <v>12.63</v>
      </c>
      <c r="AS5" s="623">
        <v>12.63</v>
      </c>
      <c r="AT5" s="623">
        <v>12.63</v>
      </c>
      <c r="AU5" s="623">
        <v>12.63</v>
      </c>
      <c r="AV5" s="623">
        <v>12.63</v>
      </c>
      <c r="AW5" s="623">
        <v>12.63</v>
      </c>
      <c r="AX5" s="623">
        <v>12.63</v>
      </c>
      <c r="AY5" s="623">
        <v>12.63</v>
      </c>
      <c r="AZ5" s="623">
        <v>12.63</v>
      </c>
      <c r="BA5" s="623">
        <v>12.63</v>
      </c>
      <c r="BB5" s="623">
        <v>12.63</v>
      </c>
      <c r="BC5" s="623">
        <v>20.13</v>
      </c>
      <c r="BD5" s="623">
        <v>3</v>
      </c>
      <c r="BF5" s="905"/>
      <c r="BG5" s="905"/>
      <c r="BH5" s="905"/>
      <c r="BI5" s="916"/>
      <c r="BJ5" s="916"/>
    </row>
    <row r="6" spans="1:62" s="1011" customFormat="1" ht="12" hidden="1" customHeight="1">
      <c r="A6" s="769"/>
      <c r="B6" s="614"/>
      <c r="E6" s="623"/>
      <c r="G6" s="94"/>
      <c r="H6" s="94"/>
      <c r="I6" s="94"/>
      <c r="J6" s="94"/>
      <c r="K6" s="94"/>
      <c r="L6" s="94"/>
      <c r="M6" s="94"/>
      <c r="N6" s="94"/>
      <c r="O6" s="94"/>
      <c r="P6" s="94"/>
      <c r="Q6" s="130"/>
      <c r="R6" s="130"/>
      <c r="S6" s="94"/>
      <c r="T6" s="116"/>
      <c r="U6" s="116"/>
      <c r="V6" s="116"/>
      <c r="W6" s="116"/>
      <c r="X6" s="116"/>
      <c r="Y6" s="116"/>
      <c r="Z6" s="116"/>
      <c r="AE6" s="120">
        <f>god-2</f>
        <v>2024</v>
      </c>
      <c r="AF6" s="120">
        <f>god-2</f>
        <v>2024</v>
      </c>
      <c r="AG6" s="120">
        <f>god-2</f>
        <v>2024</v>
      </c>
      <c r="AH6" s="120">
        <f>god-1</f>
        <v>2025</v>
      </c>
      <c r="AI6" s="113">
        <f>god</f>
        <v>2026</v>
      </c>
      <c r="AJ6" s="113">
        <f>god+1</f>
        <v>2027</v>
      </c>
      <c r="AK6" s="113">
        <f>god+2</f>
        <v>2028</v>
      </c>
      <c r="AL6" s="113">
        <f>god+3</f>
        <v>2029</v>
      </c>
      <c r="AM6" s="113">
        <f>god+4</f>
        <v>2030</v>
      </c>
      <c r="AN6" s="113">
        <f>god+5</f>
        <v>2031</v>
      </c>
      <c r="AO6" s="113">
        <f>god+6</f>
        <v>2032</v>
      </c>
      <c r="AP6" s="113">
        <f>god+7</f>
        <v>2033</v>
      </c>
      <c r="AQ6" s="113">
        <f>god+8</f>
        <v>2034</v>
      </c>
      <c r="AR6" s="113">
        <f>god+9</f>
        <v>2035</v>
      </c>
      <c r="AS6" s="113">
        <f>god</f>
        <v>2026</v>
      </c>
      <c r="AT6" s="113">
        <f>god+1</f>
        <v>2027</v>
      </c>
      <c r="AU6" s="113">
        <f>god+2</f>
        <v>2028</v>
      </c>
      <c r="AV6" s="113">
        <f>god+3</f>
        <v>2029</v>
      </c>
      <c r="AW6" s="113">
        <f>god+4</f>
        <v>2030</v>
      </c>
      <c r="AX6" s="113">
        <f>god+5</f>
        <v>2031</v>
      </c>
      <c r="AY6" s="113">
        <f>god+6</f>
        <v>2032</v>
      </c>
      <c r="AZ6" s="113">
        <f>god+7</f>
        <v>2033</v>
      </c>
      <c r="BA6" s="113">
        <f>god+8</f>
        <v>2034</v>
      </c>
      <c r="BB6" s="113">
        <f>god+9</f>
        <v>2035</v>
      </c>
      <c r="BF6" s="920"/>
      <c r="BG6" s="920"/>
      <c r="BH6" s="920"/>
      <c r="BI6" s="921"/>
      <c r="BJ6" s="921"/>
    </row>
    <row r="7" spans="1:62" s="1018" customFormat="1" ht="12" hidden="1" customHeight="1">
      <c r="A7" s="769"/>
      <c r="B7" s="614"/>
      <c r="C7" s="120"/>
      <c r="D7" s="120"/>
      <c r="E7" s="623"/>
      <c r="Q7" s="130"/>
      <c r="R7" s="130"/>
      <c r="T7" s="151"/>
      <c r="U7" s="151"/>
      <c r="V7" s="151"/>
      <c r="W7" s="151"/>
      <c r="X7" s="151"/>
      <c r="Y7" s="151"/>
      <c r="Z7" s="151"/>
      <c r="AE7" s="94" t="str">
        <f t="shared" ref="AE7:BB7" si="1">AE25</f>
        <v>Принято органом регулирования</v>
      </c>
      <c r="AF7" s="94" t="str">
        <f t="shared" si="1"/>
        <v>Факт по данным организации</v>
      </c>
      <c r="AG7" s="94" t="str">
        <f t="shared" si="1"/>
        <v>Факт, принятый органом регулирования</v>
      </c>
      <c r="AH7" s="94" t="str">
        <f t="shared" si="1"/>
        <v>Принято органом регулирования</v>
      </c>
      <c r="AI7" s="94" t="str">
        <f t="shared" si="1"/>
        <v>Предложение организации</v>
      </c>
      <c r="AJ7" s="94" t="str">
        <f t="shared" si="1"/>
        <v>Предложение организации</v>
      </c>
      <c r="AK7" s="94" t="str">
        <f t="shared" si="1"/>
        <v>Предложение организации</v>
      </c>
      <c r="AL7" s="94" t="str">
        <f t="shared" si="1"/>
        <v>Предложение организации</v>
      </c>
      <c r="AM7" s="94" t="str">
        <f t="shared" si="1"/>
        <v>Предложение организации</v>
      </c>
      <c r="AN7" s="94" t="str">
        <f t="shared" si="1"/>
        <v>Предложение организации</v>
      </c>
      <c r="AO7" s="94" t="str">
        <f t="shared" si="1"/>
        <v>Предложение организации</v>
      </c>
      <c r="AP7" s="94" t="str">
        <f t="shared" si="1"/>
        <v>Предложение организации</v>
      </c>
      <c r="AQ7" s="94" t="str">
        <f t="shared" si="1"/>
        <v>Предложение организации</v>
      </c>
      <c r="AR7" s="94" t="str">
        <f t="shared" si="1"/>
        <v>Предложение организации</v>
      </c>
      <c r="AS7" s="94" t="str">
        <f t="shared" si="1"/>
        <v>Принято органом регулирования</v>
      </c>
      <c r="AT7" s="94" t="str">
        <f t="shared" si="1"/>
        <v>Принято органом регулирования</v>
      </c>
      <c r="AU7" s="94" t="str">
        <f t="shared" si="1"/>
        <v>Принято органом регулирования</v>
      </c>
      <c r="AV7" s="94" t="str">
        <f t="shared" si="1"/>
        <v>Принято органом регулирования</v>
      </c>
      <c r="AW7" s="94" t="str">
        <f t="shared" si="1"/>
        <v>Принято органом регулирования</v>
      </c>
      <c r="AX7" s="94" t="str">
        <f t="shared" si="1"/>
        <v>Принято органом регулирования</v>
      </c>
      <c r="AY7" s="94" t="str">
        <f t="shared" si="1"/>
        <v>Принято органом регулирования</v>
      </c>
      <c r="AZ7" s="94" t="str">
        <f t="shared" si="1"/>
        <v>Принято органом регулирования</v>
      </c>
      <c r="BA7" s="94" t="str">
        <f t="shared" si="1"/>
        <v>Принято органом регулирования</v>
      </c>
      <c r="BB7" s="94" t="str">
        <f t="shared" si="1"/>
        <v>Принято органом регулирования</v>
      </c>
      <c r="BF7" s="920"/>
      <c r="BG7" s="920"/>
      <c r="BH7" s="920"/>
      <c r="BI7" s="921"/>
      <c r="BJ7" s="921"/>
    </row>
    <row r="8" spans="1:62" s="1018" customFormat="1" ht="12" hidden="1" customHeight="1">
      <c r="A8" s="769"/>
      <c r="B8" s="614"/>
      <c r="C8" s="120"/>
      <c r="D8" s="120"/>
      <c r="E8" s="623"/>
      <c r="Q8" s="130"/>
      <c r="R8" s="130"/>
      <c r="T8" s="151"/>
      <c r="U8" s="151"/>
      <c r="V8" s="151"/>
      <c r="W8" s="151"/>
      <c r="X8" s="151"/>
      <c r="Y8" s="151"/>
      <c r="Z8" s="151"/>
      <c r="BF8" s="920"/>
      <c r="BG8" s="920"/>
      <c r="BH8" s="920"/>
      <c r="BI8" s="921"/>
      <c r="BJ8" s="921"/>
    </row>
    <row r="9" spans="1:62" s="922" customFormat="1" ht="12" hidden="1" customHeight="1">
      <c r="A9" s="890" t="s">
        <v>327</v>
      </c>
      <c r="B9" s="878"/>
      <c r="E9" s="878"/>
      <c r="Q9" s="923"/>
      <c r="R9" s="923"/>
      <c r="T9" s="879"/>
      <c r="U9" s="879"/>
      <c r="V9" s="879"/>
      <c r="W9" s="879"/>
      <c r="X9" s="879"/>
      <c r="Y9" s="879"/>
      <c r="Z9" s="879"/>
      <c r="AE9" s="922">
        <f>god-2</f>
        <v>2024</v>
      </c>
      <c r="AF9" s="922">
        <f>god-2</f>
        <v>2024</v>
      </c>
      <c r="AG9" s="922">
        <f>god-2</f>
        <v>2024</v>
      </c>
      <c r="AH9" s="922">
        <f>god-1</f>
        <v>2025</v>
      </c>
      <c r="AI9" s="922">
        <f>god</f>
        <v>2026</v>
      </c>
      <c r="AJ9" s="922">
        <f>god+1</f>
        <v>2027</v>
      </c>
      <c r="AK9" s="922">
        <f>god+2</f>
        <v>2028</v>
      </c>
      <c r="AL9" s="922">
        <f>god+3</f>
        <v>2029</v>
      </c>
      <c r="AM9" s="922">
        <f>god+4</f>
        <v>2030</v>
      </c>
      <c r="AN9" s="922">
        <f>god+5</f>
        <v>2031</v>
      </c>
      <c r="AO9" s="922">
        <f>god+6</f>
        <v>2032</v>
      </c>
      <c r="AP9" s="922">
        <f>god+7</f>
        <v>2033</v>
      </c>
      <c r="AQ9" s="922">
        <f>god+8</f>
        <v>2034</v>
      </c>
      <c r="AR9" s="922">
        <f>god+9</f>
        <v>2035</v>
      </c>
      <c r="AS9" s="922">
        <f>god</f>
        <v>2026</v>
      </c>
      <c r="AT9" s="922">
        <f>god+1</f>
        <v>2027</v>
      </c>
      <c r="AU9" s="922">
        <f>god+2</f>
        <v>2028</v>
      </c>
      <c r="AV9" s="922">
        <f>god+3</f>
        <v>2029</v>
      </c>
      <c r="AW9" s="922">
        <f>god+4</f>
        <v>2030</v>
      </c>
      <c r="AX9" s="922">
        <f>god+5</f>
        <v>2031</v>
      </c>
      <c r="AY9" s="922">
        <f>god+6</f>
        <v>2032</v>
      </c>
      <c r="AZ9" s="922">
        <f>god+7</f>
        <v>2033</v>
      </c>
      <c r="BA9" s="922">
        <f>god+8</f>
        <v>2034</v>
      </c>
      <c r="BB9" s="922">
        <f>god+9</f>
        <v>2035</v>
      </c>
      <c r="BF9" s="920"/>
      <c r="BG9" s="920"/>
      <c r="BH9" s="920"/>
      <c r="BI9" s="921"/>
      <c r="BJ9" s="921"/>
    </row>
    <row r="10" spans="1:62" s="922" customFormat="1" ht="12" hidden="1" customHeight="1">
      <c r="A10" s="890" t="s">
        <v>328</v>
      </c>
      <c r="B10" s="878"/>
      <c r="E10" s="878"/>
      <c r="Q10" s="923"/>
      <c r="R10" s="923"/>
      <c r="T10" s="879"/>
      <c r="U10" s="879"/>
      <c r="V10" s="879"/>
      <c r="W10" s="879"/>
      <c r="X10" s="879"/>
      <c r="Y10" s="879"/>
      <c r="Z10" s="879"/>
      <c r="AE10" s="922" t="str">
        <f t="shared" ref="AE10:BB10" si="2">AE25</f>
        <v>Принято органом регулирования</v>
      </c>
      <c r="AF10" s="922" t="str">
        <f t="shared" si="2"/>
        <v>Факт по данным организации</v>
      </c>
      <c r="AG10" s="922" t="str">
        <f t="shared" si="2"/>
        <v>Факт, принятый органом регулирования</v>
      </c>
      <c r="AH10" s="922" t="str">
        <f t="shared" si="2"/>
        <v>Принято органом регулирования</v>
      </c>
      <c r="AI10" s="922" t="str">
        <f t="shared" si="2"/>
        <v>Предложение организации</v>
      </c>
      <c r="AJ10" s="922" t="str">
        <f t="shared" si="2"/>
        <v>Предложение организации</v>
      </c>
      <c r="AK10" s="922" t="str">
        <f t="shared" si="2"/>
        <v>Предложение организации</v>
      </c>
      <c r="AL10" s="922" t="str">
        <f t="shared" si="2"/>
        <v>Предложение организации</v>
      </c>
      <c r="AM10" s="922" t="str">
        <f t="shared" si="2"/>
        <v>Предложение организации</v>
      </c>
      <c r="AN10" s="922" t="str">
        <f t="shared" si="2"/>
        <v>Предложение организации</v>
      </c>
      <c r="AO10" s="922" t="str">
        <f t="shared" si="2"/>
        <v>Предложение организации</v>
      </c>
      <c r="AP10" s="922" t="str">
        <f t="shared" si="2"/>
        <v>Предложение организации</v>
      </c>
      <c r="AQ10" s="922" t="str">
        <f t="shared" si="2"/>
        <v>Предложение организации</v>
      </c>
      <c r="AR10" s="922" t="str">
        <f t="shared" si="2"/>
        <v>Предложение организации</v>
      </c>
      <c r="AS10" s="922" t="str">
        <f t="shared" si="2"/>
        <v>Принято органом регулирования</v>
      </c>
      <c r="AT10" s="922" t="str">
        <f t="shared" si="2"/>
        <v>Принято органом регулирования</v>
      </c>
      <c r="AU10" s="922" t="str">
        <f t="shared" si="2"/>
        <v>Принято органом регулирования</v>
      </c>
      <c r="AV10" s="922" t="str">
        <f t="shared" si="2"/>
        <v>Принято органом регулирования</v>
      </c>
      <c r="AW10" s="922" t="str">
        <f t="shared" si="2"/>
        <v>Принято органом регулирования</v>
      </c>
      <c r="AX10" s="922" t="str">
        <f t="shared" si="2"/>
        <v>Принято органом регулирования</v>
      </c>
      <c r="AY10" s="922" t="str">
        <f t="shared" si="2"/>
        <v>Принято органом регулирования</v>
      </c>
      <c r="AZ10" s="922" t="str">
        <f t="shared" si="2"/>
        <v>Принято органом регулирования</v>
      </c>
      <c r="BA10" s="922" t="str">
        <f t="shared" si="2"/>
        <v>Принято органом регулирования</v>
      </c>
      <c r="BB10" s="922" t="str">
        <f t="shared" si="2"/>
        <v>Принято органом регулирования</v>
      </c>
      <c r="BF10" s="920"/>
      <c r="BG10" s="920"/>
      <c r="BH10" s="920"/>
      <c r="BI10" s="921"/>
      <c r="BJ10" s="921"/>
    </row>
    <row r="11" spans="1:62" s="922" customFormat="1" ht="12" hidden="1" customHeight="1">
      <c r="A11" s="900" t="s">
        <v>329</v>
      </c>
      <c r="B11" s="878"/>
      <c r="E11" s="878"/>
      <c r="G11" s="924"/>
      <c r="H11" s="924"/>
      <c r="I11" s="924"/>
      <c r="J11" s="924"/>
      <c r="K11" s="924"/>
      <c r="L11" s="924"/>
      <c r="M11" s="924"/>
      <c r="N11" s="924"/>
      <c r="O11" s="924"/>
      <c r="P11" s="924"/>
      <c r="Q11" s="925"/>
      <c r="R11" s="925"/>
      <c r="S11" s="924"/>
      <c r="T11" s="879"/>
      <c r="U11" s="879"/>
      <c r="V11" s="879"/>
      <c r="W11" s="879"/>
      <c r="X11" s="879"/>
      <c r="Y11" s="879"/>
      <c r="Z11" s="879"/>
      <c r="BC11" s="922" t="str">
        <f>BC24</f>
        <v>Ссылка на правовую норму (основание для принятия показателя в расчет тарифа)</v>
      </c>
      <c r="BF11" s="920"/>
      <c r="BG11" s="920"/>
      <c r="BH11" s="920"/>
      <c r="BI11" s="920"/>
      <c r="BJ11" s="920"/>
    </row>
    <row r="12" spans="1:62" s="922" customFormat="1" ht="12" hidden="1" customHeight="1">
      <c r="A12" s="900" t="s">
        <v>286</v>
      </c>
      <c r="B12" s="878"/>
      <c r="E12" s="878"/>
      <c r="G12" s="924"/>
      <c r="H12" s="924"/>
      <c r="I12" s="924"/>
      <c r="J12" s="924"/>
      <c r="K12" s="924"/>
      <c r="L12" s="924"/>
      <c r="M12" s="924"/>
      <c r="N12" s="924"/>
      <c r="O12" s="924"/>
      <c r="P12" s="924"/>
      <c r="Q12" s="925"/>
      <c r="R12" s="925"/>
      <c r="S12" s="924"/>
      <c r="T12" s="879"/>
      <c r="U12" s="879"/>
      <c r="V12" s="879"/>
      <c r="W12" s="879"/>
      <c r="X12" s="879"/>
      <c r="Y12" s="879"/>
      <c r="Z12" s="879"/>
      <c r="AC12" s="922" t="s">
        <v>277</v>
      </c>
      <c r="BF12" s="920"/>
      <c r="BG12" s="920"/>
      <c r="BH12" s="920"/>
      <c r="BI12" s="920"/>
      <c r="BJ12" s="920"/>
    </row>
    <row r="13" spans="1:62" s="1011" customFormat="1" ht="12" hidden="1" customHeight="1">
      <c r="A13" s="769"/>
      <c r="B13" s="614"/>
      <c r="E13" s="623"/>
      <c r="G13" s="94"/>
      <c r="H13" s="94"/>
      <c r="I13" s="94"/>
      <c r="J13" s="94"/>
      <c r="K13" s="94"/>
      <c r="L13" s="94"/>
      <c r="M13" s="94"/>
      <c r="N13" s="94"/>
      <c r="O13" s="94"/>
      <c r="P13" s="94"/>
      <c r="Q13" s="130"/>
      <c r="R13" s="130"/>
      <c r="S13" s="94"/>
      <c r="T13" s="116"/>
      <c r="U13" s="116"/>
      <c r="V13" s="116"/>
      <c r="W13" s="116"/>
      <c r="X13" s="116"/>
      <c r="Y13" s="116"/>
      <c r="Z13" s="116"/>
      <c r="AI13" s="113"/>
      <c r="AJ13" s="113"/>
      <c r="AK13" s="113"/>
      <c r="AL13" s="113"/>
      <c r="AM13" s="113"/>
      <c r="AN13" s="113"/>
      <c r="AO13" s="113"/>
      <c r="AP13" s="113"/>
      <c r="AQ13" s="113"/>
      <c r="AR13" s="113"/>
      <c r="AS13" s="113"/>
      <c r="AT13" s="113"/>
      <c r="AU13" s="113"/>
      <c r="AV13" s="113"/>
      <c r="AW13" s="113"/>
      <c r="AX13" s="113"/>
      <c r="AY13" s="113"/>
      <c r="AZ13" s="113"/>
      <c r="BA13" s="113"/>
      <c r="BB13" s="113"/>
      <c r="BF13" s="920"/>
      <c r="BG13" s="920"/>
      <c r="BH13" s="920"/>
      <c r="BI13" s="921"/>
      <c r="BJ13" s="921"/>
    </row>
    <row r="14" spans="1:62" s="1011" customFormat="1" ht="12" hidden="1" customHeight="1">
      <c r="A14" s="769"/>
      <c r="B14" s="614"/>
      <c r="E14" s="623"/>
      <c r="G14" s="94"/>
      <c r="H14" s="94"/>
      <c r="I14" s="94"/>
      <c r="J14" s="94"/>
      <c r="K14" s="94"/>
      <c r="L14" s="94"/>
      <c r="M14" s="94"/>
      <c r="N14" s="94"/>
      <c r="O14" s="94"/>
      <c r="P14" s="94"/>
      <c r="Q14" s="130"/>
      <c r="R14" s="130"/>
      <c r="S14" s="94"/>
      <c r="T14" s="116"/>
      <c r="U14" s="116"/>
      <c r="V14" s="116"/>
      <c r="W14" s="116"/>
      <c r="X14" s="116"/>
      <c r="Y14" s="116"/>
      <c r="Z14" s="116"/>
      <c r="AI14" s="113"/>
      <c r="AJ14" s="113"/>
      <c r="AK14" s="113"/>
      <c r="AL14" s="113"/>
      <c r="AM14" s="113"/>
      <c r="AN14" s="113"/>
      <c r="AO14" s="113"/>
      <c r="AP14" s="113"/>
      <c r="AQ14" s="113"/>
      <c r="AR14" s="113"/>
      <c r="AS14" s="113"/>
      <c r="AT14" s="113"/>
      <c r="AU14" s="113"/>
      <c r="AV14" s="113"/>
      <c r="AW14" s="113"/>
      <c r="AX14" s="113"/>
      <c r="AY14" s="113"/>
      <c r="AZ14" s="113"/>
      <c r="BA14" s="113"/>
      <c r="BB14" s="113"/>
      <c r="BF14" s="920"/>
      <c r="BG14" s="920"/>
      <c r="BH14" s="920"/>
      <c r="BI14" s="921"/>
      <c r="BJ14" s="921"/>
    </row>
    <row r="15" spans="1:62" s="1011" customFormat="1" ht="12" hidden="1" customHeight="1">
      <c r="A15" s="769"/>
      <c r="B15" s="614"/>
      <c r="E15" s="623"/>
      <c r="G15" s="94"/>
      <c r="H15" s="94"/>
      <c r="I15" s="94"/>
      <c r="J15" s="94"/>
      <c r="K15" s="94"/>
      <c r="L15" s="94"/>
      <c r="M15" s="94"/>
      <c r="N15" s="94"/>
      <c r="O15" s="94"/>
      <c r="P15" s="94"/>
      <c r="Q15" s="130"/>
      <c r="R15" s="130"/>
      <c r="S15" s="94"/>
      <c r="T15" s="116"/>
      <c r="U15" s="116"/>
      <c r="V15" s="116"/>
      <c r="W15" s="116"/>
      <c r="X15" s="116"/>
      <c r="Y15" s="116"/>
      <c r="Z15" s="116"/>
      <c r="AI15" s="113"/>
      <c r="AJ15" s="113"/>
      <c r="AK15" s="113"/>
      <c r="AL15" s="113"/>
      <c r="AM15" s="113"/>
      <c r="AN15" s="113"/>
      <c r="AO15" s="113"/>
      <c r="AP15" s="113"/>
      <c r="AQ15" s="113"/>
      <c r="AR15" s="113"/>
      <c r="AS15" s="113"/>
      <c r="AT15" s="113"/>
      <c r="AU15" s="113"/>
      <c r="AV15" s="113"/>
      <c r="AW15" s="113"/>
      <c r="AX15" s="113"/>
      <c r="AY15" s="113"/>
      <c r="AZ15" s="113"/>
      <c r="BA15" s="113"/>
      <c r="BB15" s="113"/>
      <c r="BF15" s="920"/>
      <c r="BG15" s="920"/>
      <c r="BH15" s="920"/>
      <c r="BI15" s="921"/>
      <c r="BJ15" s="921"/>
    </row>
    <row r="16" spans="1:62" s="1011" customFormat="1" ht="12" hidden="1" customHeight="1">
      <c r="A16" s="769"/>
      <c r="B16" s="614"/>
      <c r="E16" s="623"/>
      <c r="G16" s="94"/>
      <c r="H16" s="94"/>
      <c r="I16" s="94"/>
      <c r="J16" s="94"/>
      <c r="K16" s="94"/>
      <c r="L16" s="94"/>
      <c r="M16" s="94"/>
      <c r="N16" s="94"/>
      <c r="O16" s="94"/>
      <c r="P16" s="94"/>
      <c r="Q16" s="130"/>
      <c r="R16" s="130"/>
      <c r="S16" s="94"/>
      <c r="T16" s="116"/>
      <c r="U16" s="116"/>
      <c r="V16" s="116"/>
      <c r="W16" s="116"/>
      <c r="X16" s="116"/>
      <c r="Y16" s="116"/>
      <c r="Z16" s="116"/>
      <c r="AI16" s="113"/>
      <c r="AJ16" s="113"/>
      <c r="AK16" s="113"/>
      <c r="AL16" s="113"/>
      <c r="AM16" s="113"/>
      <c r="AN16" s="113"/>
      <c r="AO16" s="113"/>
      <c r="AP16" s="113"/>
      <c r="AQ16" s="113"/>
      <c r="AR16" s="113"/>
      <c r="AS16" s="113"/>
      <c r="AT16" s="113"/>
      <c r="AU16" s="113"/>
      <c r="AV16" s="113"/>
      <c r="AW16" s="113"/>
      <c r="AX16" s="113"/>
      <c r="AY16" s="113"/>
      <c r="AZ16" s="113"/>
      <c r="BA16" s="113"/>
      <c r="BB16" s="113"/>
      <c r="BF16" s="920"/>
      <c r="BG16" s="920"/>
      <c r="BH16" s="920"/>
      <c r="BI16" s="921"/>
      <c r="BJ16" s="921"/>
    </row>
    <row r="17" spans="1:62" s="1011" customFormat="1" ht="12" hidden="1" customHeight="1">
      <c r="A17" s="769"/>
      <c r="B17" s="614"/>
      <c r="E17" s="623"/>
      <c r="G17" s="94"/>
      <c r="H17" s="94"/>
      <c r="I17" s="94"/>
      <c r="J17" s="94"/>
      <c r="K17" s="94"/>
      <c r="L17" s="94"/>
      <c r="M17" s="94"/>
      <c r="N17" s="94"/>
      <c r="O17" s="94"/>
      <c r="P17" s="94"/>
      <c r="Q17" s="130"/>
      <c r="R17" s="130"/>
      <c r="S17" s="94"/>
      <c r="T17" s="116"/>
      <c r="U17" s="116"/>
      <c r="V17" s="116"/>
      <c r="W17" s="116"/>
      <c r="X17" s="116"/>
      <c r="Y17" s="116"/>
      <c r="Z17" s="116"/>
      <c r="BF17" s="920"/>
      <c r="BG17" s="920"/>
      <c r="BH17" s="920"/>
      <c r="BI17" s="921"/>
      <c r="BJ17" s="921"/>
    </row>
    <row r="18" spans="1:62" s="1011" customFormat="1" ht="12" hidden="1" customHeight="1">
      <c r="A18" s="775" t="s">
        <v>385</v>
      </c>
      <c r="B18" s="614"/>
      <c r="E18" s="623"/>
      <c r="G18" s="94"/>
      <c r="H18" s="94"/>
      <c r="I18" s="94"/>
      <c r="J18" s="94"/>
      <c r="K18" s="94"/>
      <c r="L18" s="94"/>
      <c r="M18" s="94"/>
      <c r="N18" s="94"/>
      <c r="O18" s="94"/>
      <c r="P18" s="94"/>
      <c r="Q18" s="130"/>
      <c r="R18" s="130"/>
      <c r="S18" s="94"/>
      <c r="T18" s="116"/>
      <c r="U18" s="116"/>
      <c r="V18" s="116"/>
      <c r="W18" s="116"/>
      <c r="X18" s="116"/>
      <c r="Y18" s="116"/>
      <c r="Z18" s="116"/>
      <c r="AC18" s="120" t="s">
        <v>164</v>
      </c>
      <c r="BF18" s="920"/>
      <c r="BG18" s="920"/>
      <c r="BH18" s="920"/>
      <c r="BI18" s="921"/>
      <c r="BJ18" s="921"/>
    </row>
    <row r="19" spans="1:62" s="1011" customFormat="1" ht="12" hidden="1" customHeight="1">
      <c r="A19" s="769"/>
      <c r="B19" s="614"/>
      <c r="E19" s="623"/>
      <c r="G19" s="94"/>
      <c r="H19" s="94"/>
      <c r="I19" s="94"/>
      <c r="J19" s="94"/>
      <c r="K19" s="94"/>
      <c r="L19" s="94"/>
      <c r="M19" s="94"/>
      <c r="N19" s="94"/>
      <c r="O19" s="94"/>
      <c r="P19" s="94"/>
      <c r="Q19" s="130"/>
      <c r="R19" s="130"/>
      <c r="S19" s="94"/>
      <c r="T19" s="116"/>
      <c r="U19" s="116"/>
      <c r="V19" s="116"/>
      <c r="W19" s="116"/>
      <c r="X19" s="116"/>
      <c r="Y19" s="116"/>
      <c r="Z19" s="116"/>
      <c r="BF19" s="920"/>
      <c r="BG19" s="920"/>
      <c r="BH19" s="920"/>
      <c r="BI19" s="921"/>
      <c r="BJ19" s="921"/>
    </row>
    <row r="20" spans="1:62" s="1011" customFormat="1" ht="12" hidden="1" customHeight="1">
      <c r="A20" s="769"/>
      <c r="B20" s="614"/>
      <c r="E20" s="623"/>
      <c r="G20" s="94"/>
      <c r="H20" s="94"/>
      <c r="I20" s="94"/>
      <c r="J20" s="94"/>
      <c r="K20" s="94"/>
      <c r="L20" s="94"/>
      <c r="M20" s="94"/>
      <c r="N20" s="94"/>
      <c r="O20" s="94"/>
      <c r="P20" s="94"/>
      <c r="Q20" s="130"/>
      <c r="R20" s="130"/>
      <c r="S20" s="94"/>
      <c r="T20" s="116"/>
      <c r="U20" s="116"/>
      <c r="V20" s="116"/>
      <c r="W20" s="116"/>
      <c r="X20" s="116"/>
      <c r="Y20" s="116"/>
      <c r="Z20" s="116"/>
      <c r="BF20" s="920"/>
      <c r="BG20" s="920"/>
      <c r="BH20" s="920"/>
      <c r="BI20" s="921"/>
      <c r="BJ20" s="921"/>
    </row>
    <row r="21" spans="1:62" ht="14.65" customHeight="1">
      <c r="E21" s="623">
        <v>15</v>
      </c>
      <c r="AA21" s="646"/>
      <c r="AC21" s="315" t="str">
        <f>tpl_title</f>
        <v>Кемеровская область / 2026 / АО "СУЭК-Кузбасс" (ИНН:4212024138, КПП:421201001) / ДПР: 2024-2028</v>
      </c>
    </row>
    <row r="22" spans="1:62" ht="19.5" customHeight="1">
      <c r="E22" s="623">
        <v>20.100000000000001</v>
      </c>
      <c r="AB22" s="306" t="s">
        <v>39</v>
      </c>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11"/>
    </row>
    <row r="23" spans="1:62" ht="11.1" customHeight="1">
      <c r="E23" s="623">
        <v>11.3</v>
      </c>
      <c r="AB23" s="161"/>
      <c r="AC23" s="162"/>
      <c r="AD23" s="162"/>
      <c r="AE23" s="162"/>
      <c r="AF23" s="162"/>
      <c r="AG23" s="162"/>
      <c r="AH23" s="162"/>
      <c r="AI23" s="162"/>
      <c r="AJ23" s="162"/>
      <c r="AK23" s="162"/>
      <c r="AL23" s="162"/>
      <c r="AM23" s="162"/>
      <c r="AN23" s="162"/>
      <c r="AO23" s="162"/>
      <c r="AP23" s="162"/>
      <c r="AQ23" s="162"/>
      <c r="AR23" s="162"/>
      <c r="AS23" s="162"/>
      <c r="AT23" s="163"/>
      <c r="AU23" s="163"/>
      <c r="AV23" s="163"/>
      <c r="AW23" s="163"/>
      <c r="AX23" s="163"/>
      <c r="AY23" s="163"/>
      <c r="AZ23" s="163"/>
      <c r="BA23" s="163"/>
      <c r="BB23" s="163"/>
    </row>
    <row r="24" spans="1:62" ht="14.65" customHeight="1">
      <c r="E24" s="623">
        <v>15</v>
      </c>
      <c r="AB24" s="1476" t="s">
        <v>809</v>
      </c>
      <c r="AC24" s="1487" t="s">
        <v>164</v>
      </c>
      <c r="AD24" s="1476" t="s">
        <v>331</v>
      </c>
      <c r="AE24" s="323" t="str">
        <f>god-2&amp;" год"</f>
        <v>2024 год</v>
      </c>
      <c r="AF24" s="1006" t="str">
        <f>god-2&amp;" год"</f>
        <v>2024 год</v>
      </c>
      <c r="AG24" s="323" t="str">
        <f>god-2&amp;" год"</f>
        <v>2024 год</v>
      </c>
      <c r="AH24" s="112" t="str">
        <f>god-1&amp;" год"</f>
        <v>2025 год</v>
      </c>
      <c r="AI24" s="1001" t="str">
        <f>god&amp;" год"</f>
        <v>2026 год</v>
      </c>
      <c r="AJ24" s="1001" t="str">
        <f>god+1&amp;" год"</f>
        <v>2027 год</v>
      </c>
      <c r="AK24" s="1001" t="str">
        <f>god+2&amp;" год"</f>
        <v>2028 год</v>
      </c>
      <c r="AL24" s="1001" t="str">
        <f>god+3&amp;" год"</f>
        <v>2029 год</v>
      </c>
      <c r="AM24" s="1001" t="str">
        <f>god+4&amp;" год"</f>
        <v>2030 год</v>
      </c>
      <c r="AN24" s="1001" t="str">
        <f>god+5&amp;" год"</f>
        <v>2031 год</v>
      </c>
      <c r="AO24" s="1001" t="str">
        <f>god+6&amp;" год"</f>
        <v>2032 год</v>
      </c>
      <c r="AP24" s="1001" t="str">
        <f>god+7&amp;" год"</f>
        <v>2033 год</v>
      </c>
      <c r="AQ24" s="1001" t="str">
        <f>god+8&amp;" год"</f>
        <v>2034 год</v>
      </c>
      <c r="AR24" s="1001" t="str">
        <f>god+9&amp;" год"</f>
        <v>2035 год</v>
      </c>
      <c r="AS24" s="108" t="str">
        <f>god&amp;" год"</f>
        <v>2026 год</v>
      </c>
      <c r="AT24" s="108" t="str">
        <f>god+1&amp;" год"</f>
        <v>2027 год</v>
      </c>
      <c r="AU24" s="108" t="str">
        <f>god+2&amp;" год"</f>
        <v>2028 год</v>
      </c>
      <c r="AV24" s="108" t="str">
        <f>god+3&amp;" год"</f>
        <v>2029 год</v>
      </c>
      <c r="AW24" s="108" t="str">
        <f>god+4&amp;" год"</f>
        <v>2030 год</v>
      </c>
      <c r="AX24" s="108" t="str">
        <f>god+5&amp;" год"</f>
        <v>2031 год</v>
      </c>
      <c r="AY24" s="108" t="str">
        <f>god+6&amp;" год"</f>
        <v>2032 год</v>
      </c>
      <c r="AZ24" s="108" t="str">
        <f>god+7&amp;" год"</f>
        <v>2033 год</v>
      </c>
      <c r="BA24" s="108" t="str">
        <f>god+8&amp;" год"</f>
        <v>2034 год</v>
      </c>
      <c r="BB24" s="108" t="str">
        <f>god+9&amp;" год"</f>
        <v>2035 год</v>
      </c>
      <c r="BC24" s="1417" t="s">
        <v>486</v>
      </c>
    </row>
    <row r="25" spans="1:62" ht="48.75" customHeight="1">
      <c r="E25" s="623">
        <v>50.1</v>
      </c>
      <c r="AB25" s="1486"/>
      <c r="AC25" s="1486"/>
      <c r="AD25" s="1486"/>
      <c r="AE25" s="108" t="s">
        <v>304</v>
      </c>
      <c r="AF25" s="1001" t="s">
        <v>487</v>
      </c>
      <c r="AG25" s="108" t="s">
        <v>488</v>
      </c>
      <c r="AH25" s="108" t="s">
        <v>304</v>
      </c>
      <c r="AI25" s="1002" t="s">
        <v>305</v>
      </c>
      <c r="AJ25" s="1002" t="s">
        <v>305</v>
      </c>
      <c r="AK25" s="1002" t="s">
        <v>305</v>
      </c>
      <c r="AL25" s="1002" t="s">
        <v>305</v>
      </c>
      <c r="AM25" s="1002" t="s">
        <v>305</v>
      </c>
      <c r="AN25" s="1002" t="s">
        <v>305</v>
      </c>
      <c r="AO25" s="1002" t="s">
        <v>305</v>
      </c>
      <c r="AP25" s="1002" t="s">
        <v>305</v>
      </c>
      <c r="AQ25" s="1002" t="s">
        <v>305</v>
      </c>
      <c r="AR25" s="1002" t="s">
        <v>305</v>
      </c>
      <c r="AS25" s="324" t="s">
        <v>304</v>
      </c>
      <c r="AT25" s="324" t="s">
        <v>304</v>
      </c>
      <c r="AU25" s="324" t="s">
        <v>304</v>
      </c>
      <c r="AV25" s="324" t="s">
        <v>304</v>
      </c>
      <c r="AW25" s="324" t="s">
        <v>304</v>
      </c>
      <c r="AX25" s="324" t="s">
        <v>304</v>
      </c>
      <c r="AY25" s="324" t="s">
        <v>304</v>
      </c>
      <c r="AZ25" s="324" t="s">
        <v>304</v>
      </c>
      <c r="BA25" s="324" t="s">
        <v>304</v>
      </c>
      <c r="BB25" s="324" t="s">
        <v>304</v>
      </c>
      <c r="BC25" s="1486"/>
    </row>
    <row r="26" spans="1:62" ht="50.25" hidden="1" customHeight="1">
      <c r="E26" s="623">
        <v>0</v>
      </c>
      <c r="AB26" s="399"/>
      <c r="AC26" s="400"/>
      <c r="AD26" s="400"/>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401"/>
    </row>
    <row r="27" spans="1:62" ht="14.65" hidden="1" customHeight="1">
      <c r="E27" s="623">
        <v>15</v>
      </c>
      <c r="F27" s="714">
        <f>X27</f>
        <v>0</v>
      </c>
      <c r="T27" s="634" t="b">
        <f>X27&gt;0</f>
        <v>0</v>
      </c>
      <c r="V27" s="113" t="s">
        <v>228</v>
      </c>
      <c r="X27" s="1382">
        <v>0</v>
      </c>
      <c r="Z27" s="1382"/>
      <c r="AB27" s="224" t="str">
        <f>INDEX('Общие сведения'!$AG$169:$AG$202,MATCH($F27,'Общие сведения'!$Z$169:$Z$202,0))</f>
        <v>Тариф 0 (Теплоснабжение) - Тарифы на теплоноситель</v>
      </c>
      <c r="AC27" s="197"/>
      <c r="AD27" s="197"/>
      <c r="AE27" s="297">
        <f t="shared" ref="AE27:BB27" si="3">AE28+AE34</f>
        <v>0</v>
      </c>
      <c r="AF27" s="297">
        <f t="shared" si="3"/>
        <v>0</v>
      </c>
      <c r="AG27" s="297">
        <f t="shared" si="3"/>
        <v>0</v>
      </c>
      <c r="AH27" s="297">
        <f t="shared" si="3"/>
        <v>0</v>
      </c>
      <c r="AI27" s="297">
        <f t="shared" si="3"/>
        <v>0</v>
      </c>
      <c r="AJ27" s="297">
        <f t="shared" si="3"/>
        <v>0</v>
      </c>
      <c r="AK27" s="297">
        <f t="shared" si="3"/>
        <v>0</v>
      </c>
      <c r="AL27" s="297">
        <f t="shared" si="3"/>
        <v>0</v>
      </c>
      <c r="AM27" s="297">
        <f t="shared" si="3"/>
        <v>0</v>
      </c>
      <c r="AN27" s="297">
        <f t="shared" si="3"/>
        <v>0</v>
      </c>
      <c r="AO27" s="297">
        <f t="shared" si="3"/>
        <v>0</v>
      </c>
      <c r="AP27" s="297">
        <f t="shared" si="3"/>
        <v>0</v>
      </c>
      <c r="AQ27" s="297">
        <f t="shared" si="3"/>
        <v>0</v>
      </c>
      <c r="AR27" s="297">
        <f t="shared" si="3"/>
        <v>0</v>
      </c>
      <c r="AS27" s="297">
        <f t="shared" si="3"/>
        <v>0</v>
      </c>
      <c r="AT27" s="297">
        <f t="shared" si="3"/>
        <v>0</v>
      </c>
      <c r="AU27" s="297">
        <f t="shared" si="3"/>
        <v>0</v>
      </c>
      <c r="AV27" s="297">
        <f t="shared" si="3"/>
        <v>0</v>
      </c>
      <c r="AW27" s="297">
        <f t="shared" si="3"/>
        <v>0</v>
      </c>
      <c r="AX27" s="297">
        <f t="shared" si="3"/>
        <v>0</v>
      </c>
      <c r="AY27" s="297">
        <f t="shared" si="3"/>
        <v>0</v>
      </c>
      <c r="AZ27" s="297">
        <f t="shared" si="3"/>
        <v>0</v>
      </c>
      <c r="BA27" s="297">
        <f t="shared" si="3"/>
        <v>0</v>
      </c>
      <c r="BB27" s="297">
        <f t="shared" si="3"/>
        <v>0</v>
      </c>
      <c r="BC27" s="226"/>
    </row>
    <row r="28" spans="1:62" ht="14.65" hidden="1" customHeight="1">
      <c r="E28" s="623">
        <v>15</v>
      </c>
      <c r="F28" s="714">
        <f>F27</f>
        <v>0</v>
      </c>
      <c r="G28" s="130" t="s">
        <v>810</v>
      </c>
      <c r="T28" s="645" t="b">
        <f>T27</f>
        <v>0</v>
      </c>
      <c r="X28" s="1382"/>
      <c r="Z28" s="1382"/>
      <c r="AB28" s="220">
        <v>1</v>
      </c>
      <c r="AC28" s="215" t="s">
        <v>811</v>
      </c>
      <c r="AD28" s="214" t="s">
        <v>648</v>
      </c>
      <c r="AE28" s="216">
        <f t="shared" ref="AE28:BB28" si="4">SUMIF($AD29:$AD33,$AD28,AE29:AE33)</f>
        <v>0</v>
      </c>
      <c r="AF28" s="216">
        <f t="shared" si="4"/>
        <v>0</v>
      </c>
      <c r="AG28" s="216">
        <f t="shared" si="4"/>
        <v>0</v>
      </c>
      <c r="AH28" s="216">
        <f t="shared" si="4"/>
        <v>0</v>
      </c>
      <c r="AI28" s="216">
        <f t="shared" si="4"/>
        <v>0</v>
      </c>
      <c r="AJ28" s="1132">
        <f t="shared" si="4"/>
        <v>0</v>
      </c>
      <c r="AK28" s="1132">
        <f t="shared" si="4"/>
        <v>0</v>
      </c>
      <c r="AL28" s="44">
        <f t="shared" si="4"/>
        <v>0</v>
      </c>
      <c r="AM28" s="44">
        <f t="shared" si="4"/>
        <v>0</v>
      </c>
      <c r="AN28" s="44">
        <f t="shared" si="4"/>
        <v>0</v>
      </c>
      <c r="AO28" s="44">
        <f t="shared" si="4"/>
        <v>0</v>
      </c>
      <c r="AP28" s="44">
        <f t="shared" si="4"/>
        <v>0</v>
      </c>
      <c r="AQ28" s="44">
        <f t="shared" si="4"/>
        <v>0</v>
      </c>
      <c r="AR28" s="44">
        <f t="shared" si="4"/>
        <v>0</v>
      </c>
      <c r="AS28" s="216">
        <f t="shared" si="4"/>
        <v>0</v>
      </c>
      <c r="AT28" s="1132">
        <f t="shared" si="4"/>
        <v>0</v>
      </c>
      <c r="AU28" s="1132">
        <f t="shared" si="4"/>
        <v>0</v>
      </c>
      <c r="AV28" s="44">
        <f t="shared" si="4"/>
        <v>0</v>
      </c>
      <c r="AW28" s="44">
        <f t="shared" si="4"/>
        <v>0</v>
      </c>
      <c r="AX28" s="44">
        <f t="shared" si="4"/>
        <v>0</v>
      </c>
      <c r="AY28" s="44">
        <f t="shared" si="4"/>
        <v>0</v>
      </c>
      <c r="AZ28" s="44">
        <f t="shared" si="4"/>
        <v>0</v>
      </c>
      <c r="BA28" s="44">
        <f t="shared" si="4"/>
        <v>0</v>
      </c>
      <c r="BB28" s="44">
        <f t="shared" si="4"/>
        <v>0</v>
      </c>
      <c r="BC28" s="22"/>
      <c r="BF28" s="902" t="s">
        <v>812</v>
      </c>
    </row>
    <row r="29" spans="1:62" ht="0.2" hidden="1" customHeight="1">
      <c r="E29" s="623">
        <v>0.2</v>
      </c>
      <c r="F29" s="714">
        <f>F28</f>
        <v>0</v>
      </c>
      <c r="T29" s="645" t="b">
        <v>0</v>
      </c>
      <c r="X29" s="1382"/>
      <c r="Z29" s="1382"/>
      <c r="AB29" s="220"/>
      <c r="AC29" s="215"/>
      <c r="AD29" s="214"/>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27"/>
      <c r="BF29" s="902" t="str">
        <f>IF(AND(ISNUMBER(VALUE(TRIM(SUBSTITUTE(AB29,".","")))),TRIM(SUBSTITUTE(AB29,".",""))&lt;&gt;""),"P"&amp;SUBSTITUTE(AB29,".",""),"")</f>
        <v/>
      </c>
    </row>
    <row r="30" spans="1:62" ht="14.65" hidden="1" customHeight="1">
      <c r="A30" s="970" t="str">
        <f ca="1">"checkCosts_1."&amp;F30&amp;"."&amp;Y30</f>
        <v>checkCosts_1.0.0</v>
      </c>
      <c r="E30" s="623">
        <v>15</v>
      </c>
      <c r="F30" s="714">
        <f ca="1">OFFSET(G30,-1,-1)</f>
        <v>0</v>
      </c>
      <c r="H30" s="94">
        <f>AC30</f>
        <v>0</v>
      </c>
      <c r="T30" s="715" t="b">
        <f ca="1">AND(F30&gt;0,Y30&gt;0)</f>
        <v>0</v>
      </c>
      <c r="W30" s="98" t="s">
        <v>170</v>
      </c>
      <c r="X30" s="1382"/>
      <c r="Y30" s="1382">
        <v>0</v>
      </c>
      <c r="Z30" s="1382"/>
      <c r="AA30" s="1483" t="s">
        <v>157</v>
      </c>
      <c r="AB30" s="222" t="str">
        <f>"1."&amp;Y30</f>
        <v>1.0</v>
      </c>
      <c r="AC30" s="368"/>
      <c r="AD30" s="214" t="s">
        <v>648</v>
      </c>
      <c r="AE30" s="1135">
        <f>AE31*AE32</f>
        <v>0</v>
      </c>
      <c r="AF30" s="11"/>
      <c r="AG30" s="11"/>
      <c r="AH30" s="1135">
        <f>AH31*AH32</f>
        <v>0</v>
      </c>
      <c r="AI30" s="217"/>
      <c r="AJ30" s="1065"/>
      <c r="AK30" s="1065"/>
      <c r="AL30" s="11"/>
      <c r="AM30" s="11"/>
      <c r="AN30" s="11"/>
      <c r="AO30" s="11"/>
      <c r="AP30" s="11"/>
      <c r="AQ30" s="11"/>
      <c r="AR30" s="11"/>
      <c r="AS30" s="1136">
        <f t="shared" ref="AS30:BB30" si="5">AS31*AS32</f>
        <v>0</v>
      </c>
      <c r="AT30" s="1136">
        <f t="shared" si="5"/>
        <v>0</v>
      </c>
      <c r="AU30" s="1136">
        <f t="shared" si="5"/>
        <v>0</v>
      </c>
      <c r="AV30" s="1135">
        <f t="shared" si="5"/>
        <v>0</v>
      </c>
      <c r="AW30" s="1135">
        <f t="shared" si="5"/>
        <v>0</v>
      </c>
      <c r="AX30" s="1135">
        <f t="shared" si="5"/>
        <v>0</v>
      </c>
      <c r="AY30" s="1135">
        <f t="shared" si="5"/>
        <v>0</v>
      </c>
      <c r="AZ30" s="1135">
        <f t="shared" si="5"/>
        <v>0</v>
      </c>
      <c r="BA30" s="1135">
        <f t="shared" si="5"/>
        <v>0</v>
      </c>
      <c r="BB30" s="1135">
        <f t="shared" si="5"/>
        <v>0</v>
      </c>
      <c r="BC30" s="22"/>
      <c r="BF30" s="902" t="s">
        <v>813</v>
      </c>
      <c r="BG30" s="920" t="s">
        <v>814</v>
      </c>
      <c r="BH30" s="920">
        <f>AC30</f>
        <v>0</v>
      </c>
      <c r="BJ30" s="921" t="b">
        <v>1</v>
      </c>
    </row>
    <row r="31" spans="1:62" s="1057" customFormat="1" ht="14.25" hidden="1" customHeight="1">
      <c r="B31" s="718"/>
      <c r="C31" s="1011"/>
      <c r="D31" s="1011"/>
      <c r="E31" s="717">
        <v>15</v>
      </c>
      <c r="F31" s="714">
        <f>F29</f>
        <v>0</v>
      </c>
      <c r="G31" s="1018"/>
      <c r="H31" s="1018">
        <f>H30</f>
        <v>0</v>
      </c>
      <c r="I31" s="1018"/>
      <c r="J31" s="1018"/>
      <c r="K31" s="1018"/>
      <c r="L31" s="1018"/>
      <c r="M31" s="1018"/>
      <c r="N31" s="1018"/>
      <c r="O31" s="1018"/>
      <c r="P31" s="1018"/>
      <c r="Q31" s="130"/>
      <c r="R31" s="130"/>
      <c r="S31" s="1018"/>
      <c r="T31" s="733" t="b">
        <f ca="1">T30</f>
        <v>0</v>
      </c>
      <c r="U31" s="1016"/>
      <c r="V31" s="1016"/>
      <c r="W31" s="1016"/>
      <c r="X31" s="1382"/>
      <c r="Y31" s="1382"/>
      <c r="Z31" s="1382"/>
      <c r="AA31" s="1483"/>
      <c r="AB31" s="408" t="str">
        <f>AB30&amp;".1"</f>
        <v>1.0.1</v>
      </c>
      <c r="AC31" s="391" t="s">
        <v>759</v>
      </c>
      <c r="AD31" s="1019" t="s">
        <v>815</v>
      </c>
      <c r="AE31" s="1146"/>
      <c r="AF31" s="536">
        <f>IF(AF32=0,0,AF30/AF32)</f>
        <v>0</v>
      </c>
      <c r="AG31" s="536">
        <f>IF(AG32=0,0,AG30/AG32)</f>
        <v>0</v>
      </c>
      <c r="AH31" s="1146"/>
      <c r="AI31" s="536">
        <f t="shared" ref="AI31:AR31" si="6">IF(AI32=0,0,AI30/AI32)</f>
        <v>0</v>
      </c>
      <c r="AJ31" s="1136">
        <f t="shared" si="6"/>
        <v>0</v>
      </c>
      <c r="AK31" s="1136">
        <f t="shared" si="6"/>
        <v>0</v>
      </c>
      <c r="AL31" s="536">
        <f t="shared" si="6"/>
        <v>0</v>
      </c>
      <c r="AM31" s="536">
        <f t="shared" si="6"/>
        <v>0</v>
      </c>
      <c r="AN31" s="536">
        <f t="shared" si="6"/>
        <v>0</v>
      </c>
      <c r="AO31" s="536">
        <f t="shared" si="6"/>
        <v>0</v>
      </c>
      <c r="AP31" s="536">
        <f t="shared" si="6"/>
        <v>0</v>
      </c>
      <c r="AQ31" s="536">
        <f t="shared" si="6"/>
        <v>0</v>
      </c>
      <c r="AR31" s="536">
        <f t="shared" si="6"/>
        <v>0</v>
      </c>
      <c r="AS31" s="793"/>
      <c r="AT31" s="1065"/>
      <c r="AU31" s="1065"/>
      <c r="AV31" s="1146"/>
      <c r="AW31" s="1146"/>
      <c r="AX31" s="1146"/>
      <c r="AY31" s="1146"/>
      <c r="AZ31" s="1146"/>
      <c r="BA31" s="1146"/>
      <c r="BB31" s="1146"/>
      <c r="BC31" s="1131"/>
      <c r="BD31" s="160"/>
      <c r="BE31" s="160"/>
      <c r="BF31" s="909" t="s">
        <v>816</v>
      </c>
      <c r="BG31" s="920" t="s">
        <v>814</v>
      </c>
      <c r="BH31" s="920">
        <f>BH30</f>
        <v>0</v>
      </c>
      <c r="BI31" s="921"/>
      <c r="BJ31" s="921"/>
    </row>
    <row r="32" spans="1:62" ht="14.65" hidden="1" customHeight="1">
      <c r="A32" s="970" t="str">
        <f ca="1">"checkVolume_1."&amp;F32&amp;"."&amp;Y30</f>
        <v>checkVolume_1.0.0</v>
      </c>
      <c r="E32" s="623">
        <v>15</v>
      </c>
      <c r="F32" s="714">
        <f ca="1">F30</f>
        <v>0</v>
      </c>
      <c r="H32" s="94">
        <f>H30</f>
        <v>0</v>
      </c>
      <c r="T32" s="715" t="b">
        <f ca="1">T30</f>
        <v>0</v>
      </c>
      <c r="X32" s="1382"/>
      <c r="Y32" s="1382"/>
      <c r="Z32" s="1382"/>
      <c r="AA32" s="1483"/>
      <c r="AB32" s="222" t="str">
        <f>AB30&amp;".2"</f>
        <v>1.0.2</v>
      </c>
      <c r="AC32" s="228" t="s">
        <v>817</v>
      </c>
      <c r="AD32" s="93" t="s">
        <v>818</v>
      </c>
      <c r="AE32" s="11"/>
      <c r="AF32" s="11"/>
      <c r="AG32" s="11"/>
      <c r="AH32" s="11"/>
      <c r="AI32" s="217"/>
      <c r="AJ32" s="1065"/>
      <c r="AK32" s="1065"/>
      <c r="AL32" s="11"/>
      <c r="AM32" s="11"/>
      <c r="AN32" s="11"/>
      <c r="AO32" s="11"/>
      <c r="AP32" s="11"/>
      <c r="AQ32" s="11"/>
      <c r="AR32" s="11"/>
      <c r="AS32" s="217"/>
      <c r="AT32" s="1065"/>
      <c r="AU32" s="1065"/>
      <c r="AV32" s="11"/>
      <c r="AW32" s="11"/>
      <c r="AX32" s="11"/>
      <c r="AY32" s="11"/>
      <c r="AZ32" s="11"/>
      <c r="BA32" s="11"/>
      <c r="BB32" s="11"/>
      <c r="BC32" s="22"/>
      <c r="BF32" s="902" t="s">
        <v>819</v>
      </c>
      <c r="BG32" s="920" t="s">
        <v>814</v>
      </c>
      <c r="BH32" s="920">
        <f>BH30</f>
        <v>0</v>
      </c>
    </row>
    <row r="33" spans="1:62" ht="14.65" hidden="1" customHeight="1">
      <c r="E33" s="623">
        <v>15</v>
      </c>
      <c r="F33" s="714">
        <f>F29</f>
        <v>0</v>
      </c>
      <c r="T33" s="645" t="b">
        <f>F33&gt;0</f>
        <v>0</v>
      </c>
      <c r="W33" s="291" t="s">
        <v>820</v>
      </c>
      <c r="X33" s="1382"/>
      <c r="Z33" s="1382"/>
      <c r="AB33" s="236"/>
      <c r="AC33" s="237" t="s">
        <v>796</v>
      </c>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851"/>
      <c r="BF33" s="902" t="str">
        <f>IF(AND(ISNUMBER(VALUE(TRIM(SUBSTITUTE(AB33,".","")))),TRIM(SUBSTITUTE(AB33,".",""))&lt;&gt;""),"P"&amp;SUBSTITUTE(AB33,".",""),"")</f>
        <v/>
      </c>
      <c r="BI33" s="921" t="s">
        <v>814</v>
      </c>
    </row>
    <row r="34" spans="1:62" ht="14.65" hidden="1" customHeight="1">
      <c r="E34" s="623">
        <v>15</v>
      </c>
      <c r="F34" s="714">
        <f>F33</f>
        <v>0</v>
      </c>
      <c r="G34" s="130" t="s">
        <v>821</v>
      </c>
      <c r="T34" s="645" t="b">
        <f>F34&gt;0</f>
        <v>0</v>
      </c>
      <c r="X34" s="1382"/>
      <c r="Z34" s="1382"/>
      <c r="AB34" s="220">
        <v>2</v>
      </c>
      <c r="AC34" s="215" t="s">
        <v>822</v>
      </c>
      <c r="AD34" s="214" t="s">
        <v>648</v>
      </c>
      <c r="AE34" s="216">
        <f t="shared" ref="AE34:BB34" si="7">SUMIF($AD35:$AD39,$AD34,AE35:AE39)</f>
        <v>0</v>
      </c>
      <c r="AF34" s="216">
        <f t="shared" si="7"/>
        <v>0</v>
      </c>
      <c r="AG34" s="216">
        <f t="shared" si="7"/>
        <v>0</v>
      </c>
      <c r="AH34" s="216">
        <f t="shared" si="7"/>
        <v>0</v>
      </c>
      <c r="AI34" s="216">
        <f t="shared" si="7"/>
        <v>0</v>
      </c>
      <c r="AJ34" s="1132">
        <f t="shared" si="7"/>
        <v>0</v>
      </c>
      <c r="AK34" s="1132">
        <f t="shared" si="7"/>
        <v>0</v>
      </c>
      <c r="AL34" s="44">
        <f t="shared" si="7"/>
        <v>0</v>
      </c>
      <c r="AM34" s="44">
        <f t="shared" si="7"/>
        <v>0</v>
      </c>
      <c r="AN34" s="44">
        <f t="shared" si="7"/>
        <v>0</v>
      </c>
      <c r="AO34" s="44">
        <f t="shared" si="7"/>
        <v>0</v>
      </c>
      <c r="AP34" s="44">
        <f t="shared" si="7"/>
        <v>0</v>
      </c>
      <c r="AQ34" s="44">
        <f t="shared" si="7"/>
        <v>0</v>
      </c>
      <c r="AR34" s="44">
        <f t="shared" si="7"/>
        <v>0</v>
      </c>
      <c r="AS34" s="216">
        <f t="shared" si="7"/>
        <v>0</v>
      </c>
      <c r="AT34" s="1132">
        <f t="shared" si="7"/>
        <v>0</v>
      </c>
      <c r="AU34" s="1132">
        <f t="shared" si="7"/>
        <v>0</v>
      </c>
      <c r="AV34" s="44">
        <f t="shared" si="7"/>
        <v>0</v>
      </c>
      <c r="AW34" s="44">
        <f t="shared" si="7"/>
        <v>0</v>
      </c>
      <c r="AX34" s="44">
        <f t="shared" si="7"/>
        <v>0</v>
      </c>
      <c r="AY34" s="44">
        <f t="shared" si="7"/>
        <v>0</v>
      </c>
      <c r="AZ34" s="44">
        <f t="shared" si="7"/>
        <v>0</v>
      </c>
      <c r="BA34" s="44">
        <f t="shared" si="7"/>
        <v>0</v>
      </c>
      <c r="BB34" s="44">
        <f t="shared" si="7"/>
        <v>0</v>
      </c>
      <c r="BC34" s="22"/>
      <c r="BF34" s="902" t="s">
        <v>823</v>
      </c>
    </row>
    <row r="35" spans="1:62" ht="0.2" hidden="1" customHeight="1">
      <c r="E35" s="623">
        <v>0.2</v>
      </c>
      <c r="F35" s="714">
        <f ca="1">OFFSET(G35,-1,-1)</f>
        <v>0</v>
      </c>
      <c r="T35" s="645" t="b">
        <v>0</v>
      </c>
      <c r="X35" s="1382"/>
      <c r="Z35" s="1382"/>
      <c r="AB35" s="220"/>
      <c r="AC35" s="215"/>
      <c r="AD35" s="214"/>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27"/>
      <c r="BF35" s="902" t="str">
        <f>IF(AND(ISNUMBER(VALUE(TRIM(SUBSTITUTE(AB35,".","")))),TRIM(SUBSTITUTE(AB35,".",""))&lt;&gt;""),"P"&amp;SUBSTITUTE(AB35,".",""),"")</f>
        <v/>
      </c>
    </row>
    <row r="36" spans="1:62" ht="14.65" hidden="1" customHeight="1">
      <c r="A36" s="970" t="str">
        <f ca="1">"checkCosts_2."&amp;F36&amp;"."&amp;Y36</f>
        <v>checkCosts_2.0.0</v>
      </c>
      <c r="E36" s="623">
        <v>15</v>
      </c>
      <c r="F36" s="714">
        <f ca="1">OFFSET(G36,-1,-1)</f>
        <v>0</v>
      </c>
      <c r="H36" s="94">
        <f>AC36</f>
        <v>0</v>
      </c>
      <c r="T36" s="715" t="b">
        <f ca="1">AND(F36&gt;0,Y36&gt;0)</f>
        <v>0</v>
      </c>
      <c r="W36" s="98" t="s">
        <v>170</v>
      </c>
      <c r="X36" s="1382"/>
      <c r="Y36" s="1382">
        <v>0</v>
      </c>
      <c r="Z36" s="1382"/>
      <c r="AA36" s="1483" t="s">
        <v>157</v>
      </c>
      <c r="AB36" s="222" t="str">
        <f>"2."&amp;Y36</f>
        <v>2.0</v>
      </c>
      <c r="AC36" s="368"/>
      <c r="AD36" s="214" t="s">
        <v>648</v>
      </c>
      <c r="AE36" s="1135">
        <f>AE37*AE38</f>
        <v>0</v>
      </c>
      <c r="AF36" s="11"/>
      <c r="AG36" s="11"/>
      <c r="AH36" s="1135">
        <f>AH37*AH38</f>
        <v>0</v>
      </c>
      <c r="AI36" s="217"/>
      <c r="AJ36" s="1065"/>
      <c r="AK36" s="1065"/>
      <c r="AL36" s="11"/>
      <c r="AM36" s="11"/>
      <c r="AN36" s="11"/>
      <c r="AO36" s="11"/>
      <c r="AP36" s="11"/>
      <c r="AQ36" s="11"/>
      <c r="AR36" s="11"/>
      <c r="AS36" s="1136">
        <f t="shared" ref="AS36:BB36" si="8">AS37*AS38</f>
        <v>0</v>
      </c>
      <c r="AT36" s="1136">
        <f t="shared" si="8"/>
        <v>0</v>
      </c>
      <c r="AU36" s="1136">
        <f t="shared" si="8"/>
        <v>0</v>
      </c>
      <c r="AV36" s="1135">
        <f t="shared" si="8"/>
        <v>0</v>
      </c>
      <c r="AW36" s="1135">
        <f t="shared" si="8"/>
        <v>0</v>
      </c>
      <c r="AX36" s="1135">
        <f t="shared" si="8"/>
        <v>0</v>
      </c>
      <c r="AY36" s="1135">
        <f t="shared" si="8"/>
        <v>0</v>
      </c>
      <c r="AZ36" s="1135">
        <f t="shared" si="8"/>
        <v>0</v>
      </c>
      <c r="BA36" s="1135">
        <f t="shared" si="8"/>
        <v>0</v>
      </c>
      <c r="BB36" s="1135">
        <f t="shared" si="8"/>
        <v>0</v>
      </c>
      <c r="BC36" s="22"/>
      <c r="BF36" s="902" t="s">
        <v>824</v>
      </c>
      <c r="BG36" s="920" t="s">
        <v>825</v>
      </c>
      <c r="BH36" s="920">
        <f>AC36</f>
        <v>0</v>
      </c>
      <c r="BJ36" s="921" t="b">
        <v>1</v>
      </c>
    </row>
    <row r="37" spans="1:62" s="1057" customFormat="1" ht="14.25" hidden="1" customHeight="1">
      <c r="B37" s="718"/>
      <c r="C37" s="1011"/>
      <c r="D37" s="1011"/>
      <c r="E37" s="717">
        <v>15</v>
      </c>
      <c r="F37" s="714">
        <f ca="1">OFFSET(G37,-1,-1)</f>
        <v>0</v>
      </c>
      <c r="G37" s="1018"/>
      <c r="H37" s="1018">
        <f>H36</f>
        <v>0</v>
      </c>
      <c r="I37" s="1018"/>
      <c r="J37" s="1018"/>
      <c r="K37" s="1018"/>
      <c r="L37" s="1018"/>
      <c r="M37" s="1018"/>
      <c r="N37" s="1018"/>
      <c r="O37" s="1018"/>
      <c r="P37" s="1018"/>
      <c r="Q37" s="130"/>
      <c r="R37" s="130"/>
      <c r="S37" s="1018"/>
      <c r="T37" s="733" t="b">
        <f ca="1">T36</f>
        <v>0</v>
      </c>
      <c r="U37" s="1016"/>
      <c r="V37" s="1016"/>
      <c r="W37" s="1016"/>
      <c r="X37" s="1382"/>
      <c r="Y37" s="1382"/>
      <c r="Z37" s="1382"/>
      <c r="AA37" s="1483"/>
      <c r="AB37" s="408" t="str">
        <f>AB36&amp;".1"</f>
        <v>2.0.1</v>
      </c>
      <c r="AC37" s="391" t="s">
        <v>759</v>
      </c>
      <c r="AD37" s="1019" t="s">
        <v>815</v>
      </c>
      <c r="AE37" s="1146"/>
      <c r="AF37" s="536">
        <f>IF(AF38=0,0,AF36/AF38)</f>
        <v>0</v>
      </c>
      <c r="AG37" s="536">
        <f>IF(AG38=0,0,AG36/AG38)</f>
        <v>0</v>
      </c>
      <c r="AH37" s="1146"/>
      <c r="AI37" s="536">
        <f t="shared" ref="AI37:AR37" si="9">IF(AI38=0,0,AI36/AI38)</f>
        <v>0</v>
      </c>
      <c r="AJ37" s="1136">
        <f t="shared" si="9"/>
        <v>0</v>
      </c>
      <c r="AK37" s="1136">
        <f t="shared" si="9"/>
        <v>0</v>
      </c>
      <c r="AL37" s="536">
        <f t="shared" si="9"/>
        <v>0</v>
      </c>
      <c r="AM37" s="536">
        <f t="shared" si="9"/>
        <v>0</v>
      </c>
      <c r="AN37" s="536">
        <f t="shared" si="9"/>
        <v>0</v>
      </c>
      <c r="AO37" s="536">
        <f t="shared" si="9"/>
        <v>0</v>
      </c>
      <c r="AP37" s="536">
        <f t="shared" si="9"/>
        <v>0</v>
      </c>
      <c r="AQ37" s="536">
        <f t="shared" si="9"/>
        <v>0</v>
      </c>
      <c r="AR37" s="536">
        <f t="shared" si="9"/>
        <v>0</v>
      </c>
      <c r="AS37" s="793"/>
      <c r="AT37" s="1065"/>
      <c r="AU37" s="1065"/>
      <c r="AV37" s="1146"/>
      <c r="AW37" s="1146"/>
      <c r="AX37" s="1146"/>
      <c r="AY37" s="1146"/>
      <c r="AZ37" s="1146"/>
      <c r="BA37" s="1146"/>
      <c r="BB37" s="1146"/>
      <c r="BC37" s="1131"/>
      <c r="BD37" s="160"/>
      <c r="BE37" s="160"/>
      <c r="BF37" s="909" t="s">
        <v>826</v>
      </c>
      <c r="BG37" s="920" t="s">
        <v>825</v>
      </c>
      <c r="BH37" s="920">
        <f>BH36</f>
        <v>0</v>
      </c>
      <c r="BI37" s="921"/>
      <c r="BJ37" s="921"/>
    </row>
    <row r="38" spans="1:62" ht="14.65" hidden="1" customHeight="1">
      <c r="A38" s="970" t="str">
        <f ca="1">"checkVolume_2."&amp;F38&amp;"."&amp;Y36</f>
        <v>checkVolume_2.0.0</v>
      </c>
      <c r="E38" s="623">
        <v>15</v>
      </c>
      <c r="F38" s="714">
        <f ca="1">OFFSET(G38,-1,-1)</f>
        <v>0</v>
      </c>
      <c r="H38" s="94">
        <f>H36</f>
        <v>0</v>
      </c>
      <c r="T38" s="715" t="b">
        <f ca="1">T36</f>
        <v>0</v>
      </c>
      <c r="X38" s="1382"/>
      <c r="Y38" s="1382"/>
      <c r="Z38" s="1382"/>
      <c r="AA38" s="1483"/>
      <c r="AB38" s="222" t="str">
        <f>AB36&amp;".2"</f>
        <v>2.0.2</v>
      </c>
      <c r="AC38" s="228" t="s">
        <v>827</v>
      </c>
      <c r="AD38" s="93" t="s">
        <v>818</v>
      </c>
      <c r="AE38" s="11"/>
      <c r="AF38" s="11"/>
      <c r="AG38" s="11"/>
      <c r="AH38" s="11"/>
      <c r="AI38" s="217"/>
      <c r="AJ38" s="1065"/>
      <c r="AK38" s="1065"/>
      <c r="AL38" s="11"/>
      <c r="AM38" s="11"/>
      <c r="AN38" s="11"/>
      <c r="AO38" s="11"/>
      <c r="AP38" s="11"/>
      <c r="AQ38" s="11"/>
      <c r="AR38" s="11"/>
      <c r="AS38" s="217"/>
      <c r="AT38" s="1065"/>
      <c r="AU38" s="1065"/>
      <c r="AV38" s="11"/>
      <c r="AW38" s="11"/>
      <c r="AX38" s="11"/>
      <c r="AY38" s="11"/>
      <c r="AZ38" s="11"/>
      <c r="BA38" s="11"/>
      <c r="BB38" s="11"/>
      <c r="BC38" s="22"/>
      <c r="BF38" s="902" t="s">
        <v>828</v>
      </c>
      <c r="BG38" s="920" t="s">
        <v>825</v>
      </c>
      <c r="BH38" s="920">
        <f>BH36</f>
        <v>0</v>
      </c>
    </row>
    <row r="39" spans="1:62" ht="14.65" hidden="1" customHeight="1">
      <c r="E39" s="623">
        <v>15</v>
      </c>
      <c r="F39" s="714">
        <f ca="1">OFFSET(G39,-1,-1)</f>
        <v>0</v>
      </c>
      <c r="T39" s="645" t="b">
        <f ca="1">F39&gt;0</f>
        <v>0</v>
      </c>
      <c r="W39" s="291" t="s">
        <v>829</v>
      </c>
      <c r="X39" s="1382"/>
      <c r="Z39" s="1382"/>
      <c r="AB39" s="236"/>
      <c r="AC39" s="237" t="s">
        <v>796</v>
      </c>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7"/>
      <c r="BC39" s="238"/>
      <c r="BI39" s="921" t="s">
        <v>825</v>
      </c>
    </row>
    <row r="40" spans="1:62" s="1057" customFormat="1" ht="14.25" customHeight="1">
      <c r="A40" s="769"/>
      <c r="B40" s="718"/>
      <c r="C40" s="1011"/>
      <c r="D40" s="1011"/>
      <c r="E40" s="623">
        <v>15</v>
      </c>
      <c r="F40" s="714" t="str">
        <f>X40</f>
        <v>1</v>
      </c>
      <c r="G40" s="1018"/>
      <c r="H40" s="1018"/>
      <c r="I40" s="1018"/>
      <c r="J40" s="1018"/>
      <c r="K40" s="1018"/>
      <c r="L40" s="1018"/>
      <c r="M40" s="1018"/>
      <c r="N40" s="1018"/>
      <c r="O40" s="1018"/>
      <c r="P40" s="1018"/>
      <c r="Q40" s="130"/>
      <c r="R40" s="130"/>
      <c r="S40" s="1018"/>
      <c r="T40" s="634" t="b">
        <f>X40&gt;0</f>
        <v>1</v>
      </c>
      <c r="U40" s="1016"/>
      <c r="V40" s="113" t="str">
        <f>ЭнергоРесурсы!$AB$68</f>
        <v>Тариф 1 (Теплоснабжение) - Тарифы на теплоноситель (Не определено)</v>
      </c>
      <c r="W40" s="1016"/>
      <c r="X40" s="1382" t="s">
        <v>247</v>
      </c>
      <c r="Y40" s="1016"/>
      <c r="Z40" s="1382"/>
      <c r="AA40" s="160"/>
      <c r="AB40" s="224" t="str">
        <f>IF(ISBLANK(ЭнергоРесурсы!$AB$68),"",ЭнергоРесурсы!$AB$68)</f>
        <v>Тариф 1 (Теплоснабжение) - Тарифы на теплоноситель (Не определено)</v>
      </c>
      <c r="AC40" s="197"/>
      <c r="AD40" s="197"/>
      <c r="AE40" s="297">
        <f t="shared" ref="AE40:BB40" si="10">AE41+AE50</f>
        <v>3437.5138216700002</v>
      </c>
      <c r="AF40" s="297">
        <f t="shared" si="10"/>
        <v>3439.0210000000002</v>
      </c>
      <c r="AG40" s="297">
        <f t="shared" si="10"/>
        <v>3439.02</v>
      </c>
      <c r="AH40" s="297">
        <f t="shared" si="10"/>
        <v>3891.6045094000006</v>
      </c>
      <c r="AI40" s="297">
        <f t="shared" si="10"/>
        <v>4362.83</v>
      </c>
      <c r="AJ40" s="297">
        <f t="shared" si="10"/>
        <v>0</v>
      </c>
      <c r="AK40" s="297">
        <f t="shared" si="10"/>
        <v>0</v>
      </c>
      <c r="AL40" s="297">
        <f t="shared" si="10"/>
        <v>0</v>
      </c>
      <c r="AM40" s="297">
        <f t="shared" si="10"/>
        <v>0</v>
      </c>
      <c r="AN40" s="297">
        <f t="shared" si="10"/>
        <v>0</v>
      </c>
      <c r="AO40" s="297">
        <f t="shared" si="10"/>
        <v>0</v>
      </c>
      <c r="AP40" s="297">
        <f t="shared" si="10"/>
        <v>0</v>
      </c>
      <c r="AQ40" s="297">
        <f t="shared" si="10"/>
        <v>0</v>
      </c>
      <c r="AR40" s="297">
        <f t="shared" si="10"/>
        <v>0</v>
      </c>
      <c r="AS40" s="297">
        <f t="shared" si="10"/>
        <v>4302.093613</v>
      </c>
      <c r="AT40" s="297">
        <f t="shared" si="10"/>
        <v>0</v>
      </c>
      <c r="AU40" s="297">
        <f t="shared" si="10"/>
        <v>0</v>
      </c>
      <c r="AV40" s="297">
        <f t="shared" si="10"/>
        <v>0</v>
      </c>
      <c r="AW40" s="297">
        <f t="shared" si="10"/>
        <v>0</v>
      </c>
      <c r="AX40" s="297">
        <f t="shared" si="10"/>
        <v>0</v>
      </c>
      <c r="AY40" s="297">
        <f t="shared" si="10"/>
        <v>0</v>
      </c>
      <c r="AZ40" s="297">
        <f t="shared" si="10"/>
        <v>0</v>
      </c>
      <c r="BA40" s="297">
        <f t="shared" si="10"/>
        <v>0</v>
      </c>
      <c r="BB40" s="297">
        <f t="shared" si="10"/>
        <v>0</v>
      </c>
      <c r="BC40" s="226"/>
      <c r="BD40" s="160"/>
      <c r="BE40" s="160"/>
      <c r="BF40" s="920"/>
      <c r="BG40" s="920"/>
      <c r="BH40" s="920"/>
      <c r="BI40" s="921"/>
      <c r="BJ40" s="921"/>
    </row>
    <row r="41" spans="1:62" s="1057" customFormat="1" ht="14.25" customHeight="1">
      <c r="A41" s="769"/>
      <c r="B41" s="718"/>
      <c r="C41" s="1011"/>
      <c r="D41" s="1011"/>
      <c r="E41" s="623">
        <v>15</v>
      </c>
      <c r="F41" s="714" t="str">
        <f>F40</f>
        <v>1</v>
      </c>
      <c r="G41" s="130" t="s">
        <v>810</v>
      </c>
      <c r="H41" s="1018"/>
      <c r="I41" s="1018"/>
      <c r="J41" s="1018"/>
      <c r="K41" s="1018"/>
      <c r="L41" s="1018"/>
      <c r="M41" s="1018"/>
      <c r="N41" s="1018"/>
      <c r="O41" s="1018"/>
      <c r="P41" s="1018"/>
      <c r="Q41" s="130"/>
      <c r="R41" s="130"/>
      <c r="S41" s="1018"/>
      <c r="T41" s="645" t="b">
        <f>T40</f>
        <v>1</v>
      </c>
      <c r="U41" s="1016"/>
      <c r="V41" s="1016"/>
      <c r="W41" s="1016"/>
      <c r="X41" s="1382"/>
      <c r="Y41" s="1016"/>
      <c r="Z41" s="1382"/>
      <c r="AA41" s="160"/>
      <c r="AB41" s="220">
        <v>1</v>
      </c>
      <c r="AC41" s="215" t="s">
        <v>811</v>
      </c>
      <c r="AD41" s="214" t="s">
        <v>648</v>
      </c>
      <c r="AE41" s="216">
        <f t="shared" ref="AE41:BB41" si="11">SUMIF($AD42:$AD49,$AD41,AE42:AE49)</f>
        <v>3437.5138216700002</v>
      </c>
      <c r="AF41" s="216">
        <f t="shared" si="11"/>
        <v>3439.0210000000002</v>
      </c>
      <c r="AG41" s="216">
        <f t="shared" si="11"/>
        <v>3439.02</v>
      </c>
      <c r="AH41" s="216">
        <f t="shared" si="11"/>
        <v>3891.6045094000006</v>
      </c>
      <c r="AI41" s="216">
        <f t="shared" si="11"/>
        <v>4362.83</v>
      </c>
      <c r="AJ41" s="1132">
        <f t="shared" si="11"/>
        <v>0</v>
      </c>
      <c r="AK41" s="1132">
        <f t="shared" si="11"/>
        <v>0</v>
      </c>
      <c r="AL41" s="1144">
        <f t="shared" si="11"/>
        <v>0</v>
      </c>
      <c r="AM41" s="1144">
        <f t="shared" si="11"/>
        <v>0</v>
      </c>
      <c r="AN41" s="1144">
        <f t="shared" si="11"/>
        <v>0</v>
      </c>
      <c r="AO41" s="1144">
        <f t="shared" si="11"/>
        <v>0</v>
      </c>
      <c r="AP41" s="1144">
        <f t="shared" si="11"/>
        <v>0</v>
      </c>
      <c r="AQ41" s="1144">
        <f t="shared" si="11"/>
        <v>0</v>
      </c>
      <c r="AR41" s="1144">
        <f t="shared" si="11"/>
        <v>0</v>
      </c>
      <c r="AS41" s="216">
        <f t="shared" si="11"/>
        <v>4302.093613</v>
      </c>
      <c r="AT41" s="1132">
        <f t="shared" si="11"/>
        <v>0</v>
      </c>
      <c r="AU41" s="1132">
        <f t="shared" si="11"/>
        <v>0</v>
      </c>
      <c r="AV41" s="1144">
        <f t="shared" si="11"/>
        <v>0</v>
      </c>
      <c r="AW41" s="1144">
        <f t="shared" si="11"/>
        <v>0</v>
      </c>
      <c r="AX41" s="1144">
        <f t="shared" si="11"/>
        <v>0</v>
      </c>
      <c r="AY41" s="1144">
        <f t="shared" si="11"/>
        <v>0</v>
      </c>
      <c r="AZ41" s="1144">
        <f t="shared" si="11"/>
        <v>0</v>
      </c>
      <c r="BA41" s="1144">
        <f t="shared" si="11"/>
        <v>0</v>
      </c>
      <c r="BB41" s="1144">
        <f t="shared" si="11"/>
        <v>0</v>
      </c>
      <c r="BC41" s="1106"/>
      <c r="BD41" s="160"/>
      <c r="BE41" s="160"/>
      <c r="BF41" s="902" t="s">
        <v>812</v>
      </c>
      <c r="BG41" s="920"/>
      <c r="BH41" s="920"/>
      <c r="BI41" s="921"/>
      <c r="BJ41" s="921"/>
    </row>
    <row r="42" spans="1:62" s="1057" customFormat="1" ht="0" hidden="1" customHeight="1">
      <c r="A42" s="769"/>
      <c r="B42" s="718"/>
      <c r="C42" s="1011"/>
      <c r="D42" s="1011"/>
      <c r="E42" s="623">
        <v>0.2</v>
      </c>
      <c r="F42" s="714" t="str">
        <f>F41</f>
        <v>1</v>
      </c>
      <c r="G42" s="1018"/>
      <c r="H42" s="1018"/>
      <c r="I42" s="1018"/>
      <c r="J42" s="1018"/>
      <c r="K42" s="1018"/>
      <c r="L42" s="1018"/>
      <c r="M42" s="1018"/>
      <c r="N42" s="1018"/>
      <c r="O42" s="1018"/>
      <c r="P42" s="1018"/>
      <c r="Q42" s="130"/>
      <c r="R42" s="130"/>
      <c r="S42" s="1018"/>
      <c r="T42" s="645" t="b">
        <v>0</v>
      </c>
      <c r="U42" s="1016"/>
      <c r="V42" s="1016"/>
      <c r="W42" s="1016"/>
      <c r="X42" s="1382"/>
      <c r="Y42" s="1016"/>
      <c r="Z42" s="1382"/>
      <c r="AA42" s="160"/>
      <c r="AB42" s="220"/>
      <c r="AC42" s="215"/>
      <c r="AD42" s="214"/>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27"/>
      <c r="BD42" s="160"/>
      <c r="BE42" s="160"/>
      <c r="BF42" s="902" t="str">
        <f>IF(AND(ISNUMBER(VALUE(TRIM(SUBSTITUTE(AB42,".","")))),TRIM(SUBSTITUTE(AB42,".",""))&lt;&gt;""),"P"&amp;SUBSTITUTE(AB42,".",""),"")</f>
        <v/>
      </c>
      <c r="BG42" s="920"/>
      <c r="BH42" s="920"/>
      <c r="BI42" s="921"/>
      <c r="BJ42" s="921"/>
    </row>
    <row r="43" spans="1:62" s="1057" customFormat="1" ht="14.25" hidden="1" customHeight="1">
      <c r="A43" s="970" t="str">
        <f ca="1">"checkCosts_1."&amp;F43&amp;"."&amp;Y43</f>
        <v>checkCosts_1.1.0</v>
      </c>
      <c r="E43" s="623">
        <v>15</v>
      </c>
      <c r="F43" s="714" t="str">
        <f ca="1">OFFSET(G43,-1,-1)</f>
        <v>1</v>
      </c>
      <c r="H43" s="94">
        <f>AC43</f>
        <v>0</v>
      </c>
      <c r="T43" s="715" t="b">
        <f ca="1">AND(F43&gt;0,Y43&gt;0)</f>
        <v>0</v>
      </c>
      <c r="W43" s="98" t="s">
        <v>170</v>
      </c>
      <c r="X43" s="1401"/>
      <c r="Y43" s="1382">
        <v>0</v>
      </c>
      <c r="Z43" s="1401"/>
      <c r="AA43" s="1483" t="s">
        <v>157</v>
      </c>
      <c r="AB43" s="222" t="str">
        <f>"1."&amp;Y43</f>
        <v>1.0</v>
      </c>
      <c r="AC43" s="368"/>
      <c r="AD43" s="214" t="s">
        <v>648</v>
      </c>
      <c r="AE43" s="256">
        <f>AE44*AE45</f>
        <v>0</v>
      </c>
      <c r="AF43" s="11"/>
      <c r="AG43" s="11"/>
      <c r="AH43" s="256">
        <f>AH44*AH45</f>
        <v>0</v>
      </c>
      <c r="AI43" s="217"/>
      <c r="AJ43" s="11"/>
      <c r="AK43" s="11"/>
      <c r="AL43" s="11"/>
      <c r="AM43" s="11"/>
      <c r="AN43" s="11"/>
      <c r="AO43" s="11"/>
      <c r="AP43" s="11"/>
      <c r="AQ43" s="11"/>
      <c r="AR43" s="11"/>
      <c r="AS43" s="256">
        <f t="shared" ref="AS43:BB43" si="12">AS44*AS45</f>
        <v>0</v>
      </c>
      <c r="AT43" s="256">
        <f t="shared" si="12"/>
        <v>0</v>
      </c>
      <c r="AU43" s="256">
        <f t="shared" si="12"/>
        <v>0</v>
      </c>
      <c r="AV43" s="256">
        <f t="shared" si="12"/>
        <v>0</v>
      </c>
      <c r="AW43" s="256">
        <f t="shared" si="12"/>
        <v>0</v>
      </c>
      <c r="AX43" s="256">
        <f t="shared" si="12"/>
        <v>0</v>
      </c>
      <c r="AY43" s="256">
        <f t="shared" si="12"/>
        <v>0</v>
      </c>
      <c r="AZ43" s="256">
        <f t="shared" si="12"/>
        <v>0</v>
      </c>
      <c r="BA43" s="256">
        <f t="shared" si="12"/>
        <v>0</v>
      </c>
      <c r="BB43" s="256">
        <f t="shared" si="12"/>
        <v>0</v>
      </c>
      <c r="BC43" s="22"/>
      <c r="BF43" s="902" t="s">
        <v>813</v>
      </c>
      <c r="BG43" s="920" t="s">
        <v>814</v>
      </c>
      <c r="BH43" s="920">
        <f>AC43</f>
        <v>0</v>
      </c>
      <c r="BI43" s="921"/>
      <c r="BJ43" s="921" t="b">
        <v>1</v>
      </c>
    </row>
    <row r="44" spans="1:62" s="1057" customFormat="1" ht="14.25" hidden="1" customHeight="1">
      <c r="E44" s="623">
        <v>15</v>
      </c>
      <c r="F44" s="714" t="str">
        <f>F42</f>
        <v>1</v>
      </c>
      <c r="H44" s="94">
        <f>H43</f>
        <v>0</v>
      </c>
      <c r="T44" s="715" t="b">
        <f ca="1">T43</f>
        <v>0</v>
      </c>
      <c r="X44" s="1401"/>
      <c r="Y44" s="1401"/>
      <c r="Z44" s="1401"/>
      <c r="AA44" s="1483"/>
      <c r="AB44" s="222" t="str">
        <f>AB43&amp;".1"</f>
        <v>1.0.1</v>
      </c>
      <c r="AC44" s="228" t="s">
        <v>759</v>
      </c>
      <c r="AD44" s="93" t="s">
        <v>815</v>
      </c>
      <c r="AE44" s="11"/>
      <c r="AF44" s="256">
        <f>IF(AF45=0,0,AF43/AF45)</f>
        <v>0</v>
      </c>
      <c r="AG44" s="256">
        <f>IF(AG45=0,0,AG43/AG45)</f>
        <v>0</v>
      </c>
      <c r="AH44" s="11"/>
      <c r="AI44" s="256">
        <f t="shared" ref="AI44:AR44" si="13">IF(AI45=0,0,AI43/AI45)</f>
        <v>0</v>
      </c>
      <c r="AJ44" s="256">
        <f t="shared" si="13"/>
        <v>0</v>
      </c>
      <c r="AK44" s="256">
        <f t="shared" si="13"/>
        <v>0</v>
      </c>
      <c r="AL44" s="256">
        <f t="shared" si="13"/>
        <v>0</v>
      </c>
      <c r="AM44" s="256">
        <f t="shared" si="13"/>
        <v>0</v>
      </c>
      <c r="AN44" s="256">
        <f t="shared" si="13"/>
        <v>0</v>
      </c>
      <c r="AO44" s="256">
        <f t="shared" si="13"/>
        <v>0</v>
      </c>
      <c r="AP44" s="256">
        <f t="shared" si="13"/>
        <v>0</v>
      </c>
      <c r="AQ44" s="256">
        <f t="shared" si="13"/>
        <v>0</v>
      </c>
      <c r="AR44" s="256">
        <f t="shared" si="13"/>
        <v>0</v>
      </c>
      <c r="AS44" s="217"/>
      <c r="AT44" s="11"/>
      <c r="AU44" s="11"/>
      <c r="AV44" s="11"/>
      <c r="AW44" s="11"/>
      <c r="AX44" s="11"/>
      <c r="AY44" s="11"/>
      <c r="AZ44" s="11"/>
      <c r="BA44" s="11"/>
      <c r="BB44" s="11"/>
      <c r="BC44" s="22"/>
      <c r="BF44" s="902" t="s">
        <v>816</v>
      </c>
      <c r="BG44" s="920" t="s">
        <v>814</v>
      </c>
      <c r="BH44" s="920">
        <f>BH43</f>
        <v>0</v>
      </c>
      <c r="BI44" s="921"/>
      <c r="BJ44" s="921"/>
    </row>
    <row r="45" spans="1:62" s="1057" customFormat="1" ht="14.25" hidden="1" customHeight="1">
      <c r="A45" s="970" t="str">
        <f ca="1">"checkVolume_1."&amp;F45&amp;"."&amp;Y43</f>
        <v>checkVolume_1.1.0</v>
      </c>
      <c r="E45" s="623">
        <v>15</v>
      </c>
      <c r="F45" s="714" t="str">
        <f ca="1">F43</f>
        <v>1</v>
      </c>
      <c r="H45" s="94">
        <f>H43</f>
        <v>0</v>
      </c>
      <c r="T45" s="715" t="b">
        <f ca="1">T43</f>
        <v>0</v>
      </c>
      <c r="X45" s="1401"/>
      <c r="Y45" s="1401"/>
      <c r="Z45" s="1401"/>
      <c r="AA45" s="1483"/>
      <c r="AB45" s="222" t="str">
        <f>AB43&amp;".2"</f>
        <v>1.0.2</v>
      </c>
      <c r="AC45" s="228" t="s">
        <v>817</v>
      </c>
      <c r="AD45" s="93" t="s">
        <v>818</v>
      </c>
      <c r="AE45" s="11"/>
      <c r="AF45" s="11"/>
      <c r="AG45" s="11"/>
      <c r="AH45" s="11"/>
      <c r="AI45" s="217"/>
      <c r="AJ45" s="11"/>
      <c r="AK45" s="11"/>
      <c r="AL45" s="11"/>
      <c r="AM45" s="11"/>
      <c r="AN45" s="11"/>
      <c r="AO45" s="11"/>
      <c r="AP45" s="11"/>
      <c r="AQ45" s="11"/>
      <c r="AR45" s="11"/>
      <c r="AS45" s="217"/>
      <c r="AT45" s="11"/>
      <c r="AU45" s="11"/>
      <c r="AV45" s="11"/>
      <c r="AW45" s="11"/>
      <c r="AX45" s="11"/>
      <c r="AY45" s="11"/>
      <c r="AZ45" s="11"/>
      <c r="BA45" s="11"/>
      <c r="BB45" s="11"/>
      <c r="BC45" s="22"/>
      <c r="BF45" s="902" t="s">
        <v>819</v>
      </c>
      <c r="BG45" s="920" t="s">
        <v>814</v>
      </c>
      <c r="BH45" s="920">
        <f>BH43</f>
        <v>0</v>
      </c>
      <c r="BI45" s="921"/>
      <c r="BJ45" s="921"/>
    </row>
    <row r="46" spans="1:62" s="1057" customFormat="1" ht="14.25" customHeight="1">
      <c r="A46" s="970" t="str">
        <f ca="1">"checkCosts_1."&amp;F46&amp;"."&amp;Y46</f>
        <v>checkCosts_1.1.1</v>
      </c>
      <c r="E46" s="623">
        <v>15</v>
      </c>
      <c r="F46" s="714" t="str">
        <f ca="1">OFFSET(G46,-1,-1)</f>
        <v>1</v>
      </c>
      <c r="H46" s="94" t="str">
        <f>AC46</f>
        <v>ОАО «СКЭК»::4205153492::420501001</v>
      </c>
      <c r="T46" s="715" t="b">
        <f ca="1">AND(F46&gt;0,Y46&gt;0)</f>
        <v>1</v>
      </c>
      <c r="W46" s="98"/>
      <c r="X46" s="1401"/>
      <c r="Y46" s="1382" t="s">
        <v>247</v>
      </c>
      <c r="Z46" s="1401"/>
      <c r="AA46" s="1483" t="s">
        <v>157</v>
      </c>
      <c r="AB46" s="222" t="str">
        <f>"1."&amp;Y46</f>
        <v>1.1</v>
      </c>
      <c r="AC46" s="368" t="s">
        <v>830</v>
      </c>
      <c r="AD46" s="214" t="s">
        <v>648</v>
      </c>
      <c r="AE46" s="256">
        <f>AE47*AE48</f>
        <v>3437.5138216700002</v>
      </c>
      <c r="AF46" s="1079">
        <v>3439.0210000000002</v>
      </c>
      <c r="AG46" s="1079">
        <v>3439.02</v>
      </c>
      <c r="AH46" s="256">
        <f>AH47*AH48</f>
        <v>3891.6045094000006</v>
      </c>
      <c r="AI46" s="217">
        <v>4362.83</v>
      </c>
      <c r="AJ46" s="1079"/>
      <c r="AK46" s="1079"/>
      <c r="AL46" s="1079"/>
      <c r="AM46" s="1079"/>
      <c r="AN46" s="1079"/>
      <c r="AO46" s="1079"/>
      <c r="AP46" s="1079"/>
      <c r="AQ46" s="1079"/>
      <c r="AR46" s="1079"/>
      <c r="AS46" s="256">
        <f t="shared" ref="AS46:BB46" si="14">AS47*AS48</f>
        <v>4302.093613</v>
      </c>
      <c r="AT46" s="256">
        <f t="shared" si="14"/>
        <v>0</v>
      </c>
      <c r="AU46" s="256">
        <f t="shared" si="14"/>
        <v>0</v>
      </c>
      <c r="AV46" s="256">
        <f t="shared" si="14"/>
        <v>0</v>
      </c>
      <c r="AW46" s="256">
        <f t="shared" si="14"/>
        <v>0</v>
      </c>
      <c r="AX46" s="256">
        <f t="shared" si="14"/>
        <v>0</v>
      </c>
      <c r="AY46" s="256">
        <f t="shared" si="14"/>
        <v>0</v>
      </c>
      <c r="AZ46" s="256">
        <f t="shared" si="14"/>
        <v>0</v>
      </c>
      <c r="BA46" s="256">
        <f t="shared" si="14"/>
        <v>0</v>
      </c>
      <c r="BB46" s="256">
        <f t="shared" si="14"/>
        <v>0</v>
      </c>
      <c r="BC46" s="1106"/>
      <c r="BF46" s="902" t="s">
        <v>813</v>
      </c>
      <c r="BG46" s="920" t="s">
        <v>814</v>
      </c>
      <c r="BH46" s="920" t="str">
        <f>AC46</f>
        <v>ОАО «СКЭК»::4205153492::420501001</v>
      </c>
      <c r="BI46" s="921"/>
      <c r="BJ46" s="921" t="b">
        <v>1</v>
      </c>
    </row>
    <row r="47" spans="1:62" s="1057" customFormat="1" ht="14.25" customHeight="1">
      <c r="E47" s="623">
        <v>15</v>
      </c>
      <c r="F47" s="714" t="str">
        <f ca="1">F45</f>
        <v>1</v>
      </c>
      <c r="H47" s="94" t="str">
        <f>H46</f>
        <v>ОАО «СКЭК»::4205153492::420501001</v>
      </c>
      <c r="T47" s="715" t="b">
        <f ca="1">T46</f>
        <v>1</v>
      </c>
      <c r="X47" s="1401"/>
      <c r="Y47" s="1401"/>
      <c r="Z47" s="1401"/>
      <c r="AA47" s="1483"/>
      <c r="AB47" s="222" t="str">
        <f>AB46&amp;".1"</f>
        <v>1.1.1</v>
      </c>
      <c r="AC47" s="228" t="s">
        <v>759</v>
      </c>
      <c r="AD47" s="93" t="s">
        <v>815</v>
      </c>
      <c r="AE47" s="1079">
        <v>47.361069999999998</v>
      </c>
      <c r="AF47" s="256">
        <f>IF(AF48=0,0,AF46/AF48)</f>
        <v>48.270348796406765</v>
      </c>
      <c r="AG47" s="256">
        <f>IF(AG48=0,0,AG46/AG48)</f>
        <v>48.270334760334052</v>
      </c>
      <c r="AH47" s="1079">
        <v>53.617400000000004</v>
      </c>
      <c r="AI47" s="256">
        <f t="shared" ref="AI47:AR47" si="15">IF(AI48=0,0,AI46/AI48)</f>
        <v>60.10961621593858</v>
      </c>
      <c r="AJ47" s="256">
        <f t="shared" si="15"/>
        <v>0</v>
      </c>
      <c r="AK47" s="256">
        <f t="shared" si="15"/>
        <v>0</v>
      </c>
      <c r="AL47" s="256">
        <f t="shared" si="15"/>
        <v>0</v>
      </c>
      <c r="AM47" s="256">
        <f t="shared" si="15"/>
        <v>0</v>
      </c>
      <c r="AN47" s="256">
        <f t="shared" si="15"/>
        <v>0</v>
      </c>
      <c r="AO47" s="256">
        <f t="shared" si="15"/>
        <v>0</v>
      </c>
      <c r="AP47" s="256">
        <f t="shared" si="15"/>
        <v>0</v>
      </c>
      <c r="AQ47" s="256">
        <f t="shared" si="15"/>
        <v>0</v>
      </c>
      <c r="AR47" s="256">
        <f t="shared" si="15"/>
        <v>0</v>
      </c>
      <c r="AS47" s="217">
        <v>59.273000000000003</v>
      </c>
      <c r="AT47" s="1079"/>
      <c r="AU47" s="1079"/>
      <c r="AV47" s="1079"/>
      <c r="AW47" s="1079"/>
      <c r="AX47" s="1079"/>
      <c r="AY47" s="1079"/>
      <c r="AZ47" s="1079"/>
      <c r="BA47" s="1079"/>
      <c r="BB47" s="1079"/>
      <c r="BC47" s="1106"/>
      <c r="BF47" s="902" t="s">
        <v>816</v>
      </c>
      <c r="BG47" s="920" t="s">
        <v>814</v>
      </c>
      <c r="BH47" s="920" t="str">
        <f>BH46</f>
        <v>ОАО «СКЭК»::4205153492::420501001</v>
      </c>
      <c r="BI47" s="921"/>
      <c r="BJ47" s="921"/>
    </row>
    <row r="48" spans="1:62" s="1057" customFormat="1" ht="14.25" customHeight="1">
      <c r="A48" s="970" t="str">
        <f ca="1">"checkVolume_1."&amp;F48&amp;"."&amp;Y46</f>
        <v>checkVolume_1.1.1</v>
      </c>
      <c r="E48" s="623">
        <v>15</v>
      </c>
      <c r="F48" s="714" t="str">
        <f ca="1">F46</f>
        <v>1</v>
      </c>
      <c r="H48" s="94" t="str">
        <f>H46</f>
        <v>ОАО «СКЭК»::4205153492::420501001</v>
      </c>
      <c r="T48" s="715" t="b">
        <f ca="1">T46</f>
        <v>1</v>
      </c>
      <c r="X48" s="1401"/>
      <c r="Y48" s="1401"/>
      <c r="Z48" s="1401"/>
      <c r="AA48" s="1483"/>
      <c r="AB48" s="222" t="str">
        <f>AB46&amp;".2"</f>
        <v>1.1.2</v>
      </c>
      <c r="AC48" s="228" t="s">
        <v>817</v>
      </c>
      <c r="AD48" s="93" t="s">
        <v>818</v>
      </c>
      <c r="AE48" s="1079">
        <v>72.581000000000003</v>
      </c>
      <c r="AF48" s="1079">
        <v>71.245000000000005</v>
      </c>
      <c r="AG48" s="1079">
        <v>71.245000000000005</v>
      </c>
      <c r="AH48" s="1079">
        <v>72.581000000000003</v>
      </c>
      <c r="AI48" s="217">
        <v>72.581232</v>
      </c>
      <c r="AJ48" s="1079"/>
      <c r="AK48" s="1079"/>
      <c r="AL48" s="1079"/>
      <c r="AM48" s="1079"/>
      <c r="AN48" s="1079"/>
      <c r="AO48" s="1079"/>
      <c r="AP48" s="1079"/>
      <c r="AQ48" s="1079"/>
      <c r="AR48" s="1079"/>
      <c r="AS48" s="217">
        <v>72.581000000000003</v>
      </c>
      <c r="AT48" s="1079"/>
      <c r="AU48" s="1079"/>
      <c r="AV48" s="1079"/>
      <c r="AW48" s="1079"/>
      <c r="AX48" s="1079"/>
      <c r="AY48" s="1079"/>
      <c r="AZ48" s="1079"/>
      <c r="BA48" s="1079"/>
      <c r="BB48" s="1079"/>
      <c r="BC48" s="1106"/>
      <c r="BF48" s="902" t="s">
        <v>819</v>
      </c>
      <c r="BG48" s="920" t="s">
        <v>814</v>
      </c>
      <c r="BH48" s="920" t="str">
        <f>BH46</f>
        <v>ОАО «СКЭК»::4205153492::420501001</v>
      </c>
      <c r="BI48" s="921"/>
      <c r="BJ48" s="921"/>
    </row>
    <row r="49" spans="1:62" s="1057" customFormat="1" ht="14.25" customHeight="1">
      <c r="A49" s="769"/>
      <c r="B49" s="718"/>
      <c r="C49" s="1011"/>
      <c r="D49" s="1011"/>
      <c r="E49" s="623">
        <v>15</v>
      </c>
      <c r="F49" s="714" t="str">
        <f>F42</f>
        <v>1</v>
      </c>
      <c r="G49" s="1018"/>
      <c r="H49" s="1018"/>
      <c r="I49" s="1018"/>
      <c r="J49" s="1018"/>
      <c r="K49" s="1018"/>
      <c r="L49" s="1018"/>
      <c r="M49" s="1018"/>
      <c r="N49" s="1018"/>
      <c r="O49" s="1018"/>
      <c r="P49" s="1018"/>
      <c r="Q49" s="130"/>
      <c r="R49" s="130"/>
      <c r="S49" s="1018"/>
      <c r="T49" s="645" t="b">
        <f>F49&gt;0</f>
        <v>1</v>
      </c>
      <c r="U49" s="1016"/>
      <c r="V49" s="1016"/>
      <c r="W49" s="291" t="s">
        <v>820</v>
      </c>
      <c r="X49" s="1382"/>
      <c r="Y49" s="1016"/>
      <c r="Z49" s="1382"/>
      <c r="AA49" s="160"/>
      <c r="AB49" s="236"/>
      <c r="AC49" s="237" t="s">
        <v>796</v>
      </c>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851"/>
      <c r="BD49" s="160"/>
      <c r="BE49" s="160"/>
      <c r="BF49" s="902" t="str">
        <f>IF(AND(ISNUMBER(VALUE(TRIM(SUBSTITUTE(AB49,".","")))),TRIM(SUBSTITUTE(AB49,".",""))&lt;&gt;""),"P"&amp;SUBSTITUTE(AB49,".",""),"")</f>
        <v/>
      </c>
      <c r="BG49" s="920"/>
      <c r="BH49" s="920"/>
      <c r="BI49" s="921" t="s">
        <v>814</v>
      </c>
      <c r="BJ49" s="921"/>
    </row>
    <row r="50" spans="1:62" s="1057" customFormat="1" ht="14.25" customHeight="1">
      <c r="A50" s="769"/>
      <c r="B50" s="718"/>
      <c r="C50" s="1011"/>
      <c r="D50" s="1011"/>
      <c r="E50" s="623">
        <v>15</v>
      </c>
      <c r="F50" s="714" t="str">
        <f>F49</f>
        <v>1</v>
      </c>
      <c r="G50" s="130" t="s">
        <v>821</v>
      </c>
      <c r="H50" s="1018"/>
      <c r="I50" s="1018"/>
      <c r="J50" s="1018"/>
      <c r="K50" s="1018"/>
      <c r="L50" s="1018"/>
      <c r="M50" s="1018"/>
      <c r="N50" s="1018"/>
      <c r="O50" s="1018"/>
      <c r="P50" s="1018"/>
      <c r="Q50" s="130"/>
      <c r="R50" s="130"/>
      <c r="S50" s="1018"/>
      <c r="T50" s="645" t="b">
        <f>F50&gt;0</f>
        <v>1</v>
      </c>
      <c r="U50" s="1016"/>
      <c r="V50" s="1016"/>
      <c r="W50" s="1016"/>
      <c r="X50" s="1382"/>
      <c r="Y50" s="1016"/>
      <c r="Z50" s="1382"/>
      <c r="AA50" s="160"/>
      <c r="AB50" s="220">
        <v>2</v>
      </c>
      <c r="AC50" s="215" t="s">
        <v>822</v>
      </c>
      <c r="AD50" s="214" t="s">
        <v>648</v>
      </c>
      <c r="AE50" s="216">
        <f t="shared" ref="AE50:BB50" si="16">SUMIF($AD51:$AD55,$AD50,AE51:AE55)</f>
        <v>0</v>
      </c>
      <c r="AF50" s="216">
        <f t="shared" si="16"/>
        <v>0</v>
      </c>
      <c r="AG50" s="216">
        <f t="shared" si="16"/>
        <v>0</v>
      </c>
      <c r="AH50" s="216">
        <f t="shared" si="16"/>
        <v>0</v>
      </c>
      <c r="AI50" s="216">
        <f t="shared" si="16"/>
        <v>0</v>
      </c>
      <c r="AJ50" s="1132">
        <f t="shared" si="16"/>
        <v>0</v>
      </c>
      <c r="AK50" s="1132">
        <f t="shared" si="16"/>
        <v>0</v>
      </c>
      <c r="AL50" s="1144">
        <f t="shared" si="16"/>
        <v>0</v>
      </c>
      <c r="AM50" s="1144">
        <f t="shared" si="16"/>
        <v>0</v>
      </c>
      <c r="AN50" s="1144">
        <f t="shared" si="16"/>
        <v>0</v>
      </c>
      <c r="AO50" s="1144">
        <f t="shared" si="16"/>
        <v>0</v>
      </c>
      <c r="AP50" s="1144">
        <f t="shared" si="16"/>
        <v>0</v>
      </c>
      <c r="AQ50" s="1144">
        <f t="shared" si="16"/>
        <v>0</v>
      </c>
      <c r="AR50" s="1144">
        <f t="shared" si="16"/>
        <v>0</v>
      </c>
      <c r="AS50" s="216">
        <f t="shared" si="16"/>
        <v>0</v>
      </c>
      <c r="AT50" s="1132">
        <f t="shared" si="16"/>
        <v>0</v>
      </c>
      <c r="AU50" s="1132">
        <f t="shared" si="16"/>
        <v>0</v>
      </c>
      <c r="AV50" s="1144">
        <f t="shared" si="16"/>
        <v>0</v>
      </c>
      <c r="AW50" s="1144">
        <f t="shared" si="16"/>
        <v>0</v>
      </c>
      <c r="AX50" s="1144">
        <f t="shared" si="16"/>
        <v>0</v>
      </c>
      <c r="AY50" s="1144">
        <f t="shared" si="16"/>
        <v>0</v>
      </c>
      <c r="AZ50" s="1144">
        <f t="shared" si="16"/>
        <v>0</v>
      </c>
      <c r="BA50" s="1144">
        <f t="shared" si="16"/>
        <v>0</v>
      </c>
      <c r="BB50" s="1144">
        <f t="shared" si="16"/>
        <v>0</v>
      </c>
      <c r="BC50" s="1106"/>
      <c r="BD50" s="160"/>
      <c r="BE50" s="160"/>
      <c r="BF50" s="902" t="s">
        <v>823</v>
      </c>
      <c r="BG50" s="920"/>
      <c r="BH50" s="920"/>
      <c r="BI50" s="921"/>
      <c r="BJ50" s="921"/>
    </row>
    <row r="51" spans="1:62" s="1057" customFormat="1" ht="0" hidden="1" customHeight="1">
      <c r="A51" s="769"/>
      <c r="B51" s="718"/>
      <c r="C51" s="1011"/>
      <c r="D51" s="1011"/>
      <c r="E51" s="623">
        <v>0.2</v>
      </c>
      <c r="F51" s="714" t="str">
        <f ca="1">OFFSET(G51,-1,-1)</f>
        <v>1</v>
      </c>
      <c r="G51" s="1018"/>
      <c r="H51" s="1018"/>
      <c r="I51" s="1018"/>
      <c r="J51" s="1018"/>
      <c r="K51" s="1018"/>
      <c r="L51" s="1018"/>
      <c r="M51" s="1018"/>
      <c r="N51" s="1018"/>
      <c r="O51" s="1018"/>
      <c r="P51" s="1018"/>
      <c r="Q51" s="130"/>
      <c r="R51" s="130"/>
      <c r="S51" s="1018"/>
      <c r="T51" s="645" t="b">
        <v>0</v>
      </c>
      <c r="U51" s="1016"/>
      <c r="V51" s="1016"/>
      <c r="W51" s="1016"/>
      <c r="X51" s="1382"/>
      <c r="Y51" s="1016"/>
      <c r="Z51" s="1382"/>
      <c r="AA51" s="160"/>
      <c r="AB51" s="220"/>
      <c r="AC51" s="215"/>
      <c r="AD51" s="214"/>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27"/>
      <c r="BD51" s="160"/>
      <c r="BE51" s="160"/>
      <c r="BF51" s="902" t="str">
        <f>IF(AND(ISNUMBER(VALUE(TRIM(SUBSTITUTE(AB51,".","")))),TRIM(SUBSTITUTE(AB51,".",""))&lt;&gt;""),"P"&amp;SUBSTITUTE(AB51,".",""),"")</f>
        <v/>
      </c>
      <c r="BG51" s="920"/>
      <c r="BH51" s="920"/>
      <c r="BI51" s="921"/>
      <c r="BJ51" s="921"/>
    </row>
    <row r="52" spans="1:62" s="1057" customFormat="1" ht="14.25" hidden="1" customHeight="1">
      <c r="A52" s="970" t="str">
        <f ca="1">"checkCosts_2."&amp;F52&amp;"."&amp;Y52</f>
        <v>checkCosts_2.1.0</v>
      </c>
      <c r="B52" s="718"/>
      <c r="C52" s="1011"/>
      <c r="D52" s="1011"/>
      <c r="E52" s="623">
        <v>15</v>
      </c>
      <c r="F52" s="714" t="str">
        <f ca="1">OFFSET(G52,-1,-1)</f>
        <v>1</v>
      </c>
      <c r="G52" s="1018"/>
      <c r="H52" s="94">
        <f>AC52</f>
        <v>0</v>
      </c>
      <c r="I52" s="1018"/>
      <c r="J52" s="1018"/>
      <c r="K52" s="1018"/>
      <c r="L52" s="1018"/>
      <c r="M52" s="1018"/>
      <c r="N52" s="1018"/>
      <c r="O52" s="1018"/>
      <c r="P52" s="1018"/>
      <c r="Q52" s="130"/>
      <c r="R52" s="130"/>
      <c r="S52" s="1018"/>
      <c r="T52" s="715" t="b">
        <f ca="1">AND(F52&gt;0,Y52&gt;0)</f>
        <v>0</v>
      </c>
      <c r="U52" s="1016"/>
      <c r="V52" s="1016"/>
      <c r="W52" s="98" t="s">
        <v>170</v>
      </c>
      <c r="X52" s="1382"/>
      <c r="Y52" s="1382">
        <v>0</v>
      </c>
      <c r="Z52" s="1382"/>
      <c r="AA52" s="1483" t="s">
        <v>157</v>
      </c>
      <c r="AB52" s="222" t="str">
        <f>"2."&amp;Y52</f>
        <v>2.0</v>
      </c>
      <c r="AC52" s="368"/>
      <c r="AD52" s="214" t="s">
        <v>648</v>
      </c>
      <c r="AE52" s="1135">
        <f>AE53*AE54</f>
        <v>0</v>
      </c>
      <c r="AF52" s="11"/>
      <c r="AG52" s="11"/>
      <c r="AH52" s="1135">
        <f>AH53*AH54</f>
        <v>0</v>
      </c>
      <c r="AI52" s="217"/>
      <c r="AJ52" s="1065"/>
      <c r="AK52" s="1065"/>
      <c r="AL52" s="11"/>
      <c r="AM52" s="11"/>
      <c r="AN52" s="11"/>
      <c r="AO52" s="11"/>
      <c r="AP52" s="11"/>
      <c r="AQ52" s="11"/>
      <c r="AR52" s="11"/>
      <c r="AS52" s="1136">
        <f t="shared" ref="AS52:BB52" si="17">AS53*AS54</f>
        <v>0</v>
      </c>
      <c r="AT52" s="1136">
        <f t="shared" si="17"/>
        <v>0</v>
      </c>
      <c r="AU52" s="1136">
        <f t="shared" si="17"/>
        <v>0</v>
      </c>
      <c r="AV52" s="1135">
        <f t="shared" si="17"/>
        <v>0</v>
      </c>
      <c r="AW52" s="1135">
        <f t="shared" si="17"/>
        <v>0</v>
      </c>
      <c r="AX52" s="1135">
        <f t="shared" si="17"/>
        <v>0</v>
      </c>
      <c r="AY52" s="1135">
        <f t="shared" si="17"/>
        <v>0</v>
      </c>
      <c r="AZ52" s="1135">
        <f t="shared" si="17"/>
        <v>0</v>
      </c>
      <c r="BA52" s="1135">
        <f t="shared" si="17"/>
        <v>0</v>
      </c>
      <c r="BB52" s="1135">
        <f t="shared" si="17"/>
        <v>0</v>
      </c>
      <c r="BC52" s="22"/>
      <c r="BD52" s="160"/>
      <c r="BE52" s="160"/>
      <c r="BF52" s="902" t="s">
        <v>824</v>
      </c>
      <c r="BG52" s="920" t="s">
        <v>825</v>
      </c>
      <c r="BH52" s="920">
        <f>AC52</f>
        <v>0</v>
      </c>
      <c r="BI52" s="921"/>
      <c r="BJ52" s="921" t="b">
        <v>1</v>
      </c>
    </row>
    <row r="53" spans="1:62" s="1057" customFormat="1" ht="14.25" hidden="1" customHeight="1">
      <c r="B53" s="718"/>
      <c r="C53" s="1011"/>
      <c r="D53" s="1011"/>
      <c r="E53" s="717">
        <v>15</v>
      </c>
      <c r="F53" s="714" t="str">
        <f ca="1">OFFSET(G53,-1,-1)</f>
        <v>1</v>
      </c>
      <c r="G53" s="1018"/>
      <c r="H53" s="1018">
        <f>H52</f>
        <v>0</v>
      </c>
      <c r="I53" s="1018"/>
      <c r="J53" s="1018"/>
      <c r="K53" s="1018"/>
      <c r="L53" s="1018"/>
      <c r="M53" s="1018"/>
      <c r="N53" s="1018"/>
      <c r="O53" s="1018"/>
      <c r="P53" s="1018"/>
      <c r="Q53" s="130"/>
      <c r="R53" s="130"/>
      <c r="S53" s="1018"/>
      <c r="T53" s="733" t="b">
        <f ca="1">T52</f>
        <v>0</v>
      </c>
      <c r="U53" s="1016"/>
      <c r="V53" s="1016"/>
      <c r="W53" s="1016"/>
      <c r="X53" s="1382"/>
      <c r="Y53" s="1382"/>
      <c r="Z53" s="1382"/>
      <c r="AA53" s="1483"/>
      <c r="AB53" s="408" t="str">
        <f>AB52&amp;".1"</f>
        <v>2.0.1</v>
      </c>
      <c r="AC53" s="391" t="s">
        <v>759</v>
      </c>
      <c r="AD53" s="1019" t="s">
        <v>815</v>
      </c>
      <c r="AE53" s="1146"/>
      <c r="AF53" s="536">
        <f>IF(AF54=0,0,AF52/AF54)</f>
        <v>0</v>
      </c>
      <c r="AG53" s="536">
        <f>IF(AG54=0,0,AG52/AG54)</f>
        <v>0</v>
      </c>
      <c r="AH53" s="1146"/>
      <c r="AI53" s="536">
        <f t="shared" ref="AI53:AR53" si="18">IF(AI54=0,0,AI52/AI54)</f>
        <v>0</v>
      </c>
      <c r="AJ53" s="1136">
        <f t="shared" si="18"/>
        <v>0</v>
      </c>
      <c r="AK53" s="1136">
        <f t="shared" si="18"/>
        <v>0</v>
      </c>
      <c r="AL53" s="536">
        <f t="shared" si="18"/>
        <v>0</v>
      </c>
      <c r="AM53" s="536">
        <f t="shared" si="18"/>
        <v>0</v>
      </c>
      <c r="AN53" s="536">
        <f t="shared" si="18"/>
        <v>0</v>
      </c>
      <c r="AO53" s="536">
        <f t="shared" si="18"/>
        <v>0</v>
      </c>
      <c r="AP53" s="536">
        <f t="shared" si="18"/>
        <v>0</v>
      </c>
      <c r="AQ53" s="536">
        <f t="shared" si="18"/>
        <v>0</v>
      </c>
      <c r="AR53" s="536">
        <f t="shared" si="18"/>
        <v>0</v>
      </c>
      <c r="AS53" s="793"/>
      <c r="AT53" s="1065"/>
      <c r="AU53" s="1065"/>
      <c r="AV53" s="1146"/>
      <c r="AW53" s="1146"/>
      <c r="AX53" s="1146"/>
      <c r="AY53" s="1146"/>
      <c r="AZ53" s="1146"/>
      <c r="BA53" s="1146"/>
      <c r="BB53" s="1146"/>
      <c r="BC53" s="1131"/>
      <c r="BD53" s="160"/>
      <c r="BE53" s="160"/>
      <c r="BF53" s="909" t="s">
        <v>826</v>
      </c>
      <c r="BG53" s="920" t="s">
        <v>825</v>
      </c>
      <c r="BH53" s="920">
        <f>BH52</f>
        <v>0</v>
      </c>
      <c r="BI53" s="921"/>
      <c r="BJ53" s="921"/>
    </row>
    <row r="54" spans="1:62" s="1057" customFormat="1" ht="14.25" hidden="1" customHeight="1">
      <c r="A54" s="970" t="str">
        <f ca="1">"checkVolume_2."&amp;F54&amp;"."&amp;Y52</f>
        <v>checkVolume_2.1.0</v>
      </c>
      <c r="B54" s="718"/>
      <c r="C54" s="1011"/>
      <c r="D54" s="1011"/>
      <c r="E54" s="623">
        <v>15</v>
      </c>
      <c r="F54" s="714" t="str">
        <f ca="1">OFFSET(G54,-1,-1)</f>
        <v>1</v>
      </c>
      <c r="G54" s="1018"/>
      <c r="H54" s="94">
        <f>H52</f>
        <v>0</v>
      </c>
      <c r="I54" s="1018"/>
      <c r="J54" s="1018"/>
      <c r="K54" s="1018"/>
      <c r="L54" s="1018"/>
      <c r="M54" s="1018"/>
      <c r="N54" s="1018"/>
      <c r="O54" s="1018"/>
      <c r="P54" s="1018"/>
      <c r="Q54" s="130"/>
      <c r="R54" s="130"/>
      <c r="S54" s="1018"/>
      <c r="T54" s="715" t="b">
        <f ca="1">T52</f>
        <v>0</v>
      </c>
      <c r="U54" s="1016"/>
      <c r="V54" s="1016"/>
      <c r="W54" s="1016"/>
      <c r="X54" s="1382"/>
      <c r="Y54" s="1382"/>
      <c r="Z54" s="1382"/>
      <c r="AA54" s="1483"/>
      <c r="AB54" s="222" t="str">
        <f>AB52&amp;".2"</f>
        <v>2.0.2</v>
      </c>
      <c r="AC54" s="228" t="s">
        <v>827</v>
      </c>
      <c r="AD54" s="93" t="s">
        <v>818</v>
      </c>
      <c r="AE54" s="11"/>
      <c r="AF54" s="11"/>
      <c r="AG54" s="11"/>
      <c r="AH54" s="11"/>
      <c r="AI54" s="217"/>
      <c r="AJ54" s="1065"/>
      <c r="AK54" s="1065"/>
      <c r="AL54" s="11"/>
      <c r="AM54" s="11"/>
      <c r="AN54" s="11"/>
      <c r="AO54" s="11"/>
      <c r="AP54" s="11"/>
      <c r="AQ54" s="11"/>
      <c r="AR54" s="11"/>
      <c r="AS54" s="217"/>
      <c r="AT54" s="1065"/>
      <c r="AU54" s="1065"/>
      <c r="AV54" s="11"/>
      <c r="AW54" s="11"/>
      <c r="AX54" s="11"/>
      <c r="AY54" s="11"/>
      <c r="AZ54" s="11"/>
      <c r="BA54" s="11"/>
      <c r="BB54" s="11"/>
      <c r="BC54" s="22"/>
      <c r="BD54" s="160"/>
      <c r="BE54" s="160"/>
      <c r="BF54" s="902" t="s">
        <v>828</v>
      </c>
      <c r="BG54" s="920" t="s">
        <v>825</v>
      </c>
      <c r="BH54" s="920">
        <f>BH52</f>
        <v>0</v>
      </c>
      <c r="BI54" s="921"/>
      <c r="BJ54" s="921"/>
    </row>
    <row r="55" spans="1:62" s="1057" customFormat="1" ht="14.25" customHeight="1">
      <c r="A55" s="769"/>
      <c r="B55" s="718"/>
      <c r="C55" s="1011"/>
      <c r="D55" s="1011"/>
      <c r="E55" s="623">
        <v>15</v>
      </c>
      <c r="F55" s="714" t="str">
        <f ca="1">OFFSET(G55,-1,-1)</f>
        <v>1</v>
      </c>
      <c r="G55" s="1018"/>
      <c r="H55" s="1018"/>
      <c r="I55" s="1018"/>
      <c r="J55" s="1018"/>
      <c r="K55" s="1018"/>
      <c r="L55" s="1018"/>
      <c r="M55" s="1018"/>
      <c r="N55" s="1018"/>
      <c r="O55" s="1018"/>
      <c r="P55" s="1018"/>
      <c r="Q55" s="130"/>
      <c r="R55" s="130"/>
      <c r="S55" s="1018"/>
      <c r="T55" s="645" t="b">
        <f ca="1">F55&gt;0</f>
        <v>1</v>
      </c>
      <c r="U55" s="1016"/>
      <c r="V55" s="1016"/>
      <c r="W55" s="291" t="s">
        <v>829</v>
      </c>
      <c r="X55" s="1382"/>
      <c r="Y55" s="1016"/>
      <c r="Z55" s="1382"/>
      <c r="AA55" s="160"/>
      <c r="AB55" s="236"/>
      <c r="AC55" s="237" t="s">
        <v>796</v>
      </c>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237"/>
      <c r="BB55" s="237"/>
      <c r="BC55" s="238"/>
      <c r="BD55" s="160"/>
      <c r="BE55" s="160"/>
      <c r="BF55" s="920"/>
      <c r="BG55" s="920"/>
      <c r="BH55" s="920"/>
      <c r="BI55" s="921" t="s">
        <v>825</v>
      </c>
      <c r="BJ55" s="921"/>
    </row>
    <row r="56" spans="1:62" ht="11.1" customHeight="1">
      <c r="E56" s="717">
        <v>11.4</v>
      </c>
      <c r="Q56" s="566"/>
      <c r="U56" s="116" t="s">
        <v>172</v>
      </c>
      <c r="V56" s="109" t="s">
        <v>831</v>
      </c>
    </row>
    <row r="57" spans="1:62" ht="11.25" hidden="1" customHeight="1">
      <c r="E57" s="717">
        <v>0</v>
      </c>
      <c r="Q57" s="566"/>
      <c r="V57" s="109"/>
    </row>
    <row r="58" spans="1:62" s="394" customFormat="1" ht="14.65" customHeight="1">
      <c r="A58" s="988"/>
      <c r="B58" s="614"/>
      <c r="C58" s="113"/>
      <c r="D58" s="113"/>
      <c r="E58" s="623">
        <v>15</v>
      </c>
      <c r="F58" s="113"/>
      <c r="Q58" s="566"/>
      <c r="R58" s="566"/>
      <c r="T58" s="113"/>
      <c r="U58" s="113"/>
      <c r="V58" s="113"/>
      <c r="W58" s="113"/>
      <c r="X58" s="113"/>
      <c r="Y58" s="113"/>
      <c r="Z58" s="113"/>
      <c r="AB58" s="1476" t="s">
        <v>557</v>
      </c>
      <c r="AC58" s="1476"/>
      <c r="AD58" s="1476"/>
      <c r="AE58" s="1476"/>
      <c r="AF58" s="1476"/>
      <c r="AG58" s="1476"/>
      <c r="AH58" s="1476"/>
      <c r="AI58" s="1477"/>
      <c r="AJ58" s="1477"/>
      <c r="AK58" s="1477"/>
      <c r="AL58" s="1477"/>
      <c r="AM58" s="1477"/>
      <c r="AN58" s="1477"/>
      <c r="AO58" s="1477"/>
      <c r="AP58" s="1477"/>
      <c r="AQ58" s="1477"/>
      <c r="AR58" s="1477"/>
      <c r="AS58" s="1477"/>
      <c r="AT58" s="1477"/>
      <c r="AU58" s="1477"/>
      <c r="AV58" s="1477"/>
      <c r="AW58" s="1477"/>
      <c r="AX58" s="1477"/>
      <c r="AY58" s="1477"/>
      <c r="AZ58" s="1477"/>
      <c r="BA58" s="1477"/>
      <c r="BB58" s="1477"/>
      <c r="BC58" s="1477"/>
      <c r="BF58" s="912"/>
      <c r="BG58" s="912"/>
      <c r="BH58" s="912"/>
      <c r="BI58" s="915"/>
      <c r="BJ58" s="915"/>
    </row>
    <row r="59" spans="1:62" s="394" customFormat="1" ht="14.65" customHeight="1">
      <c r="A59" s="988"/>
      <c r="B59" s="614"/>
      <c r="C59" s="113"/>
      <c r="D59" s="113"/>
      <c r="E59" s="623">
        <v>15</v>
      </c>
      <c r="F59" s="113"/>
      <c r="Q59" s="566"/>
      <c r="R59" s="566"/>
      <c r="T59" s="113"/>
      <c r="U59" s="113"/>
      <c r="V59" s="113"/>
      <c r="W59" s="113"/>
      <c r="X59" s="113"/>
      <c r="Y59" s="113"/>
      <c r="Z59" s="113"/>
      <c r="AA59" s="713"/>
      <c r="AB59" s="1478"/>
      <c r="AC59" s="1478"/>
      <c r="AD59" s="1478"/>
      <c r="AE59" s="1478"/>
      <c r="AF59" s="1478"/>
      <c r="AG59" s="1478"/>
      <c r="AH59" s="1478"/>
      <c r="AI59" s="1479"/>
      <c r="AJ59" s="1480"/>
      <c r="AK59" s="1480"/>
      <c r="AL59" s="1480"/>
      <c r="AM59" s="1480"/>
      <c r="AN59" s="1480"/>
      <c r="AO59" s="1480"/>
      <c r="AP59" s="1480"/>
      <c r="AQ59" s="1480"/>
      <c r="AR59" s="1480"/>
      <c r="AS59" s="1479"/>
      <c r="AT59" s="1480"/>
      <c r="AU59" s="1480"/>
      <c r="AV59" s="1480"/>
      <c r="AW59" s="1480"/>
      <c r="AX59" s="1480"/>
      <c r="AY59" s="1480"/>
      <c r="AZ59" s="1480"/>
      <c r="BA59" s="1480"/>
      <c r="BB59" s="1480"/>
      <c r="BC59" s="1479"/>
      <c r="BF59" s="912"/>
      <c r="BG59" s="912"/>
      <c r="BH59" s="912"/>
      <c r="BI59" s="915"/>
      <c r="BJ59" s="915"/>
    </row>
    <row r="60" spans="1:62" s="394" customFormat="1" ht="14.65" hidden="1" customHeight="1">
      <c r="A60" s="988"/>
      <c r="B60" s="614"/>
      <c r="C60" s="113"/>
      <c r="D60" s="113"/>
      <c r="E60" s="623">
        <v>15</v>
      </c>
      <c r="F60" s="113"/>
      <c r="Q60" s="566"/>
      <c r="R60" s="566"/>
      <c r="T60" s="634" t="b">
        <f>ROW(W60)&gt;ROW(W$60)</f>
        <v>0</v>
      </c>
      <c r="U60" s="113"/>
      <c r="V60" s="113"/>
      <c r="W60" s="113" t="s">
        <v>170</v>
      </c>
      <c r="X60" s="113"/>
      <c r="Y60" s="113"/>
      <c r="Z60" s="113"/>
      <c r="AA60" s="709" t="s">
        <v>157</v>
      </c>
      <c r="AB60" s="1484"/>
      <c r="AC60" s="1484"/>
      <c r="AD60" s="1484"/>
      <c r="AE60" s="1484"/>
      <c r="AF60" s="1484"/>
      <c r="AG60" s="1484"/>
      <c r="AH60" s="1484"/>
      <c r="AI60" s="1479"/>
      <c r="AJ60" s="1480"/>
      <c r="AK60" s="1480"/>
      <c r="AL60" s="1480"/>
      <c r="AM60" s="1480"/>
      <c r="AN60" s="1480"/>
      <c r="AO60" s="1480"/>
      <c r="AP60" s="1480"/>
      <c r="AQ60" s="1480"/>
      <c r="AR60" s="1480"/>
      <c r="AS60" s="1479"/>
      <c r="AT60" s="1480"/>
      <c r="AU60" s="1480"/>
      <c r="AV60" s="1480"/>
      <c r="AW60" s="1480"/>
      <c r="AX60" s="1480"/>
      <c r="AY60" s="1480"/>
      <c r="AZ60" s="1480"/>
      <c r="BA60" s="1480"/>
      <c r="BB60" s="1480"/>
      <c r="BC60" s="1480"/>
      <c r="BF60" s="912"/>
      <c r="BG60" s="912"/>
      <c r="BH60" s="912"/>
      <c r="BI60" s="915"/>
      <c r="BJ60" s="915"/>
    </row>
    <row r="61" spans="1:62" s="394" customFormat="1" ht="14.65" customHeight="1">
      <c r="A61" s="988"/>
      <c r="B61" s="614"/>
      <c r="C61" s="113"/>
      <c r="D61" s="113"/>
      <c r="E61" s="623">
        <v>15</v>
      </c>
      <c r="F61" s="113"/>
      <c r="Q61" s="566"/>
      <c r="R61" s="566"/>
      <c r="T61" s="113"/>
      <c r="U61" s="113"/>
      <c r="V61" s="113"/>
      <c r="W61" s="109" t="s">
        <v>832</v>
      </c>
      <c r="X61" s="113"/>
      <c r="Y61" s="113"/>
      <c r="Z61" s="113"/>
      <c r="AB61" s="1420" t="s">
        <v>558</v>
      </c>
      <c r="AC61" s="1421"/>
      <c r="AD61" s="299"/>
      <c r="AE61" s="299"/>
      <c r="AF61" s="300"/>
      <c r="AG61" s="300"/>
      <c r="AH61" s="300"/>
      <c r="AI61" s="300"/>
      <c r="AJ61" s="300"/>
      <c r="AK61" s="300"/>
      <c r="AL61" s="300"/>
      <c r="AM61" s="300"/>
      <c r="AN61" s="300"/>
      <c r="AO61" s="300"/>
      <c r="AP61" s="300"/>
      <c r="AQ61" s="300"/>
      <c r="AR61" s="300"/>
      <c r="AS61" s="300"/>
      <c r="AT61" s="300"/>
      <c r="AU61" s="300"/>
      <c r="AV61" s="300"/>
      <c r="AW61" s="300"/>
      <c r="AX61" s="300"/>
      <c r="AY61" s="300"/>
      <c r="AZ61" s="300"/>
      <c r="BA61" s="300"/>
      <c r="BB61" s="300"/>
      <c r="BC61" s="301"/>
      <c r="BF61" s="912"/>
      <c r="BG61" s="912"/>
      <c r="BH61" s="912"/>
      <c r="BI61" s="915"/>
      <c r="BJ61" s="915"/>
    </row>
  </sheetData>
  <sheetProtection formatColumns="0" formatRows="0" insertRows="0" deleteColumns="0" deleteRows="0" sort="0" autoFilter="0"/>
  <mergeCells count="22">
    <mergeCell ref="X27:X39"/>
    <mergeCell ref="Z27:Z39"/>
    <mergeCell ref="AB58:BC58"/>
    <mergeCell ref="AB59:BC59"/>
    <mergeCell ref="AB61:AC61"/>
    <mergeCell ref="Y36:Y38"/>
    <mergeCell ref="AA36:AA38"/>
    <mergeCell ref="AB60:BC60"/>
    <mergeCell ref="Y43:Y45"/>
    <mergeCell ref="AA43:AA45"/>
    <mergeCell ref="X40:X55"/>
    <mergeCell ref="Z40:Z55"/>
    <mergeCell ref="Y52:Y54"/>
    <mergeCell ref="AA52:AA54"/>
    <mergeCell ref="Y46:Y48"/>
    <mergeCell ref="AA46:AA48"/>
    <mergeCell ref="AB24:AB25"/>
    <mergeCell ref="AC24:AC25"/>
    <mergeCell ref="AD24:AD25"/>
    <mergeCell ref="BC24:BC25"/>
    <mergeCell ref="Y30:Y32"/>
    <mergeCell ref="AA30:AA32"/>
  </mergeCells>
  <dataValidations count="1">
    <dataValidation type="decimal" allowBlank="1" showErrorMessage="1" errorTitle="Ошибка" error="Допускается ввод только неотрицательных чисел!" sqref="AE36:BB38 AE30:BB32 AE43:AE44 AF43:AF44 AG43:AG44 AH43:AH44 AI43:AI44 AJ43:AJ44 AK43:AK44 AL43:AL44 AM43:AM44 AN43:AN44 AO43:AO44 AP43:AP44 AQ43:AQ44 AR43:AR44 AS43:AS44 AT43:AT44 AU43:AU44 AV43:AV44 AW43:AW44 AX43:AX44 AY43:AY44 AZ43:AZ44 BA43:BA44 BB43:BB44 AE45:AE48 AF45:AF48 AG45:AG48 AH45:AH48 AI45:AI48 AJ45:AJ48 AK45:AK48 AL45:AL48 AM45:AM48 AN45:AN48 AO45:AO48 AP45:AP48 AQ45:AQ48 AR45:AR48 AS45:AS48 AT45:AT48 AU45:AU48 AV45:AV48 AW45:AW48 AX45:AX48 AY45:AY48 AZ45:AZ48 BA45:BA48 BB45:BB48 AE52:AE53 AF52:AF53 AG52:AG53 AH52:AH53 AI52:AI53 AJ52:AJ53 AK52:AK53 AL52:AL53 AM52:AM53 AN52:AN53 AO52:AO53 AP52:AP53 AQ52:AQ53 AR52:AR53 AS52:AS53 AT52:AT53 AU52:AU53 AV52:AV53 AW52:AW53 AX52:AX53 AY52:AY53 AZ52:AZ53 BA52:BA53 BB52:BB53 AE54 AF54 AG54 AH54 AI54 AJ54 AK54 AL54 AM54 AN54 AO54 AP54 AQ54 AR54 AS54 AT54 AU54 AV54 AW54 AX54 AY54 AZ54 BA54 BB54">
      <formula1>0</formula1>
      <formula2>9.99999999999999E+23</formula2>
    </dataValidation>
  </dataValidations>
  <pageMargins left="0.35" right="0.35" top="0.4" bottom="0.4" header="0.31" footer="0.31"/>
  <pageSetup paperSize="9" scale="46"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pageSetUpPr fitToPage="1"/>
  </sheetPr>
  <dimension ref="A1:BF231"/>
  <sheetViews>
    <sheetView showGridLines="0" workbookViewId="0">
      <pane xSplit="30" ySplit="26" topLeftCell="AE126" activePane="bottomRight" state="frozen"/>
      <selection pane="topRight" activeCell="AE1" sqref="AE1"/>
      <selection pane="bottomLeft" activeCell="A27" sqref="A27"/>
      <selection pane="bottomRight" activeCell="AA21" sqref="AA21"/>
    </sheetView>
  </sheetViews>
  <sheetFormatPr defaultColWidth="8.7109375" defaultRowHeight="11.25" customHeight="1"/>
  <cols>
    <col min="1" max="1" width="3.5703125" style="769" hidden="1" customWidth="1"/>
    <col min="2" max="2" width="8.5703125" style="718" hidden="1" customWidth="1"/>
    <col min="3" max="4" width="3.5703125" style="1016" hidden="1" customWidth="1"/>
    <col min="5" max="5" width="8.42578125" style="717" hidden="1" customWidth="1"/>
    <col min="6" max="6" width="3.5703125" style="1016" hidden="1" customWidth="1"/>
    <col min="7" max="16" width="3.5703125" style="750" hidden="1" customWidth="1"/>
    <col min="17" max="18" width="3.5703125" style="719" hidden="1" customWidth="1"/>
    <col min="19" max="19" width="3.5703125" style="750" hidden="1" customWidth="1"/>
    <col min="20" max="20" width="9.5703125" style="1016" hidden="1" customWidth="1"/>
    <col min="21" max="21" width="6" style="1016" hidden="1" customWidth="1"/>
    <col min="22" max="23" width="6.28515625" style="1016" hidden="1" customWidth="1"/>
    <col min="24" max="25" width="5.7109375" style="1016" hidden="1" customWidth="1"/>
    <col min="26" max="26" width="5.42578125" style="1016" hidden="1" customWidth="1"/>
    <col min="27" max="27" width="3" style="726" customWidth="1"/>
    <col min="28" max="28" width="7.28515625" style="726" customWidth="1"/>
    <col min="29" max="29" width="41.7109375" style="726" customWidth="1"/>
    <col min="30" max="30" width="11.140625" style="139" customWidth="1"/>
    <col min="31" max="35" width="12.5703125" style="139" customWidth="1"/>
    <col min="36" max="44" width="12.5703125" style="139" hidden="1" customWidth="1"/>
    <col min="45" max="45" width="12.5703125" style="139" customWidth="1"/>
    <col min="46" max="54" width="12.5703125" style="139" hidden="1" customWidth="1"/>
    <col min="55" max="55" width="20.140625" style="726" customWidth="1"/>
    <col min="56" max="56" width="3" style="726" customWidth="1"/>
    <col min="57" max="57" width="8.7109375" style="726" hidden="1"/>
    <col min="58" max="58" width="29.28515625" style="909" hidden="1" customWidth="1"/>
  </cols>
  <sheetData>
    <row r="1" spans="1:58" s="1016" customFormat="1" ht="12" hidden="1" customHeight="1">
      <c r="A1" s="315"/>
      <c r="B1" s="614"/>
      <c r="E1" s="614"/>
      <c r="F1" s="645" t="s">
        <v>77</v>
      </c>
      <c r="G1" s="151"/>
      <c r="H1" s="151"/>
      <c r="I1" s="151"/>
      <c r="J1" s="151"/>
      <c r="K1" s="151"/>
      <c r="L1" s="151"/>
      <c r="M1" s="151"/>
      <c r="N1" s="151"/>
      <c r="O1" s="151"/>
      <c r="P1" s="151"/>
      <c r="Q1" s="566"/>
      <c r="R1" s="566"/>
      <c r="S1" s="151"/>
      <c r="T1" s="634" t="s">
        <v>78</v>
      </c>
      <c r="U1" s="634" t="s">
        <v>83</v>
      </c>
      <c r="V1" s="634" t="s">
        <v>79</v>
      </c>
      <c r="W1" s="634" t="s">
        <v>80</v>
      </c>
      <c r="X1" s="634" t="s">
        <v>81</v>
      </c>
      <c r="Y1" s="645" t="s">
        <v>274</v>
      </c>
      <c r="Z1" s="634" t="s">
        <v>85</v>
      </c>
      <c r="AA1" s="645" t="s">
        <v>82</v>
      </c>
      <c r="AB1" s="645" t="s">
        <v>84</v>
      </c>
      <c r="BF1" s="902" t="s">
        <v>275</v>
      </c>
    </row>
    <row r="2" spans="1:58" s="718" customFormat="1" ht="12" hidden="1" customHeight="1">
      <c r="A2" s="990"/>
      <c r="B2" s="703" t="s">
        <v>15</v>
      </c>
      <c r="G2" s="721"/>
      <c r="H2" s="721"/>
      <c r="I2" s="721"/>
      <c r="J2" s="721"/>
      <c r="K2" s="721"/>
      <c r="L2" s="721"/>
      <c r="M2" s="721"/>
      <c r="N2" s="721"/>
      <c r="O2" s="721"/>
      <c r="P2" s="721"/>
      <c r="Q2" s="721"/>
      <c r="R2" s="721"/>
      <c r="S2" s="721"/>
      <c r="AI2" s="635" t="b">
        <f t="shared" ref="AI2:BB2" si="0">AI6&lt;=last_year_vis</f>
        <v>1</v>
      </c>
      <c r="AJ2" s="635" t="b">
        <f t="shared" si="0"/>
        <v>0</v>
      </c>
      <c r="AK2" s="635" t="b">
        <f t="shared" si="0"/>
        <v>0</v>
      </c>
      <c r="AL2" s="635" t="b">
        <f t="shared" si="0"/>
        <v>0</v>
      </c>
      <c r="AM2" s="635" t="b">
        <f t="shared" si="0"/>
        <v>0</v>
      </c>
      <c r="AN2" s="635" t="b">
        <f t="shared" si="0"/>
        <v>0</v>
      </c>
      <c r="AO2" s="635" t="b">
        <f t="shared" si="0"/>
        <v>0</v>
      </c>
      <c r="AP2" s="635" t="b">
        <f t="shared" si="0"/>
        <v>0</v>
      </c>
      <c r="AQ2" s="635" t="b">
        <f t="shared" si="0"/>
        <v>0</v>
      </c>
      <c r="AR2" s="635" t="b">
        <f t="shared" si="0"/>
        <v>0</v>
      </c>
      <c r="AS2" s="635" t="b">
        <f t="shared" si="0"/>
        <v>1</v>
      </c>
      <c r="AT2" s="635" t="b">
        <f t="shared" si="0"/>
        <v>0</v>
      </c>
      <c r="AU2" s="635" t="b">
        <f t="shared" si="0"/>
        <v>0</v>
      </c>
      <c r="AV2" s="635" t="b">
        <f t="shared" si="0"/>
        <v>0</v>
      </c>
      <c r="AW2" s="635" t="b">
        <f t="shared" si="0"/>
        <v>0</v>
      </c>
      <c r="AX2" s="635" t="b">
        <f t="shared" si="0"/>
        <v>0</v>
      </c>
      <c r="AY2" s="635" t="b">
        <f t="shared" si="0"/>
        <v>0</v>
      </c>
      <c r="AZ2" s="635" t="b">
        <f t="shared" si="0"/>
        <v>0</v>
      </c>
      <c r="BA2" s="635" t="b">
        <f t="shared" si="0"/>
        <v>0</v>
      </c>
      <c r="BB2" s="635" t="b">
        <f t="shared" si="0"/>
        <v>0</v>
      </c>
      <c r="BF2" s="905"/>
    </row>
    <row r="3" spans="1:58" s="1016" customFormat="1" ht="12" hidden="1" customHeight="1">
      <c r="A3" s="315"/>
      <c r="B3" s="614"/>
      <c r="E3" s="614"/>
      <c r="G3" s="151"/>
      <c r="H3" s="151"/>
      <c r="I3" s="151"/>
      <c r="J3" s="151"/>
      <c r="K3" s="151"/>
      <c r="L3" s="151"/>
      <c r="M3" s="151"/>
      <c r="N3" s="151"/>
      <c r="O3" s="151"/>
      <c r="P3" s="151"/>
      <c r="Q3" s="566"/>
      <c r="R3" s="566"/>
      <c r="S3" s="151"/>
      <c r="BF3" s="902"/>
    </row>
    <row r="4" spans="1:58" s="1016" customFormat="1" ht="12" hidden="1" customHeight="1">
      <c r="A4" s="315"/>
      <c r="B4" s="614"/>
      <c r="E4" s="614"/>
      <c r="G4" s="151"/>
      <c r="H4" s="151"/>
      <c r="I4" s="151"/>
      <c r="J4" s="151"/>
      <c r="K4" s="151"/>
      <c r="L4" s="151"/>
      <c r="M4" s="151"/>
      <c r="N4" s="151"/>
      <c r="O4" s="151"/>
      <c r="P4" s="151"/>
      <c r="Q4" s="566"/>
      <c r="R4" s="566"/>
      <c r="S4" s="151"/>
      <c r="BF4" s="902"/>
    </row>
    <row r="5" spans="1:58" s="717" customFormat="1" ht="12" hidden="1" customHeight="1">
      <c r="A5" s="990"/>
      <c r="B5" s="614"/>
      <c r="C5" s="614"/>
      <c r="D5" s="614"/>
      <c r="E5" s="623" t="s">
        <v>16</v>
      </c>
      <c r="G5" s="722"/>
      <c r="H5" s="722"/>
      <c r="I5" s="722"/>
      <c r="J5" s="722"/>
      <c r="K5" s="722"/>
      <c r="L5" s="722"/>
      <c r="M5" s="722"/>
      <c r="N5" s="722"/>
      <c r="O5" s="722"/>
      <c r="P5" s="722"/>
      <c r="Q5" s="722"/>
      <c r="R5" s="722"/>
      <c r="S5" s="722"/>
      <c r="AA5" s="623">
        <v>3</v>
      </c>
      <c r="AB5" s="623">
        <v>7.25</v>
      </c>
      <c r="AC5" s="623">
        <v>41.75</v>
      </c>
      <c r="AD5" s="623">
        <v>11.13</v>
      </c>
      <c r="AE5" s="623">
        <v>12.63</v>
      </c>
      <c r="AF5" s="623">
        <v>12.63</v>
      </c>
      <c r="AG5" s="623">
        <v>12.63</v>
      </c>
      <c r="AH5" s="623">
        <v>12.63</v>
      </c>
      <c r="AI5" s="623">
        <v>12.63</v>
      </c>
      <c r="AJ5" s="623">
        <v>12.63</v>
      </c>
      <c r="AK5" s="623">
        <v>12.63</v>
      </c>
      <c r="AL5" s="623">
        <v>12.63</v>
      </c>
      <c r="AM5" s="623">
        <v>12.63</v>
      </c>
      <c r="AN5" s="623">
        <v>12.63</v>
      </c>
      <c r="AO5" s="623">
        <v>12.63</v>
      </c>
      <c r="AP5" s="623">
        <v>12.63</v>
      </c>
      <c r="AQ5" s="623">
        <v>12.63</v>
      </c>
      <c r="AR5" s="623">
        <v>12.63</v>
      </c>
      <c r="AS5" s="623">
        <v>12.63</v>
      </c>
      <c r="AT5" s="623">
        <v>12.63</v>
      </c>
      <c r="AU5" s="623">
        <v>12.63</v>
      </c>
      <c r="AV5" s="623">
        <v>12.63</v>
      </c>
      <c r="AW5" s="623">
        <v>12.63</v>
      </c>
      <c r="AX5" s="623">
        <v>12.63</v>
      </c>
      <c r="AY5" s="623">
        <v>12.63</v>
      </c>
      <c r="AZ5" s="623">
        <v>12.63</v>
      </c>
      <c r="BA5" s="623">
        <v>12.63</v>
      </c>
      <c r="BB5" s="623">
        <v>12.63</v>
      </c>
      <c r="BC5" s="623">
        <v>20.13</v>
      </c>
      <c r="BD5" s="623">
        <v>3</v>
      </c>
      <c r="BF5" s="905"/>
    </row>
    <row r="6" spans="1:58" s="1016" customFormat="1" ht="12" hidden="1" customHeight="1">
      <c r="A6" s="315"/>
      <c r="B6" s="614"/>
      <c r="E6" s="623"/>
      <c r="G6" s="151"/>
      <c r="H6" s="151"/>
      <c r="I6" s="151"/>
      <c r="J6" s="151"/>
      <c r="K6" s="151"/>
      <c r="L6" s="151"/>
      <c r="M6" s="151"/>
      <c r="N6" s="151"/>
      <c r="O6" s="151"/>
      <c r="P6" s="151"/>
      <c r="Q6" s="566"/>
      <c r="R6" s="566"/>
      <c r="S6" s="151"/>
      <c r="AE6" s="116">
        <f>god-2</f>
        <v>2024</v>
      </c>
      <c r="AF6" s="116">
        <f>god-2</f>
        <v>2024</v>
      </c>
      <c r="AG6" s="116">
        <f>god-2</f>
        <v>2024</v>
      </c>
      <c r="AH6" s="116">
        <f>god-1</f>
        <v>2025</v>
      </c>
      <c r="AI6" s="113">
        <f>god</f>
        <v>2026</v>
      </c>
      <c r="AJ6" s="113">
        <f>god+1</f>
        <v>2027</v>
      </c>
      <c r="AK6" s="113">
        <f>god+2</f>
        <v>2028</v>
      </c>
      <c r="AL6" s="113">
        <f>god+3</f>
        <v>2029</v>
      </c>
      <c r="AM6" s="113">
        <f>god+4</f>
        <v>2030</v>
      </c>
      <c r="AN6" s="113">
        <f>god+5</f>
        <v>2031</v>
      </c>
      <c r="AO6" s="113">
        <f>god+6</f>
        <v>2032</v>
      </c>
      <c r="AP6" s="113">
        <f>god+7</f>
        <v>2033</v>
      </c>
      <c r="AQ6" s="113">
        <f>god+8</f>
        <v>2034</v>
      </c>
      <c r="AR6" s="113">
        <f>god+9</f>
        <v>2035</v>
      </c>
      <c r="AS6" s="113">
        <f>god</f>
        <v>2026</v>
      </c>
      <c r="AT6" s="113">
        <f>god+1</f>
        <v>2027</v>
      </c>
      <c r="AU6" s="113">
        <f>god+2</f>
        <v>2028</v>
      </c>
      <c r="AV6" s="113">
        <f>god+3</f>
        <v>2029</v>
      </c>
      <c r="AW6" s="113">
        <f>god+4</f>
        <v>2030</v>
      </c>
      <c r="AX6" s="113">
        <f>god+5</f>
        <v>2031</v>
      </c>
      <c r="AY6" s="113">
        <f>god+6</f>
        <v>2032</v>
      </c>
      <c r="AZ6" s="113">
        <f>god+7</f>
        <v>2033</v>
      </c>
      <c r="BA6" s="113">
        <f>god+8</f>
        <v>2034</v>
      </c>
      <c r="BB6" s="113">
        <f>god+9</f>
        <v>2035</v>
      </c>
      <c r="BF6" s="902"/>
    </row>
    <row r="7" spans="1:58" s="750" customFormat="1" ht="12" hidden="1" customHeight="1">
      <c r="A7" s="315"/>
      <c r="B7" s="614"/>
      <c r="C7" s="116"/>
      <c r="D7" s="116"/>
      <c r="E7" s="623"/>
      <c r="Q7" s="566"/>
      <c r="R7" s="566"/>
      <c r="AE7" s="151" t="str">
        <f t="shared" ref="AE7:BB7" si="1">AE25</f>
        <v>Принято органом регулирования</v>
      </c>
      <c r="AF7" s="151" t="str">
        <f t="shared" si="1"/>
        <v>Факт по данным организации</v>
      </c>
      <c r="AG7" s="151" t="str">
        <f t="shared" si="1"/>
        <v>Факт, принятый органом регулирования</v>
      </c>
      <c r="AH7" s="151" t="str">
        <f t="shared" si="1"/>
        <v>Принято органом регулирования</v>
      </c>
      <c r="AI7" s="151" t="str">
        <f t="shared" si="1"/>
        <v>Предложение организации</v>
      </c>
      <c r="AJ7" s="151" t="str">
        <f t="shared" si="1"/>
        <v>Предложение организации</v>
      </c>
      <c r="AK7" s="151" t="str">
        <f t="shared" si="1"/>
        <v>Предложение организации</v>
      </c>
      <c r="AL7" s="151" t="str">
        <f t="shared" si="1"/>
        <v>Предложение организации</v>
      </c>
      <c r="AM7" s="151" t="str">
        <f t="shared" si="1"/>
        <v>Предложение организации</v>
      </c>
      <c r="AN7" s="151" t="str">
        <f t="shared" si="1"/>
        <v>Предложение организации</v>
      </c>
      <c r="AO7" s="151" t="str">
        <f t="shared" si="1"/>
        <v>Предложение организации</v>
      </c>
      <c r="AP7" s="151" t="str">
        <f t="shared" si="1"/>
        <v>Предложение организации</v>
      </c>
      <c r="AQ7" s="151" t="str">
        <f t="shared" si="1"/>
        <v>Предложение организации</v>
      </c>
      <c r="AR7" s="151" t="str">
        <f t="shared" si="1"/>
        <v>Предложение организации</v>
      </c>
      <c r="AS7" s="151" t="str">
        <f t="shared" si="1"/>
        <v>Принято органом регулирования</v>
      </c>
      <c r="AT7" s="151" t="str">
        <f t="shared" si="1"/>
        <v>Принято органом регулирования</v>
      </c>
      <c r="AU7" s="151" t="str">
        <f t="shared" si="1"/>
        <v>Принято органом регулирования</v>
      </c>
      <c r="AV7" s="151" t="str">
        <f t="shared" si="1"/>
        <v>Принято органом регулирования</v>
      </c>
      <c r="AW7" s="151" t="str">
        <f t="shared" si="1"/>
        <v>Принято органом регулирования</v>
      </c>
      <c r="AX7" s="151" t="str">
        <f t="shared" si="1"/>
        <v>Принято органом регулирования</v>
      </c>
      <c r="AY7" s="151" t="str">
        <f t="shared" si="1"/>
        <v>Принято органом регулирования</v>
      </c>
      <c r="AZ7" s="151" t="str">
        <f t="shared" si="1"/>
        <v>Принято органом регулирования</v>
      </c>
      <c r="BA7" s="151" t="str">
        <f t="shared" si="1"/>
        <v>Принято органом регулирования</v>
      </c>
      <c r="BB7" s="151" t="str">
        <f t="shared" si="1"/>
        <v>Принято органом регулирования</v>
      </c>
      <c r="BF7" s="902"/>
    </row>
    <row r="8" spans="1:58" s="750" customFormat="1" ht="12" hidden="1" customHeight="1">
      <c r="A8" s="315"/>
      <c r="B8" s="614"/>
      <c r="C8" s="116"/>
      <c r="D8" s="116"/>
      <c r="E8" s="623"/>
      <c r="Q8" s="566"/>
      <c r="R8" s="566"/>
      <c r="BF8" s="902"/>
    </row>
    <row r="9" spans="1:58" s="901" customFormat="1" ht="12" hidden="1" customHeight="1">
      <c r="A9" s="877" t="s">
        <v>327</v>
      </c>
      <c r="B9" s="878"/>
      <c r="E9" s="878"/>
      <c r="Q9" s="892"/>
      <c r="R9" s="892"/>
      <c r="AE9" s="879">
        <f>god-2</f>
        <v>2024</v>
      </c>
      <c r="AF9" s="879">
        <f>god-2</f>
        <v>2024</v>
      </c>
      <c r="AG9" s="879">
        <f>god-2</f>
        <v>2024</v>
      </c>
      <c r="AH9" s="879">
        <f>god-1</f>
        <v>2025</v>
      </c>
      <c r="AI9" s="879">
        <f>god</f>
        <v>2026</v>
      </c>
      <c r="AJ9" s="879">
        <f>god+1</f>
        <v>2027</v>
      </c>
      <c r="AK9" s="879">
        <f>god+2</f>
        <v>2028</v>
      </c>
      <c r="AL9" s="879">
        <f>god+3</f>
        <v>2029</v>
      </c>
      <c r="AM9" s="879">
        <f>god+4</f>
        <v>2030</v>
      </c>
      <c r="AN9" s="879">
        <f>god+5</f>
        <v>2031</v>
      </c>
      <c r="AO9" s="879">
        <f>god+6</f>
        <v>2032</v>
      </c>
      <c r="AP9" s="879">
        <f>god+7</f>
        <v>2033</v>
      </c>
      <c r="AQ9" s="879">
        <f>god+8</f>
        <v>2034</v>
      </c>
      <c r="AR9" s="879">
        <f>god+9</f>
        <v>2035</v>
      </c>
      <c r="AS9" s="879">
        <f>god</f>
        <v>2026</v>
      </c>
      <c r="AT9" s="879">
        <f>god+1</f>
        <v>2027</v>
      </c>
      <c r="AU9" s="879">
        <f>god+2</f>
        <v>2028</v>
      </c>
      <c r="AV9" s="879">
        <f>god+3</f>
        <v>2029</v>
      </c>
      <c r="AW9" s="879">
        <f>god+4</f>
        <v>2030</v>
      </c>
      <c r="AX9" s="879">
        <f>god+5</f>
        <v>2031</v>
      </c>
      <c r="AY9" s="879">
        <f>god+6</f>
        <v>2032</v>
      </c>
      <c r="AZ9" s="879">
        <f>god+7</f>
        <v>2033</v>
      </c>
      <c r="BA9" s="879">
        <f>god+8</f>
        <v>2034</v>
      </c>
      <c r="BB9" s="879">
        <f>god+9</f>
        <v>2035</v>
      </c>
      <c r="BF9" s="902"/>
    </row>
    <row r="10" spans="1:58" s="901" customFormat="1" ht="12" hidden="1" customHeight="1">
      <c r="A10" s="877" t="s">
        <v>328</v>
      </c>
      <c r="B10" s="878"/>
      <c r="E10" s="878"/>
      <c r="Q10" s="892"/>
      <c r="R10" s="892"/>
      <c r="AE10" s="879" t="str">
        <f t="shared" ref="AE10:BB10" si="2">AE25</f>
        <v>Принято органом регулирования</v>
      </c>
      <c r="AF10" s="879" t="str">
        <f t="shared" si="2"/>
        <v>Факт по данным организации</v>
      </c>
      <c r="AG10" s="879" t="str">
        <f t="shared" si="2"/>
        <v>Факт, принятый органом регулирования</v>
      </c>
      <c r="AH10" s="879" t="str">
        <f t="shared" si="2"/>
        <v>Принято органом регулирования</v>
      </c>
      <c r="AI10" s="879" t="str">
        <f t="shared" si="2"/>
        <v>Предложение организации</v>
      </c>
      <c r="AJ10" s="879" t="str">
        <f t="shared" si="2"/>
        <v>Предложение организации</v>
      </c>
      <c r="AK10" s="879" t="str">
        <f t="shared" si="2"/>
        <v>Предложение организации</v>
      </c>
      <c r="AL10" s="879" t="str">
        <f t="shared" si="2"/>
        <v>Предложение организации</v>
      </c>
      <c r="AM10" s="879" t="str">
        <f t="shared" si="2"/>
        <v>Предложение организации</v>
      </c>
      <c r="AN10" s="879" t="str">
        <f t="shared" si="2"/>
        <v>Предложение организации</v>
      </c>
      <c r="AO10" s="879" t="str">
        <f t="shared" si="2"/>
        <v>Предложение организации</v>
      </c>
      <c r="AP10" s="879" t="str">
        <f t="shared" si="2"/>
        <v>Предложение организации</v>
      </c>
      <c r="AQ10" s="879" t="str">
        <f t="shared" si="2"/>
        <v>Предложение организации</v>
      </c>
      <c r="AR10" s="879" t="str">
        <f t="shared" si="2"/>
        <v>Предложение организации</v>
      </c>
      <c r="AS10" s="879" t="str">
        <f t="shared" si="2"/>
        <v>Принято органом регулирования</v>
      </c>
      <c r="AT10" s="879" t="str">
        <f t="shared" si="2"/>
        <v>Принято органом регулирования</v>
      </c>
      <c r="AU10" s="879" t="str">
        <f t="shared" si="2"/>
        <v>Принято органом регулирования</v>
      </c>
      <c r="AV10" s="879" t="str">
        <f t="shared" si="2"/>
        <v>Принято органом регулирования</v>
      </c>
      <c r="AW10" s="879" t="str">
        <f t="shared" si="2"/>
        <v>Принято органом регулирования</v>
      </c>
      <c r="AX10" s="879" t="str">
        <f t="shared" si="2"/>
        <v>Принято органом регулирования</v>
      </c>
      <c r="AY10" s="879" t="str">
        <f t="shared" si="2"/>
        <v>Принято органом регулирования</v>
      </c>
      <c r="AZ10" s="879" t="str">
        <f t="shared" si="2"/>
        <v>Принято органом регулирования</v>
      </c>
      <c r="BA10" s="879" t="str">
        <f t="shared" si="2"/>
        <v>Принято органом регулирования</v>
      </c>
      <c r="BB10" s="879" t="str">
        <f t="shared" si="2"/>
        <v>Принято органом регулирования</v>
      </c>
      <c r="BF10" s="902"/>
    </row>
    <row r="11" spans="1:58" s="901" customFormat="1" ht="11.25" hidden="1" customHeight="1">
      <c r="A11" s="877" t="s">
        <v>329</v>
      </c>
      <c r="B11" s="878"/>
      <c r="E11" s="878"/>
      <c r="G11" s="888"/>
      <c r="H11" s="888"/>
      <c r="I11" s="888"/>
      <c r="J11" s="888"/>
      <c r="K11" s="888"/>
      <c r="L11" s="888"/>
      <c r="M11" s="888"/>
      <c r="N11" s="888"/>
      <c r="O11" s="888"/>
      <c r="P11" s="888"/>
      <c r="Q11" s="914"/>
      <c r="R11" s="914"/>
      <c r="S11" s="888"/>
      <c r="BC11" s="879" t="str">
        <f>BC24</f>
        <v>Ссылка на правовую норму (основание для принятия показателя в расчет тарифа)</v>
      </c>
      <c r="BF11" s="902"/>
    </row>
    <row r="12" spans="1:58" s="1016" customFormat="1" ht="11.25" hidden="1" customHeight="1">
      <c r="A12" s="315"/>
      <c r="B12" s="614"/>
      <c r="E12" s="623"/>
      <c r="G12" s="151"/>
      <c r="H12" s="151"/>
      <c r="I12" s="151"/>
      <c r="J12" s="151"/>
      <c r="K12" s="151"/>
      <c r="L12" s="151"/>
      <c r="M12" s="151"/>
      <c r="N12" s="151"/>
      <c r="O12" s="151"/>
      <c r="P12" s="151"/>
      <c r="Q12" s="566"/>
      <c r="R12" s="566"/>
      <c r="S12" s="151"/>
      <c r="BF12" s="902"/>
    </row>
    <row r="13" spans="1:58" s="1016" customFormat="1" ht="11.25" hidden="1" customHeight="1">
      <c r="A13" s="315"/>
      <c r="B13" s="614"/>
      <c r="E13" s="623"/>
      <c r="G13" s="151"/>
      <c r="H13" s="151"/>
      <c r="I13" s="151"/>
      <c r="J13" s="151"/>
      <c r="K13" s="151"/>
      <c r="L13" s="151"/>
      <c r="M13" s="151"/>
      <c r="N13" s="151"/>
      <c r="O13" s="151"/>
      <c r="P13" s="151"/>
      <c r="Q13" s="566"/>
      <c r="R13" s="566"/>
      <c r="S13" s="151"/>
      <c r="AI13" s="113"/>
      <c r="AJ13" s="113"/>
      <c r="AK13" s="113"/>
      <c r="AL13" s="113"/>
      <c r="AM13" s="113"/>
      <c r="AN13" s="113"/>
      <c r="AO13" s="113"/>
      <c r="AP13" s="113"/>
      <c r="AQ13" s="113"/>
      <c r="AR13" s="113"/>
      <c r="AS13" s="113"/>
      <c r="AT13" s="113"/>
      <c r="AU13" s="113"/>
      <c r="AV13" s="113"/>
      <c r="AW13" s="113"/>
      <c r="AX13" s="113"/>
      <c r="AY13" s="113"/>
      <c r="AZ13" s="113"/>
      <c r="BA13" s="113"/>
      <c r="BB13" s="113"/>
      <c r="BF13" s="902"/>
    </row>
    <row r="14" spans="1:58" s="1016" customFormat="1" ht="11.25" hidden="1" customHeight="1">
      <c r="A14" s="315"/>
      <c r="B14" s="614"/>
      <c r="E14" s="623"/>
      <c r="G14" s="151"/>
      <c r="H14" s="151"/>
      <c r="I14" s="151"/>
      <c r="J14" s="151"/>
      <c r="K14" s="151"/>
      <c r="L14" s="151"/>
      <c r="M14" s="151"/>
      <c r="N14" s="151"/>
      <c r="O14" s="151"/>
      <c r="P14" s="151"/>
      <c r="Q14" s="566"/>
      <c r="R14" s="566"/>
      <c r="S14" s="151"/>
      <c r="AI14" s="113"/>
      <c r="AJ14" s="113"/>
      <c r="AK14" s="113"/>
      <c r="AL14" s="113"/>
      <c r="AM14" s="113"/>
      <c r="AN14" s="113"/>
      <c r="AO14" s="113"/>
      <c r="AP14" s="113"/>
      <c r="AQ14" s="113"/>
      <c r="AR14" s="113"/>
      <c r="AS14" s="113"/>
      <c r="AT14" s="113"/>
      <c r="AU14" s="113"/>
      <c r="AV14" s="113"/>
      <c r="AW14" s="113"/>
      <c r="AX14" s="113"/>
      <c r="AY14" s="113"/>
      <c r="AZ14" s="113"/>
      <c r="BA14" s="113"/>
      <c r="BB14" s="113"/>
      <c r="BF14" s="902"/>
    </row>
    <row r="15" spans="1:58" s="1016" customFormat="1" ht="11.25" hidden="1" customHeight="1">
      <c r="A15" s="315"/>
      <c r="B15" s="614"/>
      <c r="E15" s="623"/>
      <c r="G15" s="151"/>
      <c r="H15" s="151"/>
      <c r="I15" s="151"/>
      <c r="J15" s="151"/>
      <c r="K15" s="151"/>
      <c r="L15" s="151"/>
      <c r="M15" s="151"/>
      <c r="N15" s="151"/>
      <c r="O15" s="151"/>
      <c r="P15" s="151"/>
      <c r="Q15" s="566"/>
      <c r="R15" s="566"/>
      <c r="S15" s="151"/>
      <c r="AI15" s="113"/>
      <c r="AJ15" s="113"/>
      <c r="AK15" s="113"/>
      <c r="AL15" s="113"/>
      <c r="AM15" s="113"/>
      <c r="AN15" s="113"/>
      <c r="AO15" s="113"/>
      <c r="AP15" s="113"/>
      <c r="AQ15" s="113"/>
      <c r="AR15" s="113"/>
      <c r="AS15" s="113"/>
      <c r="AT15" s="113"/>
      <c r="AU15" s="113"/>
      <c r="AV15" s="113"/>
      <c r="AW15" s="113"/>
      <c r="AX15" s="113"/>
      <c r="AY15" s="113"/>
      <c r="AZ15" s="113"/>
      <c r="BA15" s="113"/>
      <c r="BB15" s="113"/>
      <c r="BF15" s="902"/>
    </row>
    <row r="16" spans="1:58" s="1016" customFormat="1" ht="11.25" hidden="1" customHeight="1">
      <c r="A16" s="315"/>
      <c r="B16" s="614"/>
      <c r="E16" s="623"/>
      <c r="G16" s="151"/>
      <c r="H16" s="151"/>
      <c r="I16" s="151"/>
      <c r="J16" s="151"/>
      <c r="K16" s="151"/>
      <c r="L16" s="151"/>
      <c r="M16" s="151"/>
      <c r="N16" s="151"/>
      <c r="O16" s="151"/>
      <c r="P16" s="151"/>
      <c r="Q16" s="566"/>
      <c r="R16" s="566"/>
      <c r="S16" s="151"/>
      <c r="AI16" s="113"/>
      <c r="AJ16" s="113"/>
      <c r="AK16" s="113"/>
      <c r="AL16" s="113"/>
      <c r="AM16" s="113"/>
      <c r="AN16" s="113"/>
      <c r="AO16" s="113"/>
      <c r="AP16" s="113"/>
      <c r="AQ16" s="113"/>
      <c r="AR16" s="113"/>
      <c r="AS16" s="113"/>
      <c r="AT16" s="113"/>
      <c r="AU16" s="113"/>
      <c r="AV16" s="113"/>
      <c r="AW16" s="113"/>
      <c r="AX16" s="113"/>
      <c r="AY16" s="113"/>
      <c r="AZ16" s="113"/>
      <c r="BA16" s="113"/>
      <c r="BB16" s="113"/>
      <c r="BF16" s="902"/>
    </row>
    <row r="17" spans="1:58" s="1016" customFormat="1" ht="11.25" hidden="1" customHeight="1">
      <c r="A17" s="315"/>
      <c r="B17" s="614"/>
      <c r="E17" s="623"/>
      <c r="G17" s="151"/>
      <c r="H17" s="151"/>
      <c r="I17" s="151"/>
      <c r="J17" s="151"/>
      <c r="K17" s="151"/>
      <c r="L17" s="151"/>
      <c r="M17" s="151"/>
      <c r="N17" s="151"/>
      <c r="O17" s="151"/>
      <c r="P17" s="151"/>
      <c r="Q17" s="566"/>
      <c r="R17" s="566"/>
      <c r="S17" s="151"/>
      <c r="AX17" s="113"/>
      <c r="AY17" s="113"/>
      <c r="AZ17" s="113"/>
      <c r="BA17" s="113"/>
      <c r="BB17" s="113"/>
      <c r="BF17" s="902"/>
    </row>
    <row r="18" spans="1:58" s="1016" customFormat="1" ht="11.25" hidden="1" customHeight="1">
      <c r="A18" s="315"/>
      <c r="B18" s="614"/>
      <c r="E18" s="623"/>
      <c r="G18" s="151"/>
      <c r="H18" s="151"/>
      <c r="I18" s="151"/>
      <c r="J18" s="151"/>
      <c r="K18" s="151"/>
      <c r="L18" s="151"/>
      <c r="M18" s="151"/>
      <c r="N18" s="151"/>
      <c r="O18" s="151"/>
      <c r="P18" s="151"/>
      <c r="Q18" s="566"/>
      <c r="R18" s="566"/>
      <c r="S18" s="151"/>
      <c r="BF18" s="902"/>
    </row>
    <row r="19" spans="1:58" s="1016" customFormat="1" ht="11.25" hidden="1" customHeight="1">
      <c r="A19" s="315"/>
      <c r="B19" s="614"/>
      <c r="E19" s="623"/>
      <c r="G19" s="151"/>
      <c r="H19" s="151"/>
      <c r="I19" s="151"/>
      <c r="J19" s="151"/>
      <c r="K19" s="151"/>
      <c r="L19" s="151"/>
      <c r="M19" s="151"/>
      <c r="N19" s="151"/>
      <c r="O19" s="151"/>
      <c r="P19" s="151"/>
      <c r="Q19" s="566"/>
      <c r="R19" s="566"/>
      <c r="S19" s="151"/>
      <c r="BF19" s="902"/>
    </row>
    <row r="20" spans="1:58" s="1016" customFormat="1" ht="11.25" hidden="1" customHeight="1">
      <c r="A20" s="315"/>
      <c r="B20" s="614"/>
      <c r="E20" s="623"/>
      <c r="G20" s="151"/>
      <c r="H20" s="151"/>
      <c r="I20" s="151"/>
      <c r="J20" s="151"/>
      <c r="K20" s="151"/>
      <c r="L20" s="151"/>
      <c r="M20" s="151"/>
      <c r="N20" s="151"/>
      <c r="O20" s="151"/>
      <c r="P20" s="151"/>
      <c r="Q20" s="566"/>
      <c r="R20" s="566"/>
      <c r="S20" s="151"/>
      <c r="BF20" s="902"/>
    </row>
    <row r="21" spans="1:58" ht="14.65" customHeight="1">
      <c r="E21" s="623">
        <v>15</v>
      </c>
      <c r="AA21" s="646"/>
      <c r="AC21" s="315" t="str">
        <f>tpl_title</f>
        <v>Кемеровская область / 2026 / АО "СУЭК-Кузбасс" (ИНН:4212024138, КПП:421201001) / ДПР: 2024-2028</v>
      </c>
    </row>
    <row r="22" spans="1:58" ht="19.5" customHeight="1">
      <c r="E22" s="623">
        <v>20.100000000000001</v>
      </c>
      <c r="AB22" s="306" t="s">
        <v>833</v>
      </c>
      <c r="AC22" s="209"/>
      <c r="AD22" s="212"/>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11"/>
    </row>
    <row r="23" spans="1:58" ht="11.1" customHeight="1">
      <c r="E23" s="623">
        <v>11.4</v>
      </c>
      <c r="AB23" s="1488"/>
      <c r="AC23" s="1488"/>
      <c r="AD23" s="1488"/>
      <c r="AE23" s="1488"/>
      <c r="AF23" s="1488"/>
      <c r="AG23" s="1488"/>
      <c r="AH23" s="1488"/>
      <c r="AI23" s="1488"/>
      <c r="AJ23" s="1488"/>
      <c r="AK23" s="1488"/>
      <c r="AL23" s="1488"/>
      <c r="AM23" s="1488"/>
      <c r="AN23" s="1488"/>
      <c r="AO23" s="1488"/>
      <c r="AP23" s="1488"/>
      <c r="AQ23" s="1488"/>
      <c r="AR23" s="1488"/>
      <c r="AS23" s="1488"/>
      <c r="AT23" s="1488"/>
      <c r="AU23" s="1488"/>
      <c r="AV23" s="1488"/>
      <c r="AW23" s="1488"/>
      <c r="AX23" s="1488"/>
      <c r="AY23" s="1488"/>
      <c r="AZ23" s="1488"/>
      <c r="BA23" s="1488"/>
      <c r="BB23" s="1488"/>
    </row>
    <row r="24" spans="1:58" ht="14.65" customHeight="1">
      <c r="E24" s="623">
        <v>15</v>
      </c>
      <c r="AB24" s="1476" t="s">
        <v>809</v>
      </c>
      <c r="AC24" s="1487" t="s">
        <v>164</v>
      </c>
      <c r="AD24" s="1476" t="s">
        <v>331</v>
      </c>
      <c r="AE24" s="323" t="str">
        <f>god-2&amp;" год"</f>
        <v>2024 год</v>
      </c>
      <c r="AF24" s="1006" t="str">
        <f>god-2&amp;" год"</f>
        <v>2024 год</v>
      </c>
      <c r="AG24" s="323" t="str">
        <f>god-2&amp;" год"</f>
        <v>2024 год</v>
      </c>
      <c r="AH24" s="112" t="str">
        <f>god-1&amp;" год"</f>
        <v>2025 год</v>
      </c>
      <c r="AI24" s="1001" t="str">
        <f>god&amp;" год"</f>
        <v>2026 год</v>
      </c>
      <c r="AJ24" s="1001" t="str">
        <f>god+1&amp;" год"</f>
        <v>2027 год</v>
      </c>
      <c r="AK24" s="1001" t="str">
        <f>god+2&amp;" год"</f>
        <v>2028 год</v>
      </c>
      <c r="AL24" s="1001" t="str">
        <f>god+3&amp;" год"</f>
        <v>2029 год</v>
      </c>
      <c r="AM24" s="1001" t="str">
        <f>god+4&amp;" год"</f>
        <v>2030 год</v>
      </c>
      <c r="AN24" s="1001" t="str">
        <f>god+5&amp;" год"</f>
        <v>2031 год</v>
      </c>
      <c r="AO24" s="1001" t="str">
        <f>god+6&amp;" год"</f>
        <v>2032 год</v>
      </c>
      <c r="AP24" s="1001" t="str">
        <f>god+7&amp;" год"</f>
        <v>2033 год</v>
      </c>
      <c r="AQ24" s="1001" t="str">
        <f>god+8&amp;" год"</f>
        <v>2034 год</v>
      </c>
      <c r="AR24" s="1001" t="str">
        <f>god+9&amp;" год"</f>
        <v>2035 год</v>
      </c>
      <c r="AS24" s="108" t="str">
        <f>god&amp;" год"</f>
        <v>2026 год</v>
      </c>
      <c r="AT24" s="108" t="str">
        <f>god+1&amp;" год"</f>
        <v>2027 год</v>
      </c>
      <c r="AU24" s="108" t="str">
        <f>god+2&amp;" год"</f>
        <v>2028 год</v>
      </c>
      <c r="AV24" s="108" t="str">
        <f>god+3&amp;" год"</f>
        <v>2029 год</v>
      </c>
      <c r="AW24" s="108" t="str">
        <f>god+4&amp;" год"</f>
        <v>2030 год</v>
      </c>
      <c r="AX24" s="108" t="str">
        <f>god+5&amp;" год"</f>
        <v>2031 год</v>
      </c>
      <c r="AY24" s="108" t="str">
        <f>god+6&amp;" год"</f>
        <v>2032 год</v>
      </c>
      <c r="AZ24" s="108" t="str">
        <f>god+7&amp;" год"</f>
        <v>2033 год</v>
      </c>
      <c r="BA24" s="108" t="str">
        <f>god+8&amp;" год"</f>
        <v>2034 год</v>
      </c>
      <c r="BB24" s="108" t="str">
        <f>god+9&amp;" год"</f>
        <v>2035 год</v>
      </c>
      <c r="BC24" s="1489" t="s">
        <v>486</v>
      </c>
    </row>
    <row r="25" spans="1:58" ht="48.75" customHeight="1">
      <c r="E25" s="623">
        <v>50.1</v>
      </c>
      <c r="AB25" s="1476"/>
      <c r="AC25" s="1487"/>
      <c r="AD25" s="1476"/>
      <c r="AE25" s="108" t="s">
        <v>304</v>
      </c>
      <c r="AF25" s="1001" t="s">
        <v>487</v>
      </c>
      <c r="AG25" s="108" t="s">
        <v>488</v>
      </c>
      <c r="AH25" s="108" t="s">
        <v>304</v>
      </c>
      <c r="AI25" s="1002" t="s">
        <v>305</v>
      </c>
      <c r="AJ25" s="1002" t="s">
        <v>305</v>
      </c>
      <c r="AK25" s="1002" t="s">
        <v>305</v>
      </c>
      <c r="AL25" s="1002" t="s">
        <v>305</v>
      </c>
      <c r="AM25" s="1002" t="s">
        <v>305</v>
      </c>
      <c r="AN25" s="1002" t="s">
        <v>305</v>
      </c>
      <c r="AO25" s="1002" t="s">
        <v>305</v>
      </c>
      <c r="AP25" s="1002" t="s">
        <v>305</v>
      </c>
      <c r="AQ25" s="1002" t="s">
        <v>305</v>
      </c>
      <c r="AR25" s="1002" t="s">
        <v>305</v>
      </c>
      <c r="AS25" s="324" t="s">
        <v>304</v>
      </c>
      <c r="AT25" s="324" t="s">
        <v>304</v>
      </c>
      <c r="AU25" s="324" t="s">
        <v>304</v>
      </c>
      <c r="AV25" s="324" t="s">
        <v>304</v>
      </c>
      <c r="AW25" s="324" t="s">
        <v>304</v>
      </c>
      <c r="AX25" s="324" t="s">
        <v>304</v>
      </c>
      <c r="AY25" s="324" t="s">
        <v>304</v>
      </c>
      <c r="AZ25" s="324" t="s">
        <v>304</v>
      </c>
      <c r="BA25" s="324" t="s">
        <v>304</v>
      </c>
      <c r="BB25" s="324" t="s">
        <v>304</v>
      </c>
      <c r="BC25" s="1490"/>
    </row>
    <row r="26" spans="1:58" ht="50.25" hidden="1" customHeight="1">
      <c r="E26" s="623">
        <v>0</v>
      </c>
      <c r="AB26" s="404"/>
      <c r="AC26" s="411"/>
      <c r="AD26" s="405"/>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412"/>
    </row>
    <row r="27" spans="1:58" ht="11.1" hidden="1" customHeight="1">
      <c r="E27" s="623">
        <v>11.4</v>
      </c>
      <c r="F27" s="714">
        <f>X27</f>
        <v>0</v>
      </c>
      <c r="T27" s="645" t="b">
        <f>X27&gt;0</f>
        <v>0</v>
      </c>
      <c r="V27" s="113" t="s">
        <v>228</v>
      </c>
      <c r="X27" s="1382">
        <v>0</v>
      </c>
      <c r="Z27" s="1382"/>
      <c r="AB27" s="224" t="str">
        <f>INDEX('Общие сведения'!$AG$169:$AG$202,MATCH($F27,'Общие сведения'!$Z$169:$Z$202,0))</f>
        <v>Тариф 0 (Теплоснабжение) - Тарифы на теплоноситель</v>
      </c>
      <c r="AC27" s="197"/>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213"/>
    </row>
    <row r="28" spans="1:58" s="154" customFormat="1" ht="22.15" hidden="1" customHeight="1">
      <c r="E28" s="623">
        <v>22.8</v>
      </c>
      <c r="F28" s="714">
        <f t="shared" ref="F28:F59" si="3">F27</f>
        <v>0</v>
      </c>
      <c r="T28" s="645" t="b">
        <f t="shared" ref="T28:T59" si="4">T27</f>
        <v>0</v>
      </c>
      <c r="X28" s="1491"/>
      <c r="Z28" s="1491"/>
      <c r="AB28" s="214">
        <v>1</v>
      </c>
      <c r="AC28" s="215" t="s">
        <v>834</v>
      </c>
      <c r="AD28" s="95" t="s">
        <v>648</v>
      </c>
      <c r="AE28" s="44">
        <f t="shared" ref="AE28:BB28" si="5">SUM(AE29:AE32)+SUM(AE38:AE41)</f>
        <v>0</v>
      </c>
      <c r="AF28" s="44">
        <f t="shared" si="5"/>
        <v>0</v>
      </c>
      <c r="AG28" s="44">
        <f t="shared" si="5"/>
        <v>0</v>
      </c>
      <c r="AH28" s="44">
        <f t="shared" si="5"/>
        <v>0</v>
      </c>
      <c r="AI28" s="229">
        <f t="shared" si="5"/>
        <v>0</v>
      </c>
      <c r="AJ28" s="1132">
        <f t="shared" si="5"/>
        <v>0</v>
      </c>
      <c r="AK28" s="1132">
        <f t="shared" si="5"/>
        <v>0</v>
      </c>
      <c r="AL28" s="44">
        <f t="shared" si="5"/>
        <v>0</v>
      </c>
      <c r="AM28" s="44">
        <f t="shared" si="5"/>
        <v>0</v>
      </c>
      <c r="AN28" s="44">
        <f t="shared" si="5"/>
        <v>0</v>
      </c>
      <c r="AO28" s="44">
        <f t="shared" si="5"/>
        <v>0</v>
      </c>
      <c r="AP28" s="44">
        <f t="shared" si="5"/>
        <v>0</v>
      </c>
      <c r="AQ28" s="44">
        <f t="shared" si="5"/>
        <v>0</v>
      </c>
      <c r="AR28" s="44">
        <f t="shared" si="5"/>
        <v>0</v>
      </c>
      <c r="AS28" s="229">
        <f t="shared" si="5"/>
        <v>0</v>
      </c>
      <c r="AT28" s="1132">
        <f t="shared" si="5"/>
        <v>0</v>
      </c>
      <c r="AU28" s="1132">
        <f t="shared" si="5"/>
        <v>0</v>
      </c>
      <c r="AV28" s="44">
        <f t="shared" si="5"/>
        <v>0</v>
      </c>
      <c r="AW28" s="44">
        <f t="shared" si="5"/>
        <v>0</v>
      </c>
      <c r="AX28" s="44">
        <f t="shared" si="5"/>
        <v>0</v>
      </c>
      <c r="AY28" s="44">
        <f t="shared" si="5"/>
        <v>0</v>
      </c>
      <c r="AZ28" s="44">
        <f t="shared" si="5"/>
        <v>0</v>
      </c>
      <c r="BA28" s="44">
        <f t="shared" si="5"/>
        <v>0</v>
      </c>
      <c r="BB28" s="44">
        <f t="shared" si="5"/>
        <v>0</v>
      </c>
      <c r="BC28" s="22"/>
      <c r="BF28" s="902" t="s">
        <v>835</v>
      </c>
    </row>
    <row r="29" spans="1:58" ht="14.65" hidden="1" customHeight="1">
      <c r="E29" s="623">
        <v>15</v>
      </c>
      <c r="F29" s="714">
        <f t="shared" si="3"/>
        <v>0</v>
      </c>
      <c r="T29" s="645" t="b">
        <f t="shared" si="4"/>
        <v>0</v>
      </c>
      <c r="X29" s="1382"/>
      <c r="Z29" s="1382"/>
      <c r="AB29" s="388" t="s">
        <v>339</v>
      </c>
      <c r="AC29" s="389" t="s">
        <v>836</v>
      </c>
      <c r="AD29" s="388" t="s">
        <v>837</v>
      </c>
      <c r="AE29" s="11"/>
      <c r="AF29" s="11"/>
      <c r="AG29" s="11"/>
      <c r="AH29" s="11"/>
      <c r="AI29" s="217"/>
      <c r="AJ29" s="1065"/>
      <c r="AK29" s="1065"/>
      <c r="AL29" s="11"/>
      <c r="AM29" s="11"/>
      <c r="AN29" s="11"/>
      <c r="AO29" s="11"/>
      <c r="AP29" s="11"/>
      <c r="AQ29" s="11"/>
      <c r="AR29" s="11"/>
      <c r="AS29" s="217"/>
      <c r="AT29" s="1065"/>
      <c r="AU29" s="1065"/>
      <c r="AV29" s="11"/>
      <c r="AW29" s="11"/>
      <c r="AX29" s="11"/>
      <c r="AY29" s="11"/>
      <c r="AZ29" s="11"/>
      <c r="BA29" s="11"/>
      <c r="BB29" s="11"/>
      <c r="BC29" s="22"/>
      <c r="BF29" s="902" t="s">
        <v>838</v>
      </c>
    </row>
    <row r="30" spans="1:58" ht="14.65" hidden="1" customHeight="1">
      <c r="E30" s="623">
        <v>15</v>
      </c>
      <c r="F30" s="714">
        <f t="shared" si="3"/>
        <v>0</v>
      </c>
      <c r="T30" s="645" t="b">
        <f t="shared" si="4"/>
        <v>0</v>
      </c>
      <c r="X30" s="1382"/>
      <c r="Z30" s="1382"/>
      <c r="AB30" s="388" t="s">
        <v>503</v>
      </c>
      <c r="AC30" s="389" t="s">
        <v>839</v>
      </c>
      <c r="AD30" s="388" t="s">
        <v>837</v>
      </c>
      <c r="AE30" s="11"/>
      <c r="AF30" s="11"/>
      <c r="AG30" s="11"/>
      <c r="AH30" s="11"/>
      <c r="AI30" s="217"/>
      <c r="AJ30" s="1065"/>
      <c r="AK30" s="1065"/>
      <c r="AL30" s="11"/>
      <c r="AM30" s="11"/>
      <c r="AN30" s="11"/>
      <c r="AO30" s="11"/>
      <c r="AP30" s="11"/>
      <c r="AQ30" s="11"/>
      <c r="AR30" s="11"/>
      <c r="AS30" s="217"/>
      <c r="AT30" s="1065"/>
      <c r="AU30" s="1065"/>
      <c r="AV30" s="11"/>
      <c r="AW30" s="11"/>
      <c r="AX30" s="11"/>
      <c r="AY30" s="11"/>
      <c r="AZ30" s="11"/>
      <c r="BA30" s="11"/>
      <c r="BB30" s="11"/>
      <c r="BC30" s="22"/>
      <c r="BF30" s="902" t="s">
        <v>840</v>
      </c>
    </row>
    <row r="31" spans="1:58" ht="14.65" hidden="1" customHeight="1">
      <c r="E31" s="623">
        <v>15</v>
      </c>
      <c r="F31" s="714">
        <f t="shared" si="3"/>
        <v>0</v>
      </c>
      <c r="T31" s="645" t="b">
        <f t="shared" si="4"/>
        <v>0</v>
      </c>
      <c r="X31" s="1382"/>
      <c r="Z31" s="1382"/>
      <c r="AB31" s="388" t="s">
        <v>749</v>
      </c>
      <c r="AC31" s="389" t="s">
        <v>841</v>
      </c>
      <c r="AD31" s="388" t="s">
        <v>837</v>
      </c>
      <c r="AE31" s="11"/>
      <c r="AF31" s="11"/>
      <c r="AG31" s="11"/>
      <c r="AH31" s="11"/>
      <c r="AI31" s="217"/>
      <c r="AJ31" s="1065"/>
      <c r="AK31" s="1065"/>
      <c r="AL31" s="11"/>
      <c r="AM31" s="11"/>
      <c r="AN31" s="11"/>
      <c r="AO31" s="11"/>
      <c r="AP31" s="11"/>
      <c r="AQ31" s="11"/>
      <c r="AR31" s="11"/>
      <c r="AS31" s="217"/>
      <c r="AT31" s="1065"/>
      <c r="AU31" s="1065"/>
      <c r="AV31" s="11"/>
      <c r="AW31" s="11"/>
      <c r="AX31" s="11"/>
      <c r="AY31" s="11"/>
      <c r="AZ31" s="11"/>
      <c r="BA31" s="11"/>
      <c r="BB31" s="11"/>
      <c r="BC31" s="22"/>
      <c r="BF31" s="902" t="s">
        <v>842</v>
      </c>
    </row>
    <row r="32" spans="1:58" ht="14.65" hidden="1" customHeight="1">
      <c r="E32" s="623">
        <v>15</v>
      </c>
      <c r="F32" s="714">
        <f t="shared" si="3"/>
        <v>0</v>
      </c>
      <c r="T32" s="645" t="b">
        <f t="shared" si="4"/>
        <v>0</v>
      </c>
      <c r="X32" s="1382"/>
      <c r="Z32" s="1382"/>
      <c r="AB32" s="388" t="s">
        <v>753</v>
      </c>
      <c r="AC32" s="389" t="s">
        <v>843</v>
      </c>
      <c r="AD32" s="388" t="s">
        <v>837</v>
      </c>
      <c r="AE32" s="25">
        <f t="shared" ref="AE32:BB32" si="6">SUM(AE33:AE37)</f>
        <v>0</v>
      </c>
      <c r="AF32" s="25">
        <f t="shared" si="6"/>
        <v>0</v>
      </c>
      <c r="AG32" s="25">
        <f t="shared" si="6"/>
        <v>0</v>
      </c>
      <c r="AH32" s="25">
        <f t="shared" si="6"/>
        <v>0</v>
      </c>
      <c r="AI32" s="386">
        <f t="shared" si="6"/>
        <v>0</v>
      </c>
      <c r="AJ32" s="1104">
        <f t="shared" si="6"/>
        <v>0</v>
      </c>
      <c r="AK32" s="1104">
        <f t="shared" si="6"/>
        <v>0</v>
      </c>
      <c r="AL32" s="25">
        <f t="shared" si="6"/>
        <v>0</v>
      </c>
      <c r="AM32" s="25">
        <f t="shared" si="6"/>
        <v>0</v>
      </c>
      <c r="AN32" s="25">
        <f t="shared" si="6"/>
        <v>0</v>
      </c>
      <c r="AO32" s="25">
        <f t="shared" si="6"/>
        <v>0</v>
      </c>
      <c r="AP32" s="25">
        <f t="shared" si="6"/>
        <v>0</v>
      </c>
      <c r="AQ32" s="25">
        <f t="shared" si="6"/>
        <v>0</v>
      </c>
      <c r="AR32" s="25">
        <f t="shared" si="6"/>
        <v>0</v>
      </c>
      <c r="AS32" s="386">
        <f t="shared" si="6"/>
        <v>0</v>
      </c>
      <c r="AT32" s="1104">
        <f t="shared" si="6"/>
        <v>0</v>
      </c>
      <c r="AU32" s="1104">
        <f t="shared" si="6"/>
        <v>0</v>
      </c>
      <c r="AV32" s="25">
        <f t="shared" si="6"/>
        <v>0</v>
      </c>
      <c r="AW32" s="25">
        <f t="shared" si="6"/>
        <v>0</v>
      </c>
      <c r="AX32" s="25">
        <f t="shared" si="6"/>
        <v>0</v>
      </c>
      <c r="AY32" s="25">
        <f t="shared" si="6"/>
        <v>0</v>
      </c>
      <c r="AZ32" s="25">
        <f t="shared" si="6"/>
        <v>0</v>
      </c>
      <c r="BA32" s="25">
        <f t="shared" si="6"/>
        <v>0</v>
      </c>
      <c r="BB32" s="25">
        <f t="shared" si="6"/>
        <v>0</v>
      </c>
      <c r="BC32" s="22"/>
      <c r="BF32" s="902" t="s">
        <v>844</v>
      </c>
    </row>
    <row r="33" spans="5:58" ht="14.65" hidden="1" customHeight="1">
      <c r="E33" s="623">
        <v>15</v>
      </c>
      <c r="F33" s="714">
        <f t="shared" si="3"/>
        <v>0</v>
      </c>
      <c r="T33" s="645" t="b">
        <f t="shared" si="4"/>
        <v>0</v>
      </c>
      <c r="X33" s="1382"/>
      <c r="Z33" s="1382"/>
      <c r="AB33" s="388" t="s">
        <v>845</v>
      </c>
      <c r="AC33" s="390" t="s">
        <v>846</v>
      </c>
      <c r="AD33" s="388" t="s">
        <v>837</v>
      </c>
      <c r="AE33" s="11"/>
      <c r="AF33" s="11"/>
      <c r="AG33" s="11"/>
      <c r="AH33" s="11"/>
      <c r="AI33" s="217"/>
      <c r="AJ33" s="1065"/>
      <c r="AK33" s="1065"/>
      <c r="AL33" s="11"/>
      <c r="AM33" s="11"/>
      <c r="AN33" s="11"/>
      <c r="AO33" s="11"/>
      <c r="AP33" s="11"/>
      <c r="AQ33" s="11"/>
      <c r="AR33" s="11"/>
      <c r="AS33" s="217"/>
      <c r="AT33" s="1065"/>
      <c r="AU33" s="1065"/>
      <c r="AV33" s="11"/>
      <c r="AW33" s="11"/>
      <c r="AX33" s="11"/>
      <c r="AY33" s="11"/>
      <c r="AZ33" s="11"/>
      <c r="BA33" s="11"/>
      <c r="BB33" s="11"/>
      <c r="BC33" s="22"/>
      <c r="BF33" s="902" t="s">
        <v>847</v>
      </c>
    </row>
    <row r="34" spans="5:58" ht="14.65" hidden="1" customHeight="1">
      <c r="E34" s="623">
        <v>15</v>
      </c>
      <c r="F34" s="714">
        <f t="shared" si="3"/>
        <v>0</v>
      </c>
      <c r="T34" s="645" t="b">
        <f t="shared" si="4"/>
        <v>0</v>
      </c>
      <c r="X34" s="1382"/>
      <c r="Z34" s="1382"/>
      <c r="AB34" s="388" t="s">
        <v>848</v>
      </c>
      <c r="AC34" s="390" t="s">
        <v>849</v>
      </c>
      <c r="AD34" s="388" t="s">
        <v>837</v>
      </c>
      <c r="AE34" s="11"/>
      <c r="AF34" s="11"/>
      <c r="AG34" s="11"/>
      <c r="AH34" s="11"/>
      <c r="AI34" s="217"/>
      <c r="AJ34" s="1065"/>
      <c r="AK34" s="1065"/>
      <c r="AL34" s="11"/>
      <c r="AM34" s="11"/>
      <c r="AN34" s="11"/>
      <c r="AO34" s="11"/>
      <c r="AP34" s="11"/>
      <c r="AQ34" s="11"/>
      <c r="AR34" s="11"/>
      <c r="AS34" s="217"/>
      <c r="AT34" s="1065"/>
      <c r="AU34" s="1065"/>
      <c r="AV34" s="11"/>
      <c r="AW34" s="11"/>
      <c r="AX34" s="11"/>
      <c r="AY34" s="11"/>
      <c r="AZ34" s="11"/>
      <c r="BA34" s="11"/>
      <c r="BB34" s="11"/>
      <c r="BC34" s="22"/>
      <c r="BF34" s="902" t="s">
        <v>850</v>
      </c>
    </row>
    <row r="35" spans="5:58" ht="14.65" hidden="1" customHeight="1">
      <c r="E35" s="623">
        <v>15</v>
      </c>
      <c r="F35" s="714">
        <f t="shared" si="3"/>
        <v>0</v>
      </c>
      <c r="T35" s="645" t="b">
        <f t="shared" si="4"/>
        <v>0</v>
      </c>
      <c r="X35" s="1382"/>
      <c r="Z35" s="1382"/>
      <c r="AB35" s="388" t="s">
        <v>851</v>
      </c>
      <c r="AC35" s="390" t="s">
        <v>852</v>
      </c>
      <c r="AD35" s="388" t="s">
        <v>837</v>
      </c>
      <c r="AE35" s="11"/>
      <c r="AF35" s="11"/>
      <c r="AG35" s="11"/>
      <c r="AH35" s="11"/>
      <c r="AI35" s="217"/>
      <c r="AJ35" s="1065"/>
      <c r="AK35" s="1065"/>
      <c r="AL35" s="11"/>
      <c r="AM35" s="11"/>
      <c r="AN35" s="11"/>
      <c r="AO35" s="11"/>
      <c r="AP35" s="11"/>
      <c r="AQ35" s="11"/>
      <c r="AR35" s="11"/>
      <c r="AS35" s="217"/>
      <c r="AT35" s="1065"/>
      <c r="AU35" s="1065"/>
      <c r="AV35" s="11"/>
      <c r="AW35" s="11"/>
      <c r="AX35" s="11"/>
      <c r="AY35" s="11"/>
      <c r="AZ35" s="11"/>
      <c r="BA35" s="11"/>
      <c r="BB35" s="11"/>
      <c r="BC35" s="22"/>
      <c r="BF35" s="902" t="s">
        <v>853</v>
      </c>
    </row>
    <row r="36" spans="5:58" ht="14.65" hidden="1" customHeight="1">
      <c r="E36" s="623">
        <v>15</v>
      </c>
      <c r="F36" s="714">
        <f t="shared" si="3"/>
        <v>0</v>
      </c>
      <c r="T36" s="645" t="b">
        <f t="shared" si="4"/>
        <v>0</v>
      </c>
      <c r="X36" s="1382"/>
      <c r="Z36" s="1382"/>
      <c r="AB36" s="388" t="s">
        <v>854</v>
      </c>
      <c r="AC36" s="390" t="s">
        <v>855</v>
      </c>
      <c r="AD36" s="388" t="s">
        <v>837</v>
      </c>
      <c r="AE36" s="11"/>
      <c r="AF36" s="11"/>
      <c r="AG36" s="11"/>
      <c r="AH36" s="11"/>
      <c r="AI36" s="217"/>
      <c r="AJ36" s="1065"/>
      <c r="AK36" s="1065"/>
      <c r="AL36" s="11"/>
      <c r="AM36" s="11"/>
      <c r="AN36" s="11"/>
      <c r="AO36" s="11"/>
      <c r="AP36" s="11"/>
      <c r="AQ36" s="11"/>
      <c r="AR36" s="11"/>
      <c r="AS36" s="217"/>
      <c r="AT36" s="1065"/>
      <c r="AU36" s="1065"/>
      <c r="AV36" s="11"/>
      <c r="AW36" s="11"/>
      <c r="AX36" s="11"/>
      <c r="AY36" s="11"/>
      <c r="AZ36" s="11"/>
      <c r="BA36" s="11"/>
      <c r="BB36" s="11"/>
      <c r="BC36" s="22"/>
      <c r="BF36" s="902" t="s">
        <v>856</v>
      </c>
    </row>
    <row r="37" spans="5:58" ht="14.65" hidden="1" customHeight="1">
      <c r="E37" s="623">
        <v>15</v>
      </c>
      <c r="F37" s="714">
        <f t="shared" si="3"/>
        <v>0</v>
      </c>
      <c r="T37" s="645" t="b">
        <f t="shared" si="4"/>
        <v>0</v>
      </c>
      <c r="X37" s="1382"/>
      <c r="Z37" s="1382"/>
      <c r="AB37" s="388" t="s">
        <v>857</v>
      </c>
      <c r="AC37" s="390" t="s">
        <v>858</v>
      </c>
      <c r="AD37" s="388" t="s">
        <v>837</v>
      </c>
      <c r="AE37" s="11"/>
      <c r="AF37" s="11"/>
      <c r="AG37" s="11"/>
      <c r="AH37" s="11"/>
      <c r="AI37" s="217"/>
      <c r="AJ37" s="1065"/>
      <c r="AK37" s="1065"/>
      <c r="AL37" s="11"/>
      <c r="AM37" s="11"/>
      <c r="AN37" s="11"/>
      <c r="AO37" s="11"/>
      <c r="AP37" s="11"/>
      <c r="AQ37" s="11"/>
      <c r="AR37" s="11"/>
      <c r="AS37" s="217"/>
      <c r="AT37" s="1065"/>
      <c r="AU37" s="1065"/>
      <c r="AV37" s="11"/>
      <c r="AW37" s="11"/>
      <c r="AX37" s="11"/>
      <c r="AY37" s="11"/>
      <c r="AZ37" s="11"/>
      <c r="BA37" s="11"/>
      <c r="BB37" s="11"/>
      <c r="BC37" s="22"/>
      <c r="BF37" s="902" t="s">
        <v>859</v>
      </c>
    </row>
    <row r="38" spans="5:58" ht="14.65" hidden="1" customHeight="1">
      <c r="E38" s="623">
        <v>15</v>
      </c>
      <c r="F38" s="714">
        <f t="shared" si="3"/>
        <v>0</v>
      </c>
      <c r="T38" s="645" t="b">
        <f t="shared" si="4"/>
        <v>0</v>
      </c>
      <c r="X38" s="1382"/>
      <c r="Z38" s="1382"/>
      <c r="AB38" s="388" t="s">
        <v>860</v>
      </c>
      <c r="AC38" s="389" t="s">
        <v>861</v>
      </c>
      <c r="AD38" s="388" t="s">
        <v>837</v>
      </c>
      <c r="AE38" s="11"/>
      <c r="AF38" s="11"/>
      <c r="AG38" s="11"/>
      <c r="AH38" s="11"/>
      <c r="AI38" s="217"/>
      <c r="AJ38" s="1065"/>
      <c r="AK38" s="1065"/>
      <c r="AL38" s="11"/>
      <c r="AM38" s="11"/>
      <c r="AN38" s="11"/>
      <c r="AO38" s="11"/>
      <c r="AP38" s="11"/>
      <c r="AQ38" s="11"/>
      <c r="AR38" s="11"/>
      <c r="AS38" s="217"/>
      <c r="AT38" s="1065"/>
      <c r="AU38" s="1065"/>
      <c r="AV38" s="11"/>
      <c r="AW38" s="11"/>
      <c r="AX38" s="11"/>
      <c r="AY38" s="11"/>
      <c r="AZ38" s="11"/>
      <c r="BA38" s="11"/>
      <c r="BB38" s="11"/>
      <c r="BC38" s="22"/>
      <c r="BF38" s="902" t="s">
        <v>862</v>
      </c>
    </row>
    <row r="39" spans="5:58" ht="14.65" hidden="1" customHeight="1">
      <c r="E39" s="623">
        <v>15</v>
      </c>
      <c r="F39" s="714">
        <f t="shared" si="3"/>
        <v>0</v>
      </c>
      <c r="T39" s="645" t="b">
        <f t="shared" si="4"/>
        <v>0</v>
      </c>
      <c r="X39" s="1382"/>
      <c r="Z39" s="1382"/>
      <c r="AB39" s="388" t="s">
        <v>863</v>
      </c>
      <c r="AC39" s="389" t="s">
        <v>864</v>
      </c>
      <c r="AD39" s="388" t="s">
        <v>837</v>
      </c>
      <c r="AE39" s="11"/>
      <c r="AF39" s="11"/>
      <c r="AG39" s="11"/>
      <c r="AH39" s="11"/>
      <c r="AI39" s="217"/>
      <c r="AJ39" s="1065"/>
      <c r="AK39" s="1065"/>
      <c r="AL39" s="11"/>
      <c r="AM39" s="11"/>
      <c r="AN39" s="11"/>
      <c r="AO39" s="11"/>
      <c r="AP39" s="11"/>
      <c r="AQ39" s="11"/>
      <c r="AR39" s="11"/>
      <c r="AS39" s="217"/>
      <c r="AT39" s="1065"/>
      <c r="AU39" s="1065"/>
      <c r="AV39" s="11"/>
      <c r="AW39" s="11"/>
      <c r="AX39" s="11"/>
      <c r="AY39" s="11"/>
      <c r="AZ39" s="11"/>
      <c r="BA39" s="11"/>
      <c r="BB39" s="11"/>
      <c r="BC39" s="22"/>
      <c r="BF39" s="902" t="s">
        <v>865</v>
      </c>
    </row>
    <row r="40" spans="5:58" ht="14.65" hidden="1" customHeight="1">
      <c r="E40" s="623">
        <v>15</v>
      </c>
      <c r="F40" s="714">
        <f t="shared" si="3"/>
        <v>0</v>
      </c>
      <c r="T40" s="645" t="b">
        <f t="shared" si="4"/>
        <v>0</v>
      </c>
      <c r="X40" s="1382"/>
      <c r="Z40" s="1382"/>
      <c r="AB40" s="388" t="s">
        <v>866</v>
      </c>
      <c r="AC40" s="389" t="s">
        <v>867</v>
      </c>
      <c r="AD40" s="388" t="s">
        <v>837</v>
      </c>
      <c r="AE40" s="11"/>
      <c r="AF40" s="11"/>
      <c r="AG40" s="11"/>
      <c r="AH40" s="11"/>
      <c r="AI40" s="217"/>
      <c r="AJ40" s="1065"/>
      <c r="AK40" s="1065"/>
      <c r="AL40" s="11"/>
      <c r="AM40" s="11"/>
      <c r="AN40" s="11"/>
      <c r="AO40" s="11"/>
      <c r="AP40" s="11"/>
      <c r="AQ40" s="11"/>
      <c r="AR40" s="11"/>
      <c r="AS40" s="217"/>
      <c r="AT40" s="1065"/>
      <c r="AU40" s="1065"/>
      <c r="AV40" s="11"/>
      <c r="AW40" s="11"/>
      <c r="AX40" s="11"/>
      <c r="AY40" s="11"/>
      <c r="AZ40" s="11"/>
      <c r="BA40" s="11"/>
      <c r="BB40" s="11"/>
      <c r="BC40" s="22"/>
      <c r="BF40" s="902" t="s">
        <v>868</v>
      </c>
    </row>
    <row r="41" spans="5:58" ht="14.65" hidden="1" customHeight="1">
      <c r="E41" s="623">
        <v>15</v>
      </c>
      <c r="F41" s="714">
        <f t="shared" si="3"/>
        <v>0</v>
      </c>
      <c r="T41" s="645" t="b">
        <f t="shared" si="4"/>
        <v>0</v>
      </c>
      <c r="X41" s="1382"/>
      <c r="Z41" s="1382"/>
      <c r="AB41" s="388" t="s">
        <v>869</v>
      </c>
      <c r="AC41" s="389" t="s">
        <v>870</v>
      </c>
      <c r="AD41" s="388" t="s">
        <v>837</v>
      </c>
      <c r="AE41" s="11"/>
      <c r="AF41" s="11"/>
      <c r="AG41" s="11"/>
      <c r="AH41" s="11"/>
      <c r="AI41" s="217"/>
      <c r="AJ41" s="1065"/>
      <c r="AK41" s="1065"/>
      <c r="AL41" s="11"/>
      <c r="AM41" s="11"/>
      <c r="AN41" s="11"/>
      <c r="AO41" s="11"/>
      <c r="AP41" s="11"/>
      <c r="AQ41" s="11"/>
      <c r="AR41" s="11"/>
      <c r="AS41" s="217"/>
      <c r="AT41" s="1065"/>
      <c r="AU41" s="1065"/>
      <c r="AV41" s="11"/>
      <c r="AW41" s="11"/>
      <c r="AX41" s="11"/>
      <c r="AY41" s="11"/>
      <c r="AZ41" s="11"/>
      <c r="BA41" s="11"/>
      <c r="BB41" s="11"/>
      <c r="BC41" s="22"/>
      <c r="BF41" s="902" t="s">
        <v>871</v>
      </c>
    </row>
    <row r="42" spans="5:58" s="154" customFormat="1" ht="44.45" hidden="1" customHeight="1">
      <c r="E42" s="623">
        <v>45.6</v>
      </c>
      <c r="F42" s="714">
        <f t="shared" si="3"/>
        <v>0</v>
      </c>
      <c r="T42" s="645" t="b">
        <f t="shared" si="4"/>
        <v>0</v>
      </c>
      <c r="X42" s="1491"/>
      <c r="Z42" s="1491"/>
      <c r="AB42" s="214">
        <v>2</v>
      </c>
      <c r="AC42" s="215" t="s">
        <v>872</v>
      </c>
      <c r="AD42" s="95" t="s">
        <v>648</v>
      </c>
      <c r="AE42" s="44">
        <f t="shared" ref="AE42:BB42" si="7">SUM(AE43:AE46)+SUM(AE52:AE55)</f>
        <v>0</v>
      </c>
      <c r="AF42" s="44">
        <f t="shared" si="7"/>
        <v>0</v>
      </c>
      <c r="AG42" s="44">
        <f t="shared" si="7"/>
        <v>0</v>
      </c>
      <c r="AH42" s="44">
        <f t="shared" si="7"/>
        <v>0</v>
      </c>
      <c r="AI42" s="229">
        <f t="shared" si="7"/>
        <v>0</v>
      </c>
      <c r="AJ42" s="1132">
        <f t="shared" si="7"/>
        <v>0</v>
      </c>
      <c r="AK42" s="1132">
        <f t="shared" si="7"/>
        <v>0</v>
      </c>
      <c r="AL42" s="44">
        <f t="shared" si="7"/>
        <v>0</v>
      </c>
      <c r="AM42" s="44">
        <f t="shared" si="7"/>
        <v>0</v>
      </c>
      <c r="AN42" s="44">
        <f t="shared" si="7"/>
        <v>0</v>
      </c>
      <c r="AO42" s="44">
        <f t="shared" si="7"/>
        <v>0</v>
      </c>
      <c r="AP42" s="44">
        <f t="shared" si="7"/>
        <v>0</v>
      </c>
      <c r="AQ42" s="44">
        <f t="shared" si="7"/>
        <v>0</v>
      </c>
      <c r="AR42" s="44">
        <f t="shared" si="7"/>
        <v>0</v>
      </c>
      <c r="AS42" s="229">
        <f t="shared" si="7"/>
        <v>0</v>
      </c>
      <c r="AT42" s="1132">
        <f t="shared" si="7"/>
        <v>0</v>
      </c>
      <c r="AU42" s="1132">
        <f t="shared" si="7"/>
        <v>0</v>
      </c>
      <c r="AV42" s="44">
        <f t="shared" si="7"/>
        <v>0</v>
      </c>
      <c r="AW42" s="44">
        <f t="shared" si="7"/>
        <v>0</v>
      </c>
      <c r="AX42" s="44">
        <f t="shared" si="7"/>
        <v>0</v>
      </c>
      <c r="AY42" s="44">
        <f t="shared" si="7"/>
        <v>0</v>
      </c>
      <c r="AZ42" s="44">
        <f t="shared" si="7"/>
        <v>0</v>
      </c>
      <c r="BA42" s="44">
        <f t="shared" si="7"/>
        <v>0</v>
      </c>
      <c r="BB42" s="44">
        <f t="shared" si="7"/>
        <v>0</v>
      </c>
      <c r="BC42" s="22"/>
      <c r="BF42" s="902" t="s">
        <v>873</v>
      </c>
    </row>
    <row r="43" spans="5:58" ht="14.65" hidden="1" customHeight="1">
      <c r="E43" s="623">
        <v>15</v>
      </c>
      <c r="F43" s="714">
        <f t="shared" si="3"/>
        <v>0</v>
      </c>
      <c r="T43" s="645" t="b">
        <f t="shared" si="4"/>
        <v>0</v>
      </c>
      <c r="X43" s="1382"/>
      <c r="Z43" s="1382"/>
      <c r="AB43" s="388" t="str">
        <f>AB42&amp;".1"</f>
        <v>2.1</v>
      </c>
      <c r="AC43" s="389" t="s">
        <v>836</v>
      </c>
      <c r="AD43" s="388" t="s">
        <v>837</v>
      </c>
      <c r="AE43" s="11"/>
      <c r="AF43" s="11"/>
      <c r="AG43" s="11"/>
      <c r="AH43" s="11"/>
      <c r="AI43" s="217"/>
      <c r="AJ43" s="1065"/>
      <c r="AK43" s="1065"/>
      <c r="AL43" s="11"/>
      <c r="AM43" s="11"/>
      <c r="AN43" s="11"/>
      <c r="AO43" s="11"/>
      <c r="AP43" s="11"/>
      <c r="AQ43" s="11"/>
      <c r="AR43" s="11"/>
      <c r="AS43" s="217"/>
      <c r="AT43" s="1065"/>
      <c r="AU43" s="1065"/>
      <c r="AV43" s="11"/>
      <c r="AW43" s="11"/>
      <c r="AX43" s="11"/>
      <c r="AY43" s="11"/>
      <c r="AZ43" s="11"/>
      <c r="BA43" s="11"/>
      <c r="BB43" s="11"/>
      <c r="BC43" s="22"/>
      <c r="BF43" s="902" t="s">
        <v>874</v>
      </c>
    </row>
    <row r="44" spans="5:58" ht="14.65" hidden="1" customHeight="1">
      <c r="E44" s="623">
        <v>15</v>
      </c>
      <c r="F44" s="714">
        <f t="shared" si="3"/>
        <v>0</v>
      </c>
      <c r="T44" s="645" t="b">
        <f t="shared" si="4"/>
        <v>0</v>
      </c>
      <c r="X44" s="1382"/>
      <c r="Z44" s="1382"/>
      <c r="AB44" s="388" t="str">
        <f>AB42&amp;".2"</f>
        <v>2.2</v>
      </c>
      <c r="AC44" s="389" t="s">
        <v>839</v>
      </c>
      <c r="AD44" s="388" t="s">
        <v>837</v>
      </c>
      <c r="AE44" s="11"/>
      <c r="AF44" s="11"/>
      <c r="AG44" s="11"/>
      <c r="AH44" s="11"/>
      <c r="AI44" s="217"/>
      <c r="AJ44" s="1065"/>
      <c r="AK44" s="1065"/>
      <c r="AL44" s="11"/>
      <c r="AM44" s="11"/>
      <c r="AN44" s="11"/>
      <c r="AO44" s="11"/>
      <c r="AP44" s="11"/>
      <c r="AQ44" s="11"/>
      <c r="AR44" s="11"/>
      <c r="AS44" s="217"/>
      <c r="AT44" s="1065"/>
      <c r="AU44" s="1065"/>
      <c r="AV44" s="11"/>
      <c r="AW44" s="11"/>
      <c r="AX44" s="11"/>
      <c r="AY44" s="11"/>
      <c r="AZ44" s="11"/>
      <c r="BA44" s="11"/>
      <c r="BB44" s="11"/>
      <c r="BC44" s="22"/>
      <c r="BF44" s="902" t="s">
        <v>875</v>
      </c>
    </row>
    <row r="45" spans="5:58" ht="14.65" hidden="1" customHeight="1">
      <c r="E45" s="623">
        <v>15</v>
      </c>
      <c r="F45" s="714">
        <f t="shared" si="3"/>
        <v>0</v>
      </c>
      <c r="T45" s="645" t="b">
        <f t="shared" si="4"/>
        <v>0</v>
      </c>
      <c r="X45" s="1382"/>
      <c r="Z45" s="1382"/>
      <c r="AB45" s="388" t="str">
        <f>AB42&amp;".3"</f>
        <v>2.3</v>
      </c>
      <c r="AC45" s="389" t="s">
        <v>841</v>
      </c>
      <c r="AD45" s="388" t="s">
        <v>837</v>
      </c>
      <c r="AE45" s="11"/>
      <c r="AF45" s="11"/>
      <c r="AG45" s="11"/>
      <c r="AH45" s="11"/>
      <c r="AI45" s="217"/>
      <c r="AJ45" s="1065"/>
      <c r="AK45" s="1065"/>
      <c r="AL45" s="11"/>
      <c r="AM45" s="11"/>
      <c r="AN45" s="11"/>
      <c r="AO45" s="11"/>
      <c r="AP45" s="11"/>
      <c r="AQ45" s="11"/>
      <c r="AR45" s="11"/>
      <c r="AS45" s="217"/>
      <c r="AT45" s="1065"/>
      <c r="AU45" s="1065"/>
      <c r="AV45" s="11"/>
      <c r="AW45" s="11"/>
      <c r="AX45" s="11"/>
      <c r="AY45" s="11"/>
      <c r="AZ45" s="11"/>
      <c r="BA45" s="11"/>
      <c r="BB45" s="11"/>
      <c r="BC45" s="22"/>
      <c r="BF45" s="902" t="s">
        <v>876</v>
      </c>
    </row>
    <row r="46" spans="5:58" ht="14.65" hidden="1" customHeight="1">
      <c r="E46" s="623">
        <v>15</v>
      </c>
      <c r="F46" s="714">
        <f t="shared" si="3"/>
        <v>0</v>
      </c>
      <c r="T46" s="645" t="b">
        <f t="shared" si="4"/>
        <v>0</v>
      </c>
      <c r="X46" s="1382"/>
      <c r="Z46" s="1382"/>
      <c r="AB46" s="388" t="str">
        <f>AB42&amp;".4"</f>
        <v>2.4</v>
      </c>
      <c r="AC46" s="389" t="s">
        <v>843</v>
      </c>
      <c r="AD46" s="388" t="s">
        <v>837</v>
      </c>
      <c r="AE46" s="25">
        <f t="shared" ref="AE46:BB46" si="8">SUM(AE47:AE51)</f>
        <v>0</v>
      </c>
      <c r="AF46" s="25">
        <f t="shared" si="8"/>
        <v>0</v>
      </c>
      <c r="AG46" s="25">
        <f t="shared" si="8"/>
        <v>0</v>
      </c>
      <c r="AH46" s="25">
        <f t="shared" si="8"/>
        <v>0</v>
      </c>
      <c r="AI46" s="386">
        <f t="shared" si="8"/>
        <v>0</v>
      </c>
      <c r="AJ46" s="1104">
        <f t="shared" si="8"/>
        <v>0</v>
      </c>
      <c r="AK46" s="1104">
        <f t="shared" si="8"/>
        <v>0</v>
      </c>
      <c r="AL46" s="25">
        <f t="shared" si="8"/>
        <v>0</v>
      </c>
      <c r="AM46" s="25">
        <f t="shared" si="8"/>
        <v>0</v>
      </c>
      <c r="AN46" s="25">
        <f t="shared" si="8"/>
        <v>0</v>
      </c>
      <c r="AO46" s="25">
        <f t="shared" si="8"/>
        <v>0</v>
      </c>
      <c r="AP46" s="25">
        <f t="shared" si="8"/>
        <v>0</v>
      </c>
      <c r="AQ46" s="25">
        <f t="shared" si="8"/>
        <v>0</v>
      </c>
      <c r="AR46" s="25">
        <f t="shared" si="8"/>
        <v>0</v>
      </c>
      <c r="AS46" s="386">
        <f t="shared" si="8"/>
        <v>0</v>
      </c>
      <c r="AT46" s="1104">
        <f t="shared" si="8"/>
        <v>0</v>
      </c>
      <c r="AU46" s="1104">
        <f t="shared" si="8"/>
        <v>0</v>
      </c>
      <c r="AV46" s="25">
        <f t="shared" si="8"/>
        <v>0</v>
      </c>
      <c r="AW46" s="25">
        <f t="shared" si="8"/>
        <v>0</v>
      </c>
      <c r="AX46" s="25">
        <f t="shared" si="8"/>
        <v>0</v>
      </c>
      <c r="AY46" s="25">
        <f t="shared" si="8"/>
        <v>0</v>
      </c>
      <c r="AZ46" s="25">
        <f t="shared" si="8"/>
        <v>0</v>
      </c>
      <c r="BA46" s="25">
        <f t="shared" si="8"/>
        <v>0</v>
      </c>
      <c r="BB46" s="25">
        <f t="shared" si="8"/>
        <v>0</v>
      </c>
      <c r="BC46" s="22"/>
      <c r="BF46" s="902" t="s">
        <v>877</v>
      </c>
    </row>
    <row r="47" spans="5:58" ht="14.65" hidden="1" customHeight="1">
      <c r="E47" s="623">
        <v>15</v>
      </c>
      <c r="F47" s="714">
        <f t="shared" si="3"/>
        <v>0</v>
      </c>
      <c r="T47" s="645" t="b">
        <f t="shared" si="4"/>
        <v>0</v>
      </c>
      <c r="X47" s="1382"/>
      <c r="Z47" s="1382"/>
      <c r="AB47" s="388" t="str">
        <f>AB46&amp;".1"</f>
        <v>2.4.1</v>
      </c>
      <c r="AC47" s="390" t="s">
        <v>846</v>
      </c>
      <c r="AD47" s="388" t="s">
        <v>837</v>
      </c>
      <c r="AE47" s="11"/>
      <c r="AF47" s="11"/>
      <c r="AG47" s="11"/>
      <c r="AH47" s="11"/>
      <c r="AI47" s="217"/>
      <c r="AJ47" s="1065"/>
      <c r="AK47" s="1065"/>
      <c r="AL47" s="11"/>
      <c r="AM47" s="11"/>
      <c r="AN47" s="11"/>
      <c r="AO47" s="11"/>
      <c r="AP47" s="11"/>
      <c r="AQ47" s="11"/>
      <c r="AR47" s="11"/>
      <c r="AS47" s="217"/>
      <c r="AT47" s="1065"/>
      <c r="AU47" s="1065"/>
      <c r="AV47" s="11"/>
      <c r="AW47" s="11"/>
      <c r="AX47" s="11"/>
      <c r="AY47" s="11"/>
      <c r="AZ47" s="11"/>
      <c r="BA47" s="11"/>
      <c r="BB47" s="11"/>
      <c r="BC47" s="22"/>
      <c r="BF47" s="902" t="s">
        <v>878</v>
      </c>
    </row>
    <row r="48" spans="5:58" ht="14.65" hidden="1" customHeight="1">
      <c r="E48" s="623">
        <v>15</v>
      </c>
      <c r="F48" s="714">
        <f t="shared" si="3"/>
        <v>0</v>
      </c>
      <c r="T48" s="645" t="b">
        <f t="shared" si="4"/>
        <v>0</v>
      </c>
      <c r="X48" s="1382"/>
      <c r="Z48" s="1382"/>
      <c r="AB48" s="388" t="str">
        <f>AB46&amp;".2"</f>
        <v>2.4.2</v>
      </c>
      <c r="AC48" s="390" t="s">
        <v>849</v>
      </c>
      <c r="AD48" s="388" t="s">
        <v>837</v>
      </c>
      <c r="AE48" s="11"/>
      <c r="AF48" s="11"/>
      <c r="AG48" s="11"/>
      <c r="AH48" s="11"/>
      <c r="AI48" s="217"/>
      <c r="AJ48" s="1065"/>
      <c r="AK48" s="1065"/>
      <c r="AL48" s="11"/>
      <c r="AM48" s="11"/>
      <c r="AN48" s="11"/>
      <c r="AO48" s="11"/>
      <c r="AP48" s="11"/>
      <c r="AQ48" s="11"/>
      <c r="AR48" s="11"/>
      <c r="AS48" s="217"/>
      <c r="AT48" s="1065"/>
      <c r="AU48" s="1065"/>
      <c r="AV48" s="11"/>
      <c r="AW48" s="11"/>
      <c r="AX48" s="11"/>
      <c r="AY48" s="11"/>
      <c r="AZ48" s="11"/>
      <c r="BA48" s="11"/>
      <c r="BB48" s="11"/>
      <c r="BC48" s="22"/>
      <c r="BF48" s="902" t="s">
        <v>879</v>
      </c>
    </row>
    <row r="49" spans="5:58" ht="14.65" hidden="1" customHeight="1">
      <c r="E49" s="623">
        <v>15</v>
      </c>
      <c r="F49" s="714">
        <f t="shared" si="3"/>
        <v>0</v>
      </c>
      <c r="T49" s="645" t="b">
        <f t="shared" si="4"/>
        <v>0</v>
      </c>
      <c r="X49" s="1382"/>
      <c r="Z49" s="1382"/>
      <c r="AB49" s="388" t="str">
        <f>AB46&amp;".3"</f>
        <v>2.4.3</v>
      </c>
      <c r="AC49" s="390" t="s">
        <v>852</v>
      </c>
      <c r="AD49" s="388" t="s">
        <v>837</v>
      </c>
      <c r="AE49" s="11"/>
      <c r="AF49" s="11"/>
      <c r="AG49" s="11"/>
      <c r="AH49" s="11"/>
      <c r="AI49" s="217"/>
      <c r="AJ49" s="1065"/>
      <c r="AK49" s="1065"/>
      <c r="AL49" s="11"/>
      <c r="AM49" s="11"/>
      <c r="AN49" s="11"/>
      <c r="AO49" s="11"/>
      <c r="AP49" s="11"/>
      <c r="AQ49" s="11"/>
      <c r="AR49" s="11"/>
      <c r="AS49" s="217"/>
      <c r="AT49" s="1065"/>
      <c r="AU49" s="1065"/>
      <c r="AV49" s="11"/>
      <c r="AW49" s="11"/>
      <c r="AX49" s="11"/>
      <c r="AY49" s="11"/>
      <c r="AZ49" s="11"/>
      <c r="BA49" s="11"/>
      <c r="BB49" s="11"/>
      <c r="BC49" s="22"/>
      <c r="BF49" s="902" t="s">
        <v>880</v>
      </c>
    </row>
    <row r="50" spans="5:58" ht="14.65" hidden="1" customHeight="1">
      <c r="E50" s="623">
        <v>15</v>
      </c>
      <c r="F50" s="714">
        <f t="shared" si="3"/>
        <v>0</v>
      </c>
      <c r="T50" s="645" t="b">
        <f t="shared" si="4"/>
        <v>0</v>
      </c>
      <c r="X50" s="1382"/>
      <c r="Z50" s="1382"/>
      <c r="AB50" s="388" t="str">
        <f>AB46&amp;".4"</f>
        <v>2.4.4</v>
      </c>
      <c r="AC50" s="390" t="s">
        <v>855</v>
      </c>
      <c r="AD50" s="388" t="s">
        <v>837</v>
      </c>
      <c r="AE50" s="11"/>
      <c r="AF50" s="11"/>
      <c r="AG50" s="11"/>
      <c r="AH50" s="11"/>
      <c r="AI50" s="217"/>
      <c r="AJ50" s="1065"/>
      <c r="AK50" s="1065"/>
      <c r="AL50" s="11"/>
      <c r="AM50" s="11"/>
      <c r="AN50" s="11"/>
      <c r="AO50" s="11"/>
      <c r="AP50" s="11"/>
      <c r="AQ50" s="11"/>
      <c r="AR50" s="11"/>
      <c r="AS50" s="217"/>
      <c r="AT50" s="1065"/>
      <c r="AU50" s="1065"/>
      <c r="AV50" s="11"/>
      <c r="AW50" s="11"/>
      <c r="AX50" s="11"/>
      <c r="AY50" s="11"/>
      <c r="AZ50" s="11"/>
      <c r="BA50" s="11"/>
      <c r="BB50" s="11"/>
      <c r="BC50" s="22"/>
      <c r="BF50" s="902" t="s">
        <v>881</v>
      </c>
    </row>
    <row r="51" spans="5:58" ht="14.65" hidden="1" customHeight="1">
      <c r="E51" s="623">
        <v>15</v>
      </c>
      <c r="F51" s="714">
        <f t="shared" si="3"/>
        <v>0</v>
      </c>
      <c r="T51" s="645" t="b">
        <f t="shared" si="4"/>
        <v>0</v>
      </c>
      <c r="X51" s="1382"/>
      <c r="Z51" s="1382"/>
      <c r="AB51" s="388" t="str">
        <f>AB46&amp;".5"</f>
        <v>2.4.5</v>
      </c>
      <c r="AC51" s="390" t="s">
        <v>858</v>
      </c>
      <c r="AD51" s="388" t="s">
        <v>837</v>
      </c>
      <c r="AE51" s="11"/>
      <c r="AF51" s="11"/>
      <c r="AG51" s="11"/>
      <c r="AH51" s="11"/>
      <c r="AI51" s="217"/>
      <c r="AJ51" s="1065"/>
      <c r="AK51" s="1065"/>
      <c r="AL51" s="11"/>
      <c r="AM51" s="11"/>
      <c r="AN51" s="11"/>
      <c r="AO51" s="11"/>
      <c r="AP51" s="11"/>
      <c r="AQ51" s="11"/>
      <c r="AR51" s="11"/>
      <c r="AS51" s="217"/>
      <c r="AT51" s="1065"/>
      <c r="AU51" s="1065"/>
      <c r="AV51" s="11"/>
      <c r="AW51" s="11"/>
      <c r="AX51" s="11"/>
      <c r="AY51" s="11"/>
      <c r="AZ51" s="11"/>
      <c r="BA51" s="11"/>
      <c r="BB51" s="11"/>
      <c r="BC51" s="22"/>
      <c r="BF51" s="902" t="s">
        <v>882</v>
      </c>
    </row>
    <row r="52" spans="5:58" ht="14.65" hidden="1" customHeight="1">
      <c r="E52" s="623">
        <v>15</v>
      </c>
      <c r="F52" s="714">
        <f t="shared" si="3"/>
        <v>0</v>
      </c>
      <c r="T52" s="645" t="b">
        <f t="shared" si="4"/>
        <v>0</v>
      </c>
      <c r="X52" s="1382"/>
      <c r="Z52" s="1382"/>
      <c r="AB52" s="388" t="str">
        <f>AB42&amp;".5"</f>
        <v>2.5</v>
      </c>
      <c r="AC52" s="389" t="s">
        <v>861</v>
      </c>
      <c r="AD52" s="388" t="s">
        <v>837</v>
      </c>
      <c r="AE52" s="11"/>
      <c r="AF52" s="11"/>
      <c r="AG52" s="11"/>
      <c r="AH52" s="11"/>
      <c r="AI52" s="217"/>
      <c r="AJ52" s="1065"/>
      <c r="AK52" s="1065"/>
      <c r="AL52" s="11"/>
      <c r="AM52" s="11"/>
      <c r="AN52" s="11"/>
      <c r="AO52" s="11"/>
      <c r="AP52" s="11"/>
      <c r="AQ52" s="11"/>
      <c r="AR52" s="11"/>
      <c r="AS52" s="217"/>
      <c r="AT52" s="1065"/>
      <c r="AU52" s="1065"/>
      <c r="AV52" s="11"/>
      <c r="AW52" s="11"/>
      <c r="AX52" s="11"/>
      <c r="AY52" s="11"/>
      <c r="AZ52" s="11"/>
      <c r="BA52" s="11"/>
      <c r="BB52" s="11"/>
      <c r="BC52" s="22"/>
      <c r="BF52" s="902" t="s">
        <v>883</v>
      </c>
    </row>
    <row r="53" spans="5:58" ht="14.65" hidden="1" customHeight="1">
      <c r="E53" s="623">
        <v>15</v>
      </c>
      <c r="F53" s="714">
        <f t="shared" si="3"/>
        <v>0</v>
      </c>
      <c r="T53" s="645" t="b">
        <f t="shared" si="4"/>
        <v>0</v>
      </c>
      <c r="X53" s="1382"/>
      <c r="Z53" s="1382"/>
      <c r="AB53" s="388" t="str">
        <f>AB42&amp;".6"</f>
        <v>2.6</v>
      </c>
      <c r="AC53" s="389" t="s">
        <v>864</v>
      </c>
      <c r="AD53" s="388" t="s">
        <v>837</v>
      </c>
      <c r="AE53" s="11"/>
      <c r="AF53" s="11"/>
      <c r="AG53" s="11"/>
      <c r="AH53" s="11"/>
      <c r="AI53" s="217"/>
      <c r="AJ53" s="1065"/>
      <c r="AK53" s="1065"/>
      <c r="AL53" s="11"/>
      <c r="AM53" s="11"/>
      <c r="AN53" s="11"/>
      <c r="AO53" s="11"/>
      <c r="AP53" s="11"/>
      <c r="AQ53" s="11"/>
      <c r="AR53" s="11"/>
      <c r="AS53" s="217"/>
      <c r="AT53" s="1065"/>
      <c r="AU53" s="1065"/>
      <c r="AV53" s="11"/>
      <c r="AW53" s="11"/>
      <c r="AX53" s="11"/>
      <c r="AY53" s="11"/>
      <c r="AZ53" s="11"/>
      <c r="BA53" s="11"/>
      <c r="BB53" s="11"/>
      <c r="BC53" s="22"/>
      <c r="BF53" s="902" t="s">
        <v>884</v>
      </c>
    </row>
    <row r="54" spans="5:58" ht="14.65" hidden="1" customHeight="1">
      <c r="E54" s="623">
        <v>15</v>
      </c>
      <c r="F54" s="714">
        <f t="shared" si="3"/>
        <v>0</v>
      </c>
      <c r="T54" s="645" t="b">
        <f t="shared" si="4"/>
        <v>0</v>
      </c>
      <c r="X54" s="1382"/>
      <c r="Z54" s="1382"/>
      <c r="AB54" s="388" t="str">
        <f>AB42&amp;".7"</f>
        <v>2.7</v>
      </c>
      <c r="AC54" s="389" t="s">
        <v>867</v>
      </c>
      <c r="AD54" s="388" t="s">
        <v>837</v>
      </c>
      <c r="AE54" s="11"/>
      <c r="AF54" s="11"/>
      <c r="AG54" s="11"/>
      <c r="AH54" s="11"/>
      <c r="AI54" s="217"/>
      <c r="AJ54" s="1065"/>
      <c r="AK54" s="1065"/>
      <c r="AL54" s="11"/>
      <c r="AM54" s="11"/>
      <c r="AN54" s="11"/>
      <c r="AO54" s="11"/>
      <c r="AP54" s="11"/>
      <c r="AQ54" s="11"/>
      <c r="AR54" s="11"/>
      <c r="AS54" s="217"/>
      <c r="AT54" s="1065"/>
      <c r="AU54" s="1065"/>
      <c r="AV54" s="11"/>
      <c r="AW54" s="11"/>
      <c r="AX54" s="11"/>
      <c r="AY54" s="11"/>
      <c r="AZ54" s="11"/>
      <c r="BA54" s="11"/>
      <c r="BB54" s="11"/>
      <c r="BC54" s="22"/>
      <c r="BF54" s="902" t="s">
        <v>885</v>
      </c>
    </row>
    <row r="55" spans="5:58" ht="14.65" hidden="1" customHeight="1">
      <c r="E55" s="623">
        <v>15</v>
      </c>
      <c r="F55" s="714">
        <f t="shared" si="3"/>
        <v>0</v>
      </c>
      <c r="T55" s="645" t="b">
        <f t="shared" si="4"/>
        <v>0</v>
      </c>
      <c r="X55" s="1382"/>
      <c r="Z55" s="1382"/>
      <c r="AB55" s="388" t="str">
        <f>AB42&amp;".8"</f>
        <v>2.8</v>
      </c>
      <c r="AC55" s="389" t="s">
        <v>870</v>
      </c>
      <c r="AD55" s="388" t="s">
        <v>837</v>
      </c>
      <c r="AE55" s="11"/>
      <c r="AF55" s="11"/>
      <c r="AG55" s="11"/>
      <c r="AH55" s="11"/>
      <c r="AI55" s="217"/>
      <c r="AJ55" s="1065"/>
      <c r="AK55" s="1065"/>
      <c r="AL55" s="11"/>
      <c r="AM55" s="11"/>
      <c r="AN55" s="11"/>
      <c r="AO55" s="11"/>
      <c r="AP55" s="11"/>
      <c r="AQ55" s="11"/>
      <c r="AR55" s="11"/>
      <c r="AS55" s="217"/>
      <c r="AT55" s="1065"/>
      <c r="AU55" s="1065"/>
      <c r="AV55" s="11"/>
      <c r="AW55" s="11"/>
      <c r="AX55" s="11"/>
      <c r="AY55" s="11"/>
      <c r="AZ55" s="11"/>
      <c r="BA55" s="11"/>
      <c r="BB55" s="11"/>
      <c r="BC55" s="22"/>
      <c r="BF55" s="902" t="s">
        <v>886</v>
      </c>
    </row>
    <row r="56" spans="5:58" s="154" customFormat="1" ht="14.65" hidden="1" customHeight="1">
      <c r="E56" s="623">
        <v>15</v>
      </c>
      <c r="F56" s="714">
        <f t="shared" si="3"/>
        <v>0</v>
      </c>
      <c r="T56" s="645" t="b">
        <f t="shared" si="4"/>
        <v>0</v>
      </c>
      <c r="X56" s="1491"/>
      <c r="Z56" s="1491"/>
      <c r="AB56" s="214">
        <v>3</v>
      </c>
      <c r="AC56" s="215" t="s">
        <v>887</v>
      </c>
      <c r="AD56" s="95" t="s">
        <v>648</v>
      </c>
      <c r="AE56" s="44">
        <f t="shared" ref="AE56:BB56" si="9">SUM(AE57:AE60)+SUM(AE66:AE69)</f>
        <v>0</v>
      </c>
      <c r="AF56" s="44">
        <f t="shared" si="9"/>
        <v>0</v>
      </c>
      <c r="AG56" s="44">
        <f t="shared" si="9"/>
        <v>0</v>
      </c>
      <c r="AH56" s="44">
        <f t="shared" si="9"/>
        <v>0</v>
      </c>
      <c r="AI56" s="229">
        <f t="shared" si="9"/>
        <v>0</v>
      </c>
      <c r="AJ56" s="1132">
        <f t="shared" si="9"/>
        <v>0</v>
      </c>
      <c r="AK56" s="1132">
        <f t="shared" si="9"/>
        <v>0</v>
      </c>
      <c r="AL56" s="44">
        <f t="shared" si="9"/>
        <v>0</v>
      </c>
      <c r="AM56" s="44">
        <f t="shared" si="9"/>
        <v>0</v>
      </c>
      <c r="AN56" s="44">
        <f t="shared" si="9"/>
        <v>0</v>
      </c>
      <c r="AO56" s="44">
        <f t="shared" si="9"/>
        <v>0</v>
      </c>
      <c r="AP56" s="44">
        <f t="shared" si="9"/>
        <v>0</v>
      </c>
      <c r="AQ56" s="44">
        <f t="shared" si="9"/>
        <v>0</v>
      </c>
      <c r="AR56" s="44">
        <f t="shared" si="9"/>
        <v>0</v>
      </c>
      <c r="AS56" s="229">
        <f t="shared" si="9"/>
        <v>0</v>
      </c>
      <c r="AT56" s="1132">
        <f t="shared" si="9"/>
        <v>0</v>
      </c>
      <c r="AU56" s="1132">
        <f t="shared" si="9"/>
        <v>0</v>
      </c>
      <c r="AV56" s="44">
        <f t="shared" si="9"/>
        <v>0</v>
      </c>
      <c r="AW56" s="44">
        <f t="shared" si="9"/>
        <v>0</v>
      </c>
      <c r="AX56" s="44">
        <f t="shared" si="9"/>
        <v>0</v>
      </c>
      <c r="AY56" s="44">
        <f t="shared" si="9"/>
        <v>0</v>
      </c>
      <c r="AZ56" s="44">
        <f t="shared" si="9"/>
        <v>0</v>
      </c>
      <c r="BA56" s="44">
        <f t="shared" si="9"/>
        <v>0</v>
      </c>
      <c r="BB56" s="44">
        <f t="shared" si="9"/>
        <v>0</v>
      </c>
      <c r="BC56" s="22"/>
      <c r="BF56" s="902" t="s">
        <v>888</v>
      </c>
    </row>
    <row r="57" spans="5:58" ht="14.65" hidden="1" customHeight="1">
      <c r="E57" s="623">
        <v>15</v>
      </c>
      <c r="F57" s="714">
        <f t="shared" si="3"/>
        <v>0</v>
      </c>
      <c r="T57" s="645" t="b">
        <f t="shared" si="4"/>
        <v>0</v>
      </c>
      <c r="X57" s="1382"/>
      <c r="Z57" s="1382"/>
      <c r="AB57" s="388" t="str">
        <f>AB56&amp;".1"</f>
        <v>3.1</v>
      </c>
      <c r="AC57" s="389" t="s">
        <v>836</v>
      </c>
      <c r="AD57" s="388" t="s">
        <v>837</v>
      </c>
      <c r="AE57" s="11"/>
      <c r="AF57" s="11"/>
      <c r="AG57" s="11"/>
      <c r="AH57" s="11"/>
      <c r="AI57" s="217"/>
      <c r="AJ57" s="1065"/>
      <c r="AK57" s="1065"/>
      <c r="AL57" s="11"/>
      <c r="AM57" s="11"/>
      <c r="AN57" s="11"/>
      <c r="AO57" s="11"/>
      <c r="AP57" s="11"/>
      <c r="AQ57" s="11"/>
      <c r="AR57" s="11"/>
      <c r="AS57" s="217"/>
      <c r="AT57" s="1065"/>
      <c r="AU57" s="1065"/>
      <c r="AV57" s="11"/>
      <c r="AW57" s="11"/>
      <c r="AX57" s="11"/>
      <c r="AY57" s="11"/>
      <c r="AZ57" s="11"/>
      <c r="BA57" s="11"/>
      <c r="BB57" s="11"/>
      <c r="BC57" s="22"/>
      <c r="BF57" s="902" t="s">
        <v>889</v>
      </c>
    </row>
    <row r="58" spans="5:58" ht="14.65" hidden="1" customHeight="1">
      <c r="E58" s="623">
        <v>15</v>
      </c>
      <c r="F58" s="714">
        <f t="shared" si="3"/>
        <v>0</v>
      </c>
      <c r="T58" s="645" t="b">
        <f t="shared" si="4"/>
        <v>0</v>
      </c>
      <c r="X58" s="1382"/>
      <c r="Z58" s="1382"/>
      <c r="AB58" s="388" t="str">
        <f>AB56&amp;".2"</f>
        <v>3.2</v>
      </c>
      <c r="AC58" s="389" t="s">
        <v>839</v>
      </c>
      <c r="AD58" s="388" t="s">
        <v>837</v>
      </c>
      <c r="AE58" s="11"/>
      <c r="AF58" s="11"/>
      <c r="AG58" s="11"/>
      <c r="AH58" s="11"/>
      <c r="AI58" s="217"/>
      <c r="AJ58" s="1065"/>
      <c r="AK58" s="1065"/>
      <c r="AL58" s="11"/>
      <c r="AM58" s="11"/>
      <c r="AN58" s="11"/>
      <c r="AO58" s="11"/>
      <c r="AP58" s="11"/>
      <c r="AQ58" s="11"/>
      <c r="AR58" s="11"/>
      <c r="AS58" s="217"/>
      <c r="AT58" s="1065"/>
      <c r="AU58" s="1065"/>
      <c r="AV58" s="11"/>
      <c r="AW58" s="11"/>
      <c r="AX58" s="11"/>
      <c r="AY58" s="11"/>
      <c r="AZ58" s="11"/>
      <c r="BA58" s="11"/>
      <c r="BB58" s="11"/>
      <c r="BC58" s="22"/>
      <c r="BF58" s="902" t="s">
        <v>890</v>
      </c>
    </row>
    <row r="59" spans="5:58" ht="14.65" hidden="1" customHeight="1">
      <c r="E59" s="623">
        <v>15</v>
      </c>
      <c r="F59" s="714">
        <f t="shared" si="3"/>
        <v>0</v>
      </c>
      <c r="T59" s="645" t="b">
        <f t="shared" si="4"/>
        <v>0</v>
      </c>
      <c r="X59" s="1382"/>
      <c r="Z59" s="1382"/>
      <c r="AB59" s="388" t="str">
        <f>AB56&amp;".3"</f>
        <v>3.3</v>
      </c>
      <c r="AC59" s="389" t="s">
        <v>841</v>
      </c>
      <c r="AD59" s="388" t="s">
        <v>837</v>
      </c>
      <c r="AE59" s="11"/>
      <c r="AF59" s="11"/>
      <c r="AG59" s="11"/>
      <c r="AH59" s="11"/>
      <c r="AI59" s="217"/>
      <c r="AJ59" s="1065"/>
      <c r="AK59" s="1065"/>
      <c r="AL59" s="11"/>
      <c r="AM59" s="11"/>
      <c r="AN59" s="11"/>
      <c r="AO59" s="11"/>
      <c r="AP59" s="11"/>
      <c r="AQ59" s="11"/>
      <c r="AR59" s="11"/>
      <c r="AS59" s="217"/>
      <c r="AT59" s="1065"/>
      <c r="AU59" s="1065"/>
      <c r="AV59" s="11"/>
      <c r="AW59" s="11"/>
      <c r="AX59" s="11"/>
      <c r="AY59" s="11"/>
      <c r="AZ59" s="11"/>
      <c r="BA59" s="11"/>
      <c r="BB59" s="11"/>
      <c r="BC59" s="22"/>
      <c r="BF59" s="902" t="s">
        <v>891</v>
      </c>
    </row>
    <row r="60" spans="5:58" ht="14.65" hidden="1" customHeight="1">
      <c r="E60" s="623">
        <v>15</v>
      </c>
      <c r="F60" s="714">
        <f t="shared" ref="F60:F91" si="10">F59</f>
        <v>0</v>
      </c>
      <c r="T60" s="645" t="b">
        <f t="shared" ref="T60:T91" si="11">T59</f>
        <v>0</v>
      </c>
      <c r="X60" s="1382"/>
      <c r="Z60" s="1382"/>
      <c r="AB60" s="388" t="str">
        <f>AB56&amp;".4"</f>
        <v>3.4</v>
      </c>
      <c r="AC60" s="389" t="s">
        <v>843</v>
      </c>
      <c r="AD60" s="388" t="s">
        <v>837</v>
      </c>
      <c r="AE60" s="25">
        <f t="shared" ref="AE60:BB60" si="12">SUM(AE61:AE65)</f>
        <v>0</v>
      </c>
      <c r="AF60" s="25">
        <f t="shared" si="12"/>
        <v>0</v>
      </c>
      <c r="AG60" s="25">
        <f t="shared" si="12"/>
        <v>0</v>
      </c>
      <c r="AH60" s="25">
        <f t="shared" si="12"/>
        <v>0</v>
      </c>
      <c r="AI60" s="386">
        <f t="shared" si="12"/>
        <v>0</v>
      </c>
      <c r="AJ60" s="1104">
        <f t="shared" si="12"/>
        <v>0</v>
      </c>
      <c r="AK60" s="1104">
        <f t="shared" si="12"/>
        <v>0</v>
      </c>
      <c r="AL60" s="25">
        <f t="shared" si="12"/>
        <v>0</v>
      </c>
      <c r="AM60" s="25">
        <f t="shared" si="12"/>
        <v>0</v>
      </c>
      <c r="AN60" s="25">
        <f t="shared" si="12"/>
        <v>0</v>
      </c>
      <c r="AO60" s="25">
        <f t="shared" si="12"/>
        <v>0</v>
      </c>
      <c r="AP60" s="25">
        <f t="shared" si="12"/>
        <v>0</v>
      </c>
      <c r="AQ60" s="25">
        <f t="shared" si="12"/>
        <v>0</v>
      </c>
      <c r="AR60" s="25">
        <f t="shared" si="12"/>
        <v>0</v>
      </c>
      <c r="AS60" s="386">
        <f t="shared" si="12"/>
        <v>0</v>
      </c>
      <c r="AT60" s="1104">
        <f t="shared" si="12"/>
        <v>0</v>
      </c>
      <c r="AU60" s="1104">
        <f t="shared" si="12"/>
        <v>0</v>
      </c>
      <c r="AV60" s="25">
        <f t="shared" si="12"/>
        <v>0</v>
      </c>
      <c r="AW60" s="25">
        <f t="shared" si="12"/>
        <v>0</v>
      </c>
      <c r="AX60" s="25">
        <f t="shared" si="12"/>
        <v>0</v>
      </c>
      <c r="AY60" s="25">
        <f t="shared" si="12"/>
        <v>0</v>
      </c>
      <c r="AZ60" s="25">
        <f t="shared" si="12"/>
        <v>0</v>
      </c>
      <c r="BA60" s="25">
        <f t="shared" si="12"/>
        <v>0</v>
      </c>
      <c r="BB60" s="25">
        <f t="shared" si="12"/>
        <v>0</v>
      </c>
      <c r="BC60" s="22"/>
      <c r="BF60" s="902" t="s">
        <v>892</v>
      </c>
    </row>
    <row r="61" spans="5:58" ht="14.65" hidden="1" customHeight="1">
      <c r="E61" s="623">
        <v>15</v>
      </c>
      <c r="F61" s="714">
        <f t="shared" si="10"/>
        <v>0</v>
      </c>
      <c r="T61" s="645" t="b">
        <f t="shared" si="11"/>
        <v>0</v>
      </c>
      <c r="X61" s="1382"/>
      <c r="Z61" s="1382"/>
      <c r="AB61" s="388" t="str">
        <f>AB60&amp;".1"</f>
        <v>3.4.1</v>
      </c>
      <c r="AC61" s="390" t="s">
        <v>846</v>
      </c>
      <c r="AD61" s="388" t="s">
        <v>837</v>
      </c>
      <c r="AE61" s="11"/>
      <c r="AF61" s="11"/>
      <c r="AG61" s="11"/>
      <c r="AH61" s="11"/>
      <c r="AI61" s="217"/>
      <c r="AJ61" s="1065"/>
      <c r="AK61" s="1065"/>
      <c r="AL61" s="11"/>
      <c r="AM61" s="11"/>
      <c r="AN61" s="11"/>
      <c r="AO61" s="11"/>
      <c r="AP61" s="11"/>
      <c r="AQ61" s="11"/>
      <c r="AR61" s="11"/>
      <c r="AS61" s="217"/>
      <c r="AT61" s="1065"/>
      <c r="AU61" s="1065"/>
      <c r="AV61" s="11"/>
      <c r="AW61" s="11"/>
      <c r="AX61" s="11"/>
      <c r="AY61" s="11"/>
      <c r="AZ61" s="11"/>
      <c r="BA61" s="11"/>
      <c r="BB61" s="11"/>
      <c r="BC61" s="22"/>
      <c r="BF61" s="902" t="s">
        <v>893</v>
      </c>
    </row>
    <row r="62" spans="5:58" ht="14.65" hidden="1" customHeight="1">
      <c r="E62" s="623">
        <v>15</v>
      </c>
      <c r="F62" s="714">
        <f t="shared" si="10"/>
        <v>0</v>
      </c>
      <c r="T62" s="645" t="b">
        <f t="shared" si="11"/>
        <v>0</v>
      </c>
      <c r="X62" s="1382"/>
      <c r="Z62" s="1382"/>
      <c r="AB62" s="388" t="str">
        <f>AB60&amp;".2"</f>
        <v>3.4.2</v>
      </c>
      <c r="AC62" s="390" t="s">
        <v>849</v>
      </c>
      <c r="AD62" s="388" t="s">
        <v>837</v>
      </c>
      <c r="AE62" s="11"/>
      <c r="AF62" s="11"/>
      <c r="AG62" s="11"/>
      <c r="AH62" s="11"/>
      <c r="AI62" s="217"/>
      <c r="AJ62" s="1065"/>
      <c r="AK62" s="1065"/>
      <c r="AL62" s="11"/>
      <c r="AM62" s="11"/>
      <c r="AN62" s="11"/>
      <c r="AO62" s="11"/>
      <c r="AP62" s="11"/>
      <c r="AQ62" s="11"/>
      <c r="AR62" s="11"/>
      <c r="AS62" s="217"/>
      <c r="AT62" s="1065"/>
      <c r="AU62" s="1065"/>
      <c r="AV62" s="11"/>
      <c r="AW62" s="11"/>
      <c r="AX62" s="11"/>
      <c r="AY62" s="11"/>
      <c r="AZ62" s="11"/>
      <c r="BA62" s="11"/>
      <c r="BB62" s="11"/>
      <c r="BC62" s="22"/>
      <c r="BF62" s="902" t="s">
        <v>894</v>
      </c>
    </row>
    <row r="63" spans="5:58" ht="14.65" hidden="1" customHeight="1">
      <c r="E63" s="623">
        <v>15</v>
      </c>
      <c r="F63" s="714">
        <f t="shared" si="10"/>
        <v>0</v>
      </c>
      <c r="T63" s="645" t="b">
        <f t="shared" si="11"/>
        <v>0</v>
      </c>
      <c r="X63" s="1382"/>
      <c r="Z63" s="1382"/>
      <c r="AB63" s="388" t="str">
        <f>AB60&amp;".3"</f>
        <v>3.4.3</v>
      </c>
      <c r="AC63" s="390" t="s">
        <v>852</v>
      </c>
      <c r="AD63" s="388" t="s">
        <v>837</v>
      </c>
      <c r="AE63" s="11"/>
      <c r="AF63" s="11"/>
      <c r="AG63" s="11"/>
      <c r="AH63" s="11"/>
      <c r="AI63" s="217"/>
      <c r="AJ63" s="1065"/>
      <c r="AK63" s="1065"/>
      <c r="AL63" s="11"/>
      <c r="AM63" s="11"/>
      <c r="AN63" s="11"/>
      <c r="AO63" s="11"/>
      <c r="AP63" s="11"/>
      <c r="AQ63" s="11"/>
      <c r="AR63" s="11"/>
      <c r="AS63" s="217"/>
      <c r="AT63" s="1065"/>
      <c r="AU63" s="1065"/>
      <c r="AV63" s="11"/>
      <c r="AW63" s="11"/>
      <c r="AX63" s="11"/>
      <c r="AY63" s="11"/>
      <c r="AZ63" s="11"/>
      <c r="BA63" s="11"/>
      <c r="BB63" s="11"/>
      <c r="BC63" s="22"/>
      <c r="BF63" s="902" t="s">
        <v>895</v>
      </c>
    </row>
    <row r="64" spans="5:58" ht="14.65" hidden="1" customHeight="1">
      <c r="E64" s="623">
        <v>15</v>
      </c>
      <c r="F64" s="714">
        <f t="shared" si="10"/>
        <v>0</v>
      </c>
      <c r="T64" s="645" t="b">
        <f t="shared" si="11"/>
        <v>0</v>
      </c>
      <c r="X64" s="1382"/>
      <c r="Z64" s="1382"/>
      <c r="AB64" s="388" t="str">
        <f>AB60&amp;".4"</f>
        <v>3.4.4</v>
      </c>
      <c r="AC64" s="390" t="s">
        <v>855</v>
      </c>
      <c r="AD64" s="388" t="s">
        <v>837</v>
      </c>
      <c r="AE64" s="11"/>
      <c r="AF64" s="11"/>
      <c r="AG64" s="11"/>
      <c r="AH64" s="11"/>
      <c r="AI64" s="217"/>
      <c r="AJ64" s="1065"/>
      <c r="AK64" s="1065"/>
      <c r="AL64" s="11"/>
      <c r="AM64" s="11"/>
      <c r="AN64" s="11"/>
      <c r="AO64" s="11"/>
      <c r="AP64" s="11"/>
      <c r="AQ64" s="11"/>
      <c r="AR64" s="11"/>
      <c r="AS64" s="217"/>
      <c r="AT64" s="1065"/>
      <c r="AU64" s="1065"/>
      <c r="AV64" s="11"/>
      <c r="AW64" s="11"/>
      <c r="AX64" s="11"/>
      <c r="AY64" s="11"/>
      <c r="AZ64" s="11"/>
      <c r="BA64" s="11"/>
      <c r="BB64" s="11"/>
      <c r="BC64" s="22"/>
      <c r="BF64" s="902" t="s">
        <v>896</v>
      </c>
    </row>
    <row r="65" spans="5:58" ht="14.65" hidden="1" customHeight="1">
      <c r="E65" s="623">
        <v>15</v>
      </c>
      <c r="F65" s="714">
        <f t="shared" si="10"/>
        <v>0</v>
      </c>
      <c r="T65" s="645" t="b">
        <f t="shared" si="11"/>
        <v>0</v>
      </c>
      <c r="X65" s="1382"/>
      <c r="Z65" s="1382"/>
      <c r="AB65" s="388" t="str">
        <f>AB60&amp;".5"</f>
        <v>3.4.5</v>
      </c>
      <c r="AC65" s="390" t="s">
        <v>858</v>
      </c>
      <c r="AD65" s="388" t="s">
        <v>837</v>
      </c>
      <c r="AE65" s="11"/>
      <c r="AF65" s="11"/>
      <c r="AG65" s="11"/>
      <c r="AH65" s="11"/>
      <c r="AI65" s="217"/>
      <c r="AJ65" s="1065"/>
      <c r="AK65" s="1065"/>
      <c r="AL65" s="11"/>
      <c r="AM65" s="11"/>
      <c r="AN65" s="11"/>
      <c r="AO65" s="11"/>
      <c r="AP65" s="11"/>
      <c r="AQ65" s="11"/>
      <c r="AR65" s="11"/>
      <c r="AS65" s="217"/>
      <c r="AT65" s="1065"/>
      <c r="AU65" s="1065"/>
      <c r="AV65" s="11"/>
      <c r="AW65" s="11"/>
      <c r="AX65" s="11"/>
      <c r="AY65" s="11"/>
      <c r="AZ65" s="11"/>
      <c r="BA65" s="11"/>
      <c r="BB65" s="11"/>
      <c r="BC65" s="22"/>
      <c r="BF65" s="902" t="s">
        <v>897</v>
      </c>
    </row>
    <row r="66" spans="5:58" ht="14.65" hidden="1" customHeight="1">
      <c r="E66" s="623">
        <v>15</v>
      </c>
      <c r="F66" s="714">
        <f t="shared" si="10"/>
        <v>0</v>
      </c>
      <c r="T66" s="645" t="b">
        <f t="shared" si="11"/>
        <v>0</v>
      </c>
      <c r="X66" s="1382"/>
      <c r="Z66" s="1382"/>
      <c r="AB66" s="388" t="str">
        <f>AB56&amp;".5"</f>
        <v>3.5</v>
      </c>
      <c r="AC66" s="389" t="s">
        <v>861</v>
      </c>
      <c r="AD66" s="388" t="s">
        <v>837</v>
      </c>
      <c r="AE66" s="11"/>
      <c r="AF66" s="11"/>
      <c r="AG66" s="11"/>
      <c r="AH66" s="11"/>
      <c r="AI66" s="217"/>
      <c r="AJ66" s="1065"/>
      <c r="AK66" s="1065"/>
      <c r="AL66" s="11"/>
      <c r="AM66" s="11"/>
      <c r="AN66" s="11"/>
      <c r="AO66" s="11"/>
      <c r="AP66" s="11"/>
      <c r="AQ66" s="11"/>
      <c r="AR66" s="11"/>
      <c r="AS66" s="217"/>
      <c r="AT66" s="1065"/>
      <c r="AU66" s="1065"/>
      <c r="AV66" s="11"/>
      <c r="AW66" s="11"/>
      <c r="AX66" s="11"/>
      <c r="AY66" s="11"/>
      <c r="AZ66" s="11"/>
      <c r="BA66" s="11"/>
      <c r="BB66" s="11"/>
      <c r="BC66" s="22"/>
      <c r="BF66" s="902" t="s">
        <v>898</v>
      </c>
    </row>
    <row r="67" spans="5:58" ht="14.65" hidden="1" customHeight="1">
      <c r="E67" s="623">
        <v>15</v>
      </c>
      <c r="F67" s="714">
        <f t="shared" si="10"/>
        <v>0</v>
      </c>
      <c r="T67" s="645" t="b">
        <f t="shared" si="11"/>
        <v>0</v>
      </c>
      <c r="X67" s="1382"/>
      <c r="Z67" s="1382"/>
      <c r="AB67" s="388" t="str">
        <f>AB56&amp;".6"</f>
        <v>3.6</v>
      </c>
      <c r="AC67" s="389" t="s">
        <v>864</v>
      </c>
      <c r="AD67" s="388" t="s">
        <v>837</v>
      </c>
      <c r="AE67" s="11"/>
      <c r="AF67" s="11"/>
      <c r="AG67" s="11"/>
      <c r="AH67" s="11"/>
      <c r="AI67" s="217"/>
      <c r="AJ67" s="1065"/>
      <c r="AK67" s="1065"/>
      <c r="AL67" s="11"/>
      <c r="AM67" s="11"/>
      <c r="AN67" s="11"/>
      <c r="AO67" s="11"/>
      <c r="AP67" s="11"/>
      <c r="AQ67" s="11"/>
      <c r="AR67" s="11"/>
      <c r="AS67" s="217"/>
      <c r="AT67" s="1065"/>
      <c r="AU67" s="1065"/>
      <c r="AV67" s="11"/>
      <c r="AW67" s="11"/>
      <c r="AX67" s="11"/>
      <c r="AY67" s="11"/>
      <c r="AZ67" s="11"/>
      <c r="BA67" s="11"/>
      <c r="BB67" s="11"/>
      <c r="BC67" s="22"/>
      <c r="BF67" s="902" t="s">
        <v>899</v>
      </c>
    </row>
    <row r="68" spans="5:58" ht="14.65" hidden="1" customHeight="1">
      <c r="E68" s="623">
        <v>15</v>
      </c>
      <c r="F68" s="714">
        <f t="shared" si="10"/>
        <v>0</v>
      </c>
      <c r="T68" s="645" t="b">
        <f t="shared" si="11"/>
        <v>0</v>
      </c>
      <c r="X68" s="1382"/>
      <c r="Z68" s="1382"/>
      <c r="AB68" s="388" t="str">
        <f>AB56&amp;".7"</f>
        <v>3.7</v>
      </c>
      <c r="AC68" s="389" t="s">
        <v>867</v>
      </c>
      <c r="AD68" s="388" t="s">
        <v>837</v>
      </c>
      <c r="AE68" s="11"/>
      <c r="AF68" s="11"/>
      <c r="AG68" s="11"/>
      <c r="AH68" s="11"/>
      <c r="AI68" s="217"/>
      <c r="AJ68" s="1065"/>
      <c r="AK68" s="1065"/>
      <c r="AL68" s="11"/>
      <c r="AM68" s="11"/>
      <c r="AN68" s="11"/>
      <c r="AO68" s="11"/>
      <c r="AP68" s="11"/>
      <c r="AQ68" s="11"/>
      <c r="AR68" s="11"/>
      <c r="AS68" s="217"/>
      <c r="AT68" s="1065"/>
      <c r="AU68" s="1065"/>
      <c r="AV68" s="11"/>
      <c r="AW68" s="11"/>
      <c r="AX68" s="11"/>
      <c r="AY68" s="11"/>
      <c r="AZ68" s="11"/>
      <c r="BA68" s="11"/>
      <c r="BB68" s="11"/>
      <c r="BC68" s="22"/>
      <c r="BF68" s="902" t="s">
        <v>900</v>
      </c>
    </row>
    <row r="69" spans="5:58" ht="14.65" hidden="1" customHeight="1">
      <c r="E69" s="623">
        <v>15</v>
      </c>
      <c r="F69" s="714">
        <f t="shared" si="10"/>
        <v>0</v>
      </c>
      <c r="T69" s="645" t="b">
        <f t="shared" si="11"/>
        <v>0</v>
      </c>
      <c r="X69" s="1382"/>
      <c r="Z69" s="1382"/>
      <c r="AB69" s="388" t="str">
        <f>AB56&amp;".8"</f>
        <v>3.8</v>
      </c>
      <c r="AC69" s="389" t="s">
        <v>870</v>
      </c>
      <c r="AD69" s="388" t="s">
        <v>837</v>
      </c>
      <c r="AE69" s="11"/>
      <c r="AF69" s="11"/>
      <c r="AG69" s="11"/>
      <c r="AH69" s="11"/>
      <c r="AI69" s="217"/>
      <c r="AJ69" s="1065"/>
      <c r="AK69" s="1065"/>
      <c r="AL69" s="11"/>
      <c r="AM69" s="11"/>
      <c r="AN69" s="11"/>
      <c r="AO69" s="11"/>
      <c r="AP69" s="11"/>
      <c r="AQ69" s="11"/>
      <c r="AR69" s="11"/>
      <c r="AS69" s="217"/>
      <c r="AT69" s="1065"/>
      <c r="AU69" s="1065"/>
      <c r="AV69" s="11"/>
      <c r="AW69" s="11"/>
      <c r="AX69" s="11"/>
      <c r="AY69" s="11"/>
      <c r="AZ69" s="11"/>
      <c r="BA69" s="11"/>
      <c r="BB69" s="11"/>
      <c r="BC69" s="22"/>
      <c r="BF69" s="902" t="s">
        <v>901</v>
      </c>
    </row>
    <row r="70" spans="5:58" s="154" customFormat="1" ht="14.65" hidden="1" customHeight="1">
      <c r="E70" s="623">
        <v>15</v>
      </c>
      <c r="F70" s="714">
        <f t="shared" si="10"/>
        <v>0</v>
      </c>
      <c r="T70" s="645" t="b">
        <f t="shared" si="11"/>
        <v>0</v>
      </c>
      <c r="X70" s="1491"/>
      <c r="Z70" s="1491"/>
      <c r="AB70" s="214">
        <v>4</v>
      </c>
      <c r="AC70" s="215" t="s">
        <v>902</v>
      </c>
      <c r="AD70" s="95" t="s">
        <v>648</v>
      </c>
      <c r="AE70" s="44">
        <f t="shared" ref="AE70:BB70" si="13">SUM(AE71:AE74)+SUM(AE80:AE83)</f>
        <v>0</v>
      </c>
      <c r="AF70" s="44">
        <f t="shared" si="13"/>
        <v>0</v>
      </c>
      <c r="AG70" s="44">
        <f t="shared" si="13"/>
        <v>0</v>
      </c>
      <c r="AH70" s="44">
        <f t="shared" si="13"/>
        <v>0</v>
      </c>
      <c r="AI70" s="229">
        <f t="shared" si="13"/>
        <v>0</v>
      </c>
      <c r="AJ70" s="1132">
        <f t="shared" si="13"/>
        <v>0</v>
      </c>
      <c r="AK70" s="1132">
        <f t="shared" si="13"/>
        <v>0</v>
      </c>
      <c r="AL70" s="44">
        <f t="shared" si="13"/>
        <v>0</v>
      </c>
      <c r="AM70" s="44">
        <f t="shared" si="13"/>
        <v>0</v>
      </c>
      <c r="AN70" s="44">
        <f t="shared" si="13"/>
        <v>0</v>
      </c>
      <c r="AO70" s="44">
        <f t="shared" si="13"/>
        <v>0</v>
      </c>
      <c r="AP70" s="44">
        <f t="shared" si="13"/>
        <v>0</v>
      </c>
      <c r="AQ70" s="44">
        <f t="shared" si="13"/>
        <v>0</v>
      </c>
      <c r="AR70" s="44">
        <f t="shared" si="13"/>
        <v>0</v>
      </c>
      <c r="AS70" s="229">
        <f t="shared" si="13"/>
        <v>0</v>
      </c>
      <c r="AT70" s="1132">
        <f t="shared" si="13"/>
        <v>0</v>
      </c>
      <c r="AU70" s="1132">
        <f t="shared" si="13"/>
        <v>0</v>
      </c>
      <c r="AV70" s="44">
        <f t="shared" si="13"/>
        <v>0</v>
      </c>
      <c r="AW70" s="44">
        <f t="shared" si="13"/>
        <v>0</v>
      </c>
      <c r="AX70" s="44">
        <f t="shared" si="13"/>
        <v>0</v>
      </c>
      <c r="AY70" s="44">
        <f t="shared" si="13"/>
        <v>0</v>
      </c>
      <c r="AZ70" s="44">
        <f t="shared" si="13"/>
        <v>0</v>
      </c>
      <c r="BA70" s="44">
        <f t="shared" si="13"/>
        <v>0</v>
      </c>
      <c r="BB70" s="44">
        <f t="shared" si="13"/>
        <v>0</v>
      </c>
      <c r="BC70" s="22"/>
      <c r="BF70" s="902" t="s">
        <v>903</v>
      </c>
    </row>
    <row r="71" spans="5:58" ht="14.65" hidden="1" customHeight="1">
      <c r="E71" s="623">
        <v>15</v>
      </c>
      <c r="F71" s="714">
        <f t="shared" si="10"/>
        <v>0</v>
      </c>
      <c r="T71" s="645" t="b">
        <f t="shared" si="11"/>
        <v>0</v>
      </c>
      <c r="X71" s="1382"/>
      <c r="Z71" s="1382"/>
      <c r="AB71" s="388" t="str">
        <f>AB70&amp;".1"</f>
        <v>4.1</v>
      </c>
      <c r="AC71" s="389" t="s">
        <v>836</v>
      </c>
      <c r="AD71" s="388" t="s">
        <v>837</v>
      </c>
      <c r="AE71" s="11"/>
      <c r="AF71" s="11"/>
      <c r="AG71" s="11"/>
      <c r="AH71" s="11"/>
      <c r="AI71" s="217"/>
      <c r="AJ71" s="1065"/>
      <c r="AK71" s="1065"/>
      <c r="AL71" s="11"/>
      <c r="AM71" s="11"/>
      <c r="AN71" s="11"/>
      <c r="AO71" s="11"/>
      <c r="AP71" s="11"/>
      <c r="AQ71" s="11"/>
      <c r="AR71" s="11"/>
      <c r="AS71" s="217"/>
      <c r="AT71" s="1065"/>
      <c r="AU71" s="1065"/>
      <c r="AV71" s="11"/>
      <c r="AW71" s="11"/>
      <c r="AX71" s="11"/>
      <c r="AY71" s="11"/>
      <c r="AZ71" s="11"/>
      <c r="BA71" s="11"/>
      <c r="BB71" s="11"/>
      <c r="BC71" s="22"/>
      <c r="BF71" s="902" t="s">
        <v>904</v>
      </c>
    </row>
    <row r="72" spans="5:58" ht="14.65" hidden="1" customHeight="1">
      <c r="E72" s="623">
        <v>15</v>
      </c>
      <c r="F72" s="714">
        <f t="shared" si="10"/>
        <v>0</v>
      </c>
      <c r="T72" s="645" t="b">
        <f t="shared" si="11"/>
        <v>0</v>
      </c>
      <c r="X72" s="1382"/>
      <c r="Z72" s="1382"/>
      <c r="AB72" s="388" t="str">
        <f>AB70&amp;".2"</f>
        <v>4.2</v>
      </c>
      <c r="AC72" s="389" t="s">
        <v>839</v>
      </c>
      <c r="AD72" s="388" t="s">
        <v>837</v>
      </c>
      <c r="AE72" s="11"/>
      <c r="AF72" s="11"/>
      <c r="AG72" s="11"/>
      <c r="AH72" s="11"/>
      <c r="AI72" s="217"/>
      <c r="AJ72" s="1065"/>
      <c r="AK72" s="1065"/>
      <c r="AL72" s="11"/>
      <c r="AM72" s="11"/>
      <c r="AN72" s="11"/>
      <c r="AO72" s="11"/>
      <c r="AP72" s="11"/>
      <c r="AQ72" s="11"/>
      <c r="AR72" s="11"/>
      <c r="AS72" s="217"/>
      <c r="AT72" s="1065"/>
      <c r="AU72" s="1065"/>
      <c r="AV72" s="11"/>
      <c r="AW72" s="11"/>
      <c r="AX72" s="11"/>
      <c r="AY72" s="11"/>
      <c r="AZ72" s="11"/>
      <c r="BA72" s="11"/>
      <c r="BB72" s="11"/>
      <c r="BC72" s="22"/>
      <c r="BF72" s="902" t="s">
        <v>905</v>
      </c>
    </row>
    <row r="73" spans="5:58" ht="14.65" hidden="1" customHeight="1">
      <c r="E73" s="623">
        <v>15</v>
      </c>
      <c r="F73" s="714">
        <f t="shared" si="10"/>
        <v>0</v>
      </c>
      <c r="T73" s="645" t="b">
        <f t="shared" si="11"/>
        <v>0</v>
      </c>
      <c r="X73" s="1382"/>
      <c r="Z73" s="1382"/>
      <c r="AB73" s="388" t="str">
        <f>AB70&amp;".3"</f>
        <v>4.3</v>
      </c>
      <c r="AC73" s="389" t="s">
        <v>841</v>
      </c>
      <c r="AD73" s="388" t="s">
        <v>837</v>
      </c>
      <c r="AE73" s="11"/>
      <c r="AF73" s="11"/>
      <c r="AG73" s="11"/>
      <c r="AH73" s="11"/>
      <c r="AI73" s="217"/>
      <c r="AJ73" s="1065"/>
      <c r="AK73" s="1065"/>
      <c r="AL73" s="11"/>
      <c r="AM73" s="11"/>
      <c r="AN73" s="11"/>
      <c r="AO73" s="11"/>
      <c r="AP73" s="11"/>
      <c r="AQ73" s="11"/>
      <c r="AR73" s="11"/>
      <c r="AS73" s="217"/>
      <c r="AT73" s="1065"/>
      <c r="AU73" s="1065"/>
      <c r="AV73" s="11"/>
      <c r="AW73" s="11"/>
      <c r="AX73" s="11"/>
      <c r="AY73" s="11"/>
      <c r="AZ73" s="11"/>
      <c r="BA73" s="11"/>
      <c r="BB73" s="11"/>
      <c r="BC73" s="22"/>
      <c r="BF73" s="902" t="s">
        <v>906</v>
      </c>
    </row>
    <row r="74" spans="5:58" ht="14.65" hidden="1" customHeight="1">
      <c r="E74" s="623">
        <v>15</v>
      </c>
      <c r="F74" s="714">
        <f t="shared" si="10"/>
        <v>0</v>
      </c>
      <c r="T74" s="645" t="b">
        <f t="shared" si="11"/>
        <v>0</v>
      </c>
      <c r="X74" s="1382"/>
      <c r="Z74" s="1382"/>
      <c r="AB74" s="388" t="str">
        <f>AB70&amp;".4"</f>
        <v>4.4</v>
      </c>
      <c r="AC74" s="389" t="s">
        <v>843</v>
      </c>
      <c r="AD74" s="388" t="s">
        <v>837</v>
      </c>
      <c r="AE74" s="25">
        <f t="shared" ref="AE74:BB74" si="14">SUM(AE75:AE79)</f>
        <v>0</v>
      </c>
      <c r="AF74" s="25">
        <f t="shared" si="14"/>
        <v>0</v>
      </c>
      <c r="AG74" s="25">
        <f t="shared" si="14"/>
        <v>0</v>
      </c>
      <c r="AH74" s="25">
        <f t="shared" si="14"/>
        <v>0</v>
      </c>
      <c r="AI74" s="386">
        <f t="shared" si="14"/>
        <v>0</v>
      </c>
      <c r="AJ74" s="1104">
        <f t="shared" si="14"/>
        <v>0</v>
      </c>
      <c r="AK74" s="1104">
        <f t="shared" si="14"/>
        <v>0</v>
      </c>
      <c r="AL74" s="25">
        <f t="shared" si="14"/>
        <v>0</v>
      </c>
      <c r="AM74" s="25">
        <f t="shared" si="14"/>
        <v>0</v>
      </c>
      <c r="AN74" s="25">
        <f t="shared" si="14"/>
        <v>0</v>
      </c>
      <c r="AO74" s="25">
        <f t="shared" si="14"/>
        <v>0</v>
      </c>
      <c r="AP74" s="25">
        <f t="shared" si="14"/>
        <v>0</v>
      </c>
      <c r="AQ74" s="25">
        <f t="shared" si="14"/>
        <v>0</v>
      </c>
      <c r="AR74" s="25">
        <f t="shared" si="14"/>
        <v>0</v>
      </c>
      <c r="AS74" s="386">
        <f t="shared" si="14"/>
        <v>0</v>
      </c>
      <c r="AT74" s="1104">
        <f t="shared" si="14"/>
        <v>0</v>
      </c>
      <c r="AU74" s="1104">
        <f t="shared" si="14"/>
        <v>0</v>
      </c>
      <c r="AV74" s="25">
        <f t="shared" si="14"/>
        <v>0</v>
      </c>
      <c r="AW74" s="25">
        <f t="shared" si="14"/>
        <v>0</v>
      </c>
      <c r="AX74" s="25">
        <f t="shared" si="14"/>
        <v>0</v>
      </c>
      <c r="AY74" s="25">
        <f t="shared" si="14"/>
        <v>0</v>
      </c>
      <c r="AZ74" s="25">
        <f t="shared" si="14"/>
        <v>0</v>
      </c>
      <c r="BA74" s="25">
        <f t="shared" si="14"/>
        <v>0</v>
      </c>
      <c r="BB74" s="25">
        <f t="shared" si="14"/>
        <v>0</v>
      </c>
      <c r="BC74" s="22"/>
      <c r="BF74" s="902" t="s">
        <v>907</v>
      </c>
    </row>
    <row r="75" spans="5:58" ht="14.65" hidden="1" customHeight="1">
      <c r="E75" s="623">
        <v>15</v>
      </c>
      <c r="F75" s="714">
        <f t="shared" si="10"/>
        <v>0</v>
      </c>
      <c r="T75" s="645" t="b">
        <f t="shared" si="11"/>
        <v>0</v>
      </c>
      <c r="X75" s="1382"/>
      <c r="Z75" s="1382"/>
      <c r="AB75" s="388" t="str">
        <f>AB74&amp;".1"</f>
        <v>4.4.1</v>
      </c>
      <c r="AC75" s="390" t="s">
        <v>846</v>
      </c>
      <c r="AD75" s="388" t="s">
        <v>837</v>
      </c>
      <c r="AE75" s="11"/>
      <c r="AF75" s="11"/>
      <c r="AG75" s="11"/>
      <c r="AH75" s="11"/>
      <c r="AI75" s="217"/>
      <c r="AJ75" s="1065"/>
      <c r="AK75" s="1065"/>
      <c r="AL75" s="11"/>
      <c r="AM75" s="11"/>
      <c r="AN75" s="11"/>
      <c r="AO75" s="11"/>
      <c r="AP75" s="11"/>
      <c r="AQ75" s="11"/>
      <c r="AR75" s="11"/>
      <c r="AS75" s="217"/>
      <c r="AT75" s="1065"/>
      <c r="AU75" s="1065"/>
      <c r="AV75" s="11"/>
      <c r="AW75" s="11"/>
      <c r="AX75" s="11"/>
      <c r="AY75" s="11"/>
      <c r="AZ75" s="11"/>
      <c r="BA75" s="11"/>
      <c r="BB75" s="11"/>
      <c r="BC75" s="22"/>
      <c r="BF75" s="902" t="s">
        <v>908</v>
      </c>
    </row>
    <row r="76" spans="5:58" ht="14.65" hidden="1" customHeight="1">
      <c r="E76" s="623">
        <v>15</v>
      </c>
      <c r="F76" s="714">
        <f t="shared" si="10"/>
        <v>0</v>
      </c>
      <c r="T76" s="645" t="b">
        <f t="shared" si="11"/>
        <v>0</v>
      </c>
      <c r="X76" s="1382"/>
      <c r="Z76" s="1382"/>
      <c r="AB76" s="388" t="str">
        <f>AB74&amp;".2"</f>
        <v>4.4.2</v>
      </c>
      <c r="AC76" s="390" t="s">
        <v>849</v>
      </c>
      <c r="AD76" s="388" t="s">
        <v>837</v>
      </c>
      <c r="AE76" s="11"/>
      <c r="AF76" s="11"/>
      <c r="AG76" s="11"/>
      <c r="AH76" s="11"/>
      <c r="AI76" s="217"/>
      <c r="AJ76" s="1065"/>
      <c r="AK76" s="1065"/>
      <c r="AL76" s="11"/>
      <c r="AM76" s="11"/>
      <c r="AN76" s="11"/>
      <c r="AO76" s="11"/>
      <c r="AP76" s="11"/>
      <c r="AQ76" s="11"/>
      <c r="AR76" s="11"/>
      <c r="AS76" s="217"/>
      <c r="AT76" s="1065"/>
      <c r="AU76" s="1065"/>
      <c r="AV76" s="11"/>
      <c r="AW76" s="11"/>
      <c r="AX76" s="11"/>
      <c r="AY76" s="11"/>
      <c r="AZ76" s="11"/>
      <c r="BA76" s="11"/>
      <c r="BB76" s="11"/>
      <c r="BC76" s="22"/>
      <c r="BF76" s="902" t="s">
        <v>909</v>
      </c>
    </row>
    <row r="77" spans="5:58" ht="14.65" hidden="1" customHeight="1">
      <c r="E77" s="623">
        <v>15</v>
      </c>
      <c r="F77" s="714">
        <f t="shared" si="10"/>
        <v>0</v>
      </c>
      <c r="T77" s="645" t="b">
        <f t="shared" si="11"/>
        <v>0</v>
      </c>
      <c r="X77" s="1382"/>
      <c r="Z77" s="1382"/>
      <c r="AB77" s="388" t="str">
        <f>AB74&amp;".3"</f>
        <v>4.4.3</v>
      </c>
      <c r="AC77" s="390" t="s">
        <v>852</v>
      </c>
      <c r="AD77" s="388" t="s">
        <v>837</v>
      </c>
      <c r="AE77" s="11"/>
      <c r="AF77" s="11"/>
      <c r="AG77" s="11"/>
      <c r="AH77" s="11"/>
      <c r="AI77" s="217"/>
      <c r="AJ77" s="1065"/>
      <c r="AK77" s="1065"/>
      <c r="AL77" s="11"/>
      <c r="AM77" s="11"/>
      <c r="AN77" s="11"/>
      <c r="AO77" s="11"/>
      <c r="AP77" s="11"/>
      <c r="AQ77" s="11"/>
      <c r="AR77" s="11"/>
      <c r="AS77" s="217"/>
      <c r="AT77" s="1065"/>
      <c r="AU77" s="1065"/>
      <c r="AV77" s="11"/>
      <c r="AW77" s="11"/>
      <c r="AX77" s="11"/>
      <c r="AY77" s="11"/>
      <c r="AZ77" s="11"/>
      <c r="BA77" s="11"/>
      <c r="BB77" s="11"/>
      <c r="BC77" s="22"/>
      <c r="BF77" s="902" t="s">
        <v>910</v>
      </c>
    </row>
    <row r="78" spans="5:58" ht="14.65" hidden="1" customHeight="1">
      <c r="E78" s="623">
        <v>15</v>
      </c>
      <c r="F78" s="714">
        <f t="shared" si="10"/>
        <v>0</v>
      </c>
      <c r="T78" s="645" t="b">
        <f t="shared" si="11"/>
        <v>0</v>
      </c>
      <c r="X78" s="1382"/>
      <c r="Z78" s="1382"/>
      <c r="AB78" s="388" t="str">
        <f>AB74&amp;".4"</f>
        <v>4.4.4</v>
      </c>
      <c r="AC78" s="390" t="s">
        <v>855</v>
      </c>
      <c r="AD78" s="388" t="s">
        <v>837</v>
      </c>
      <c r="AE78" s="11"/>
      <c r="AF78" s="11"/>
      <c r="AG78" s="11"/>
      <c r="AH78" s="11"/>
      <c r="AI78" s="217"/>
      <c r="AJ78" s="1065"/>
      <c r="AK78" s="1065"/>
      <c r="AL78" s="11"/>
      <c r="AM78" s="11"/>
      <c r="AN78" s="11"/>
      <c r="AO78" s="11"/>
      <c r="AP78" s="11"/>
      <c r="AQ78" s="11"/>
      <c r="AR78" s="11"/>
      <c r="AS78" s="217"/>
      <c r="AT78" s="1065"/>
      <c r="AU78" s="1065"/>
      <c r="AV78" s="11"/>
      <c r="AW78" s="11"/>
      <c r="AX78" s="11"/>
      <c r="AY78" s="11"/>
      <c r="AZ78" s="11"/>
      <c r="BA78" s="11"/>
      <c r="BB78" s="11"/>
      <c r="BC78" s="22"/>
      <c r="BF78" s="902" t="s">
        <v>911</v>
      </c>
    </row>
    <row r="79" spans="5:58" ht="14.65" hidden="1" customHeight="1">
      <c r="E79" s="623">
        <v>15</v>
      </c>
      <c r="F79" s="714">
        <f t="shared" si="10"/>
        <v>0</v>
      </c>
      <c r="T79" s="645" t="b">
        <f t="shared" si="11"/>
        <v>0</v>
      </c>
      <c r="X79" s="1382"/>
      <c r="Z79" s="1382"/>
      <c r="AB79" s="388" t="str">
        <f>AB74&amp;".5"</f>
        <v>4.4.5</v>
      </c>
      <c r="AC79" s="390" t="s">
        <v>858</v>
      </c>
      <c r="AD79" s="388" t="s">
        <v>837</v>
      </c>
      <c r="AE79" s="11"/>
      <c r="AF79" s="11"/>
      <c r="AG79" s="11"/>
      <c r="AH79" s="11"/>
      <c r="AI79" s="217"/>
      <c r="AJ79" s="1065"/>
      <c r="AK79" s="1065"/>
      <c r="AL79" s="11"/>
      <c r="AM79" s="11"/>
      <c r="AN79" s="11"/>
      <c r="AO79" s="11"/>
      <c r="AP79" s="11"/>
      <c r="AQ79" s="11"/>
      <c r="AR79" s="11"/>
      <c r="AS79" s="217"/>
      <c r="AT79" s="1065"/>
      <c r="AU79" s="1065"/>
      <c r="AV79" s="11"/>
      <c r="AW79" s="11"/>
      <c r="AX79" s="11"/>
      <c r="AY79" s="11"/>
      <c r="AZ79" s="11"/>
      <c r="BA79" s="11"/>
      <c r="BB79" s="11"/>
      <c r="BC79" s="22"/>
      <c r="BF79" s="902" t="s">
        <v>912</v>
      </c>
    </row>
    <row r="80" spans="5:58" ht="14.65" hidden="1" customHeight="1">
      <c r="E80" s="623">
        <v>15</v>
      </c>
      <c r="F80" s="714">
        <f t="shared" si="10"/>
        <v>0</v>
      </c>
      <c r="T80" s="645" t="b">
        <f t="shared" si="11"/>
        <v>0</v>
      </c>
      <c r="X80" s="1382"/>
      <c r="Z80" s="1382"/>
      <c r="AB80" s="388" t="str">
        <f>AB70&amp;".5"</f>
        <v>4.5</v>
      </c>
      <c r="AC80" s="389" t="s">
        <v>861</v>
      </c>
      <c r="AD80" s="388" t="s">
        <v>837</v>
      </c>
      <c r="AE80" s="11"/>
      <c r="AF80" s="11"/>
      <c r="AG80" s="11"/>
      <c r="AH80" s="11"/>
      <c r="AI80" s="217"/>
      <c r="AJ80" s="1065"/>
      <c r="AK80" s="1065"/>
      <c r="AL80" s="11"/>
      <c r="AM80" s="11"/>
      <c r="AN80" s="11"/>
      <c r="AO80" s="11"/>
      <c r="AP80" s="11"/>
      <c r="AQ80" s="11"/>
      <c r="AR80" s="11"/>
      <c r="AS80" s="217"/>
      <c r="AT80" s="1065"/>
      <c r="AU80" s="1065"/>
      <c r="AV80" s="11"/>
      <c r="AW80" s="11"/>
      <c r="AX80" s="11"/>
      <c r="AY80" s="11"/>
      <c r="AZ80" s="11"/>
      <c r="BA80" s="11"/>
      <c r="BB80" s="11"/>
      <c r="BC80" s="22"/>
      <c r="BF80" s="902" t="s">
        <v>913</v>
      </c>
    </row>
    <row r="81" spans="5:58" ht="14.65" hidden="1" customHeight="1">
      <c r="E81" s="623">
        <v>15</v>
      </c>
      <c r="F81" s="714">
        <f t="shared" si="10"/>
        <v>0</v>
      </c>
      <c r="T81" s="645" t="b">
        <f t="shared" si="11"/>
        <v>0</v>
      </c>
      <c r="X81" s="1382"/>
      <c r="Z81" s="1382"/>
      <c r="AB81" s="388" t="str">
        <f>AB70&amp;".6"</f>
        <v>4.6</v>
      </c>
      <c r="AC81" s="389" t="s">
        <v>864</v>
      </c>
      <c r="AD81" s="388" t="s">
        <v>837</v>
      </c>
      <c r="AE81" s="11"/>
      <c r="AF81" s="11"/>
      <c r="AG81" s="11"/>
      <c r="AH81" s="11"/>
      <c r="AI81" s="217"/>
      <c r="AJ81" s="1065"/>
      <c r="AK81" s="1065"/>
      <c r="AL81" s="11"/>
      <c r="AM81" s="11"/>
      <c r="AN81" s="11"/>
      <c r="AO81" s="11"/>
      <c r="AP81" s="11"/>
      <c r="AQ81" s="11"/>
      <c r="AR81" s="11"/>
      <c r="AS81" s="217"/>
      <c r="AT81" s="1065"/>
      <c r="AU81" s="1065"/>
      <c r="AV81" s="11"/>
      <c r="AW81" s="11"/>
      <c r="AX81" s="11"/>
      <c r="AY81" s="11"/>
      <c r="AZ81" s="11"/>
      <c r="BA81" s="11"/>
      <c r="BB81" s="11"/>
      <c r="BC81" s="22"/>
      <c r="BF81" s="902" t="s">
        <v>914</v>
      </c>
    </row>
    <row r="82" spans="5:58" ht="14.65" hidden="1" customHeight="1">
      <c r="E82" s="623">
        <v>15</v>
      </c>
      <c r="F82" s="714">
        <f t="shared" si="10"/>
        <v>0</v>
      </c>
      <c r="T82" s="645" t="b">
        <f t="shared" si="11"/>
        <v>0</v>
      </c>
      <c r="X82" s="1382"/>
      <c r="Z82" s="1382"/>
      <c r="AB82" s="388" t="str">
        <f>AB70&amp;".7"</f>
        <v>4.7</v>
      </c>
      <c r="AC82" s="389" t="s">
        <v>867</v>
      </c>
      <c r="AD82" s="388" t="s">
        <v>837</v>
      </c>
      <c r="AE82" s="11"/>
      <c r="AF82" s="11"/>
      <c r="AG82" s="11"/>
      <c r="AH82" s="11"/>
      <c r="AI82" s="217"/>
      <c r="AJ82" s="1065"/>
      <c r="AK82" s="1065"/>
      <c r="AL82" s="11"/>
      <c r="AM82" s="11"/>
      <c r="AN82" s="11"/>
      <c r="AO82" s="11"/>
      <c r="AP82" s="11"/>
      <c r="AQ82" s="11"/>
      <c r="AR82" s="11"/>
      <c r="AS82" s="217"/>
      <c r="AT82" s="1065"/>
      <c r="AU82" s="1065"/>
      <c r="AV82" s="11"/>
      <c r="AW82" s="11"/>
      <c r="AX82" s="11"/>
      <c r="AY82" s="11"/>
      <c r="AZ82" s="11"/>
      <c r="BA82" s="11"/>
      <c r="BB82" s="11"/>
      <c r="BC82" s="22"/>
      <c r="BF82" s="902" t="s">
        <v>915</v>
      </c>
    </row>
    <row r="83" spans="5:58" ht="14.65" hidden="1" customHeight="1">
      <c r="E83" s="623">
        <v>15</v>
      </c>
      <c r="F83" s="714">
        <f t="shared" si="10"/>
        <v>0</v>
      </c>
      <c r="T83" s="645" t="b">
        <f t="shared" si="11"/>
        <v>0</v>
      </c>
      <c r="X83" s="1382"/>
      <c r="Z83" s="1382"/>
      <c r="AB83" s="388" t="str">
        <f>AB70&amp;".8"</f>
        <v>4.8</v>
      </c>
      <c r="AC83" s="389" t="s">
        <v>870</v>
      </c>
      <c r="AD83" s="388" t="s">
        <v>837</v>
      </c>
      <c r="AE83" s="11"/>
      <c r="AF83" s="11"/>
      <c r="AG83" s="11"/>
      <c r="AH83" s="11"/>
      <c r="AI83" s="217"/>
      <c r="AJ83" s="1065"/>
      <c r="AK83" s="1065"/>
      <c r="AL83" s="11"/>
      <c r="AM83" s="11"/>
      <c r="AN83" s="11"/>
      <c r="AO83" s="11"/>
      <c r="AP83" s="11"/>
      <c r="AQ83" s="11"/>
      <c r="AR83" s="11"/>
      <c r="AS83" s="217"/>
      <c r="AT83" s="1065"/>
      <c r="AU83" s="1065"/>
      <c r="AV83" s="11"/>
      <c r="AW83" s="11"/>
      <c r="AX83" s="11"/>
      <c r="AY83" s="11"/>
      <c r="AZ83" s="11"/>
      <c r="BA83" s="11"/>
      <c r="BB83" s="11"/>
      <c r="BC83" s="22"/>
      <c r="BF83" s="902" t="s">
        <v>916</v>
      </c>
    </row>
    <row r="84" spans="5:58" s="154" customFormat="1" ht="22.15" hidden="1" customHeight="1">
      <c r="E84" s="623">
        <v>22.8</v>
      </c>
      <c r="F84" s="714">
        <f t="shared" si="10"/>
        <v>0</v>
      </c>
      <c r="T84" s="645" t="b">
        <f t="shared" si="11"/>
        <v>0</v>
      </c>
      <c r="X84" s="1491"/>
      <c r="Z84" s="1491"/>
      <c r="AB84" s="214">
        <v>5</v>
      </c>
      <c r="AC84" s="215" t="s">
        <v>917</v>
      </c>
      <c r="AD84" s="95" t="s">
        <v>648</v>
      </c>
      <c r="AE84" s="44">
        <f t="shared" ref="AE84:BB84" si="15">SUM(AE85:AE88)+SUM(AE94:AE97)</f>
        <v>0</v>
      </c>
      <c r="AF84" s="44">
        <f t="shared" si="15"/>
        <v>0</v>
      </c>
      <c r="AG84" s="44">
        <f t="shared" si="15"/>
        <v>0</v>
      </c>
      <c r="AH84" s="44">
        <f t="shared" si="15"/>
        <v>0</v>
      </c>
      <c r="AI84" s="229">
        <f t="shared" si="15"/>
        <v>0</v>
      </c>
      <c r="AJ84" s="1132">
        <f t="shared" si="15"/>
        <v>0</v>
      </c>
      <c r="AK84" s="1132">
        <f t="shared" si="15"/>
        <v>0</v>
      </c>
      <c r="AL84" s="44">
        <f t="shared" si="15"/>
        <v>0</v>
      </c>
      <c r="AM84" s="44">
        <f t="shared" si="15"/>
        <v>0</v>
      </c>
      <c r="AN84" s="44">
        <f t="shared" si="15"/>
        <v>0</v>
      </c>
      <c r="AO84" s="44">
        <f t="shared" si="15"/>
        <v>0</v>
      </c>
      <c r="AP84" s="44">
        <f t="shared" si="15"/>
        <v>0</v>
      </c>
      <c r="AQ84" s="44">
        <f t="shared" si="15"/>
        <v>0</v>
      </c>
      <c r="AR84" s="44">
        <f t="shared" si="15"/>
        <v>0</v>
      </c>
      <c r="AS84" s="229">
        <f t="shared" si="15"/>
        <v>0</v>
      </c>
      <c r="AT84" s="1132">
        <f t="shared" si="15"/>
        <v>0</v>
      </c>
      <c r="AU84" s="1132">
        <f t="shared" si="15"/>
        <v>0</v>
      </c>
      <c r="AV84" s="44">
        <f t="shared" si="15"/>
        <v>0</v>
      </c>
      <c r="AW84" s="44">
        <f t="shared" si="15"/>
        <v>0</v>
      </c>
      <c r="AX84" s="44">
        <f t="shared" si="15"/>
        <v>0</v>
      </c>
      <c r="AY84" s="44">
        <f t="shared" si="15"/>
        <v>0</v>
      </c>
      <c r="AZ84" s="44">
        <f t="shared" si="15"/>
        <v>0</v>
      </c>
      <c r="BA84" s="44">
        <f t="shared" si="15"/>
        <v>0</v>
      </c>
      <c r="BB84" s="44">
        <f t="shared" si="15"/>
        <v>0</v>
      </c>
      <c r="BC84" s="22"/>
      <c r="BF84" s="902" t="s">
        <v>918</v>
      </c>
    </row>
    <row r="85" spans="5:58" ht="14.65" hidden="1" customHeight="1">
      <c r="E85" s="623">
        <v>15</v>
      </c>
      <c r="F85" s="714">
        <f t="shared" si="10"/>
        <v>0</v>
      </c>
      <c r="T85" s="645" t="b">
        <f t="shared" si="11"/>
        <v>0</v>
      </c>
      <c r="X85" s="1382"/>
      <c r="Z85" s="1382"/>
      <c r="AB85" s="385" t="str">
        <f>AB84&amp;".1"</f>
        <v>5.1</v>
      </c>
      <c r="AC85" s="377" t="s">
        <v>836</v>
      </c>
      <c r="AD85" s="385" t="s">
        <v>837</v>
      </c>
      <c r="AE85" s="25">
        <f t="shared" ref="AE85:BB85" si="16">(AE29*2+AE43+AE57-AE71)/2</f>
        <v>0</v>
      </c>
      <c r="AF85" s="25">
        <f t="shared" si="16"/>
        <v>0</v>
      </c>
      <c r="AG85" s="25">
        <f t="shared" si="16"/>
        <v>0</v>
      </c>
      <c r="AH85" s="25">
        <f t="shared" si="16"/>
        <v>0</v>
      </c>
      <c r="AI85" s="386">
        <f t="shared" si="16"/>
        <v>0</v>
      </c>
      <c r="AJ85" s="1104">
        <f t="shared" si="16"/>
        <v>0</v>
      </c>
      <c r="AK85" s="1104">
        <f t="shared" si="16"/>
        <v>0</v>
      </c>
      <c r="AL85" s="25">
        <f t="shared" si="16"/>
        <v>0</v>
      </c>
      <c r="AM85" s="25">
        <f t="shared" si="16"/>
        <v>0</v>
      </c>
      <c r="AN85" s="25">
        <f t="shared" si="16"/>
        <v>0</v>
      </c>
      <c r="AO85" s="25">
        <f t="shared" si="16"/>
        <v>0</v>
      </c>
      <c r="AP85" s="25">
        <f t="shared" si="16"/>
        <v>0</v>
      </c>
      <c r="AQ85" s="25">
        <f t="shared" si="16"/>
        <v>0</v>
      </c>
      <c r="AR85" s="25">
        <f t="shared" si="16"/>
        <v>0</v>
      </c>
      <c r="AS85" s="386">
        <f t="shared" si="16"/>
        <v>0</v>
      </c>
      <c r="AT85" s="1104">
        <f t="shared" si="16"/>
        <v>0</v>
      </c>
      <c r="AU85" s="1104">
        <f t="shared" si="16"/>
        <v>0</v>
      </c>
      <c r="AV85" s="25">
        <f t="shared" si="16"/>
        <v>0</v>
      </c>
      <c r="AW85" s="25">
        <f t="shared" si="16"/>
        <v>0</v>
      </c>
      <c r="AX85" s="25">
        <f t="shared" si="16"/>
        <v>0</v>
      </c>
      <c r="AY85" s="25">
        <f t="shared" si="16"/>
        <v>0</v>
      </c>
      <c r="AZ85" s="25">
        <f t="shared" si="16"/>
        <v>0</v>
      </c>
      <c r="BA85" s="25">
        <f t="shared" si="16"/>
        <v>0</v>
      </c>
      <c r="BB85" s="25">
        <f t="shared" si="16"/>
        <v>0</v>
      </c>
      <c r="BC85" s="48"/>
      <c r="BF85" s="902" t="s">
        <v>919</v>
      </c>
    </row>
    <row r="86" spans="5:58" ht="14.65" hidden="1" customHeight="1">
      <c r="E86" s="623">
        <v>15</v>
      </c>
      <c r="F86" s="714">
        <f t="shared" si="10"/>
        <v>0</v>
      </c>
      <c r="T86" s="645" t="b">
        <f t="shared" si="11"/>
        <v>0</v>
      </c>
      <c r="X86" s="1382"/>
      <c r="Z86" s="1382"/>
      <c r="AB86" s="385" t="str">
        <f>AB84&amp;".2"</f>
        <v>5.2</v>
      </c>
      <c r="AC86" s="377" t="s">
        <v>839</v>
      </c>
      <c r="AD86" s="385" t="s">
        <v>837</v>
      </c>
      <c r="AE86" s="25">
        <f t="shared" ref="AE86:BB86" si="17">(AE30*2+AE44+AE58-AE72)/2</f>
        <v>0</v>
      </c>
      <c r="AF86" s="25">
        <f t="shared" si="17"/>
        <v>0</v>
      </c>
      <c r="AG86" s="25">
        <f t="shared" si="17"/>
        <v>0</v>
      </c>
      <c r="AH86" s="25">
        <f t="shared" si="17"/>
        <v>0</v>
      </c>
      <c r="AI86" s="386">
        <f t="shared" si="17"/>
        <v>0</v>
      </c>
      <c r="AJ86" s="1104">
        <f t="shared" si="17"/>
        <v>0</v>
      </c>
      <c r="AK86" s="1104">
        <f t="shared" si="17"/>
        <v>0</v>
      </c>
      <c r="AL86" s="25">
        <f t="shared" si="17"/>
        <v>0</v>
      </c>
      <c r="AM86" s="25">
        <f t="shared" si="17"/>
        <v>0</v>
      </c>
      <c r="AN86" s="25">
        <f t="shared" si="17"/>
        <v>0</v>
      </c>
      <c r="AO86" s="25">
        <f t="shared" si="17"/>
        <v>0</v>
      </c>
      <c r="AP86" s="25">
        <f t="shared" si="17"/>
        <v>0</v>
      </c>
      <c r="AQ86" s="25">
        <f t="shared" si="17"/>
        <v>0</v>
      </c>
      <c r="AR86" s="25">
        <f t="shared" si="17"/>
        <v>0</v>
      </c>
      <c r="AS86" s="386">
        <f t="shared" si="17"/>
        <v>0</v>
      </c>
      <c r="AT86" s="1104">
        <f t="shared" si="17"/>
        <v>0</v>
      </c>
      <c r="AU86" s="1104">
        <f t="shared" si="17"/>
        <v>0</v>
      </c>
      <c r="AV86" s="25">
        <f t="shared" si="17"/>
        <v>0</v>
      </c>
      <c r="AW86" s="25">
        <f t="shared" si="17"/>
        <v>0</v>
      </c>
      <c r="AX86" s="25">
        <f t="shared" si="17"/>
        <v>0</v>
      </c>
      <c r="AY86" s="25">
        <f t="shared" si="17"/>
        <v>0</v>
      </c>
      <c r="AZ86" s="25">
        <f t="shared" si="17"/>
        <v>0</v>
      </c>
      <c r="BA86" s="25">
        <f t="shared" si="17"/>
        <v>0</v>
      </c>
      <c r="BB86" s="25">
        <f t="shared" si="17"/>
        <v>0</v>
      </c>
      <c r="BC86" s="48"/>
      <c r="BF86" s="902" t="s">
        <v>920</v>
      </c>
    </row>
    <row r="87" spans="5:58" ht="14.65" hidden="1" customHeight="1">
      <c r="E87" s="623">
        <v>15</v>
      </c>
      <c r="F87" s="714">
        <f t="shared" si="10"/>
        <v>0</v>
      </c>
      <c r="T87" s="645" t="b">
        <f t="shared" si="11"/>
        <v>0</v>
      </c>
      <c r="X87" s="1382"/>
      <c r="Z87" s="1382"/>
      <c r="AB87" s="385" t="str">
        <f>AB84&amp;".3"</f>
        <v>5.3</v>
      </c>
      <c r="AC87" s="377" t="s">
        <v>841</v>
      </c>
      <c r="AD87" s="385" t="s">
        <v>837</v>
      </c>
      <c r="AE87" s="25">
        <f t="shared" ref="AE87:BB87" si="18">(AE31*2+AE45+AE59-AE73)/2</f>
        <v>0</v>
      </c>
      <c r="AF87" s="25">
        <f t="shared" si="18"/>
        <v>0</v>
      </c>
      <c r="AG87" s="25">
        <f t="shared" si="18"/>
        <v>0</v>
      </c>
      <c r="AH87" s="25">
        <f t="shared" si="18"/>
        <v>0</v>
      </c>
      <c r="AI87" s="386">
        <f t="shared" si="18"/>
        <v>0</v>
      </c>
      <c r="AJ87" s="1104">
        <f t="shared" si="18"/>
        <v>0</v>
      </c>
      <c r="AK87" s="1104">
        <f t="shared" si="18"/>
        <v>0</v>
      </c>
      <c r="AL87" s="25">
        <f t="shared" si="18"/>
        <v>0</v>
      </c>
      <c r="AM87" s="25">
        <f t="shared" si="18"/>
        <v>0</v>
      </c>
      <c r="AN87" s="25">
        <f t="shared" si="18"/>
        <v>0</v>
      </c>
      <c r="AO87" s="25">
        <f t="shared" si="18"/>
        <v>0</v>
      </c>
      <c r="AP87" s="25">
        <f t="shared" si="18"/>
        <v>0</v>
      </c>
      <c r="AQ87" s="25">
        <f t="shared" si="18"/>
        <v>0</v>
      </c>
      <c r="AR87" s="25">
        <f t="shared" si="18"/>
        <v>0</v>
      </c>
      <c r="AS87" s="386">
        <f t="shared" si="18"/>
        <v>0</v>
      </c>
      <c r="AT87" s="1104">
        <f t="shared" si="18"/>
        <v>0</v>
      </c>
      <c r="AU87" s="1104">
        <f t="shared" si="18"/>
        <v>0</v>
      </c>
      <c r="AV87" s="25">
        <f t="shared" si="18"/>
        <v>0</v>
      </c>
      <c r="AW87" s="25">
        <f t="shared" si="18"/>
        <v>0</v>
      </c>
      <c r="AX87" s="25">
        <f t="shared" si="18"/>
        <v>0</v>
      </c>
      <c r="AY87" s="25">
        <f t="shared" si="18"/>
        <v>0</v>
      </c>
      <c r="AZ87" s="25">
        <f t="shared" si="18"/>
        <v>0</v>
      </c>
      <c r="BA87" s="25">
        <f t="shared" si="18"/>
        <v>0</v>
      </c>
      <c r="BB87" s="25">
        <f t="shared" si="18"/>
        <v>0</v>
      </c>
      <c r="BC87" s="48"/>
      <c r="BF87" s="902" t="s">
        <v>921</v>
      </c>
    </row>
    <row r="88" spans="5:58" ht="14.65" hidden="1" customHeight="1">
      <c r="E88" s="623">
        <v>15</v>
      </c>
      <c r="F88" s="714">
        <f t="shared" si="10"/>
        <v>0</v>
      </c>
      <c r="T88" s="645" t="b">
        <f t="shared" si="11"/>
        <v>0</v>
      </c>
      <c r="X88" s="1382"/>
      <c r="Z88" s="1382"/>
      <c r="AB88" s="385" t="str">
        <f>AB84&amp;".4"</f>
        <v>5.4</v>
      </c>
      <c r="AC88" s="377" t="s">
        <v>843</v>
      </c>
      <c r="AD88" s="385" t="s">
        <v>837</v>
      </c>
      <c r="AE88" s="25">
        <f t="shared" ref="AE88:BB88" si="19">SUM(AE89:AE93)</f>
        <v>0</v>
      </c>
      <c r="AF88" s="25">
        <f t="shared" si="19"/>
        <v>0</v>
      </c>
      <c r="AG88" s="25">
        <f t="shared" si="19"/>
        <v>0</v>
      </c>
      <c r="AH88" s="25">
        <f t="shared" si="19"/>
        <v>0</v>
      </c>
      <c r="AI88" s="386">
        <f t="shared" si="19"/>
        <v>0</v>
      </c>
      <c r="AJ88" s="1104">
        <f t="shared" si="19"/>
        <v>0</v>
      </c>
      <c r="AK88" s="1104">
        <f t="shared" si="19"/>
        <v>0</v>
      </c>
      <c r="AL88" s="25">
        <f t="shared" si="19"/>
        <v>0</v>
      </c>
      <c r="AM88" s="25">
        <f t="shared" si="19"/>
        <v>0</v>
      </c>
      <c r="AN88" s="25">
        <f t="shared" si="19"/>
        <v>0</v>
      </c>
      <c r="AO88" s="25">
        <f t="shared" si="19"/>
        <v>0</v>
      </c>
      <c r="AP88" s="25">
        <f t="shared" si="19"/>
        <v>0</v>
      </c>
      <c r="AQ88" s="25">
        <f t="shared" si="19"/>
        <v>0</v>
      </c>
      <c r="AR88" s="25">
        <f t="shared" si="19"/>
        <v>0</v>
      </c>
      <c r="AS88" s="386">
        <f t="shared" si="19"/>
        <v>0</v>
      </c>
      <c r="AT88" s="1104">
        <f t="shared" si="19"/>
        <v>0</v>
      </c>
      <c r="AU88" s="1104">
        <f t="shared" si="19"/>
        <v>0</v>
      </c>
      <c r="AV88" s="25">
        <f t="shared" si="19"/>
        <v>0</v>
      </c>
      <c r="AW88" s="25">
        <f t="shared" si="19"/>
        <v>0</v>
      </c>
      <c r="AX88" s="25">
        <f t="shared" si="19"/>
        <v>0</v>
      </c>
      <c r="AY88" s="25">
        <f t="shared" si="19"/>
        <v>0</v>
      </c>
      <c r="AZ88" s="25">
        <f t="shared" si="19"/>
        <v>0</v>
      </c>
      <c r="BA88" s="25">
        <f t="shared" si="19"/>
        <v>0</v>
      </c>
      <c r="BB88" s="25">
        <f t="shared" si="19"/>
        <v>0</v>
      </c>
      <c r="BC88" s="48"/>
      <c r="BF88" s="902" t="s">
        <v>922</v>
      </c>
    </row>
    <row r="89" spans="5:58" ht="14.65" hidden="1" customHeight="1">
      <c r="E89" s="623">
        <v>15</v>
      </c>
      <c r="F89" s="714">
        <f t="shared" si="10"/>
        <v>0</v>
      </c>
      <c r="T89" s="645" t="b">
        <f t="shared" si="11"/>
        <v>0</v>
      </c>
      <c r="X89" s="1382"/>
      <c r="Z89" s="1382"/>
      <c r="AB89" s="385" t="str">
        <f>AB88&amp;".1"</f>
        <v>5.4.1</v>
      </c>
      <c r="AC89" s="417" t="s">
        <v>846</v>
      </c>
      <c r="AD89" s="385" t="s">
        <v>837</v>
      </c>
      <c r="AE89" s="25">
        <f t="shared" ref="AE89:BB89" si="20">(AE33*2+AE47+AE61-AE75)/2</f>
        <v>0</v>
      </c>
      <c r="AF89" s="25">
        <f t="shared" si="20"/>
        <v>0</v>
      </c>
      <c r="AG89" s="25">
        <f t="shared" si="20"/>
        <v>0</v>
      </c>
      <c r="AH89" s="25">
        <f t="shared" si="20"/>
        <v>0</v>
      </c>
      <c r="AI89" s="386">
        <f t="shared" si="20"/>
        <v>0</v>
      </c>
      <c r="AJ89" s="1104">
        <f t="shared" si="20"/>
        <v>0</v>
      </c>
      <c r="AK89" s="1104">
        <f t="shared" si="20"/>
        <v>0</v>
      </c>
      <c r="AL89" s="25">
        <f t="shared" si="20"/>
        <v>0</v>
      </c>
      <c r="AM89" s="25">
        <f t="shared" si="20"/>
        <v>0</v>
      </c>
      <c r="AN89" s="25">
        <f t="shared" si="20"/>
        <v>0</v>
      </c>
      <c r="AO89" s="25">
        <f t="shared" si="20"/>
        <v>0</v>
      </c>
      <c r="AP89" s="25">
        <f t="shared" si="20"/>
        <v>0</v>
      </c>
      <c r="AQ89" s="25">
        <f t="shared" si="20"/>
        <v>0</v>
      </c>
      <c r="AR89" s="25">
        <f t="shared" si="20"/>
        <v>0</v>
      </c>
      <c r="AS89" s="386">
        <f t="shared" si="20"/>
        <v>0</v>
      </c>
      <c r="AT89" s="1104">
        <f t="shared" si="20"/>
        <v>0</v>
      </c>
      <c r="AU89" s="1104">
        <f t="shared" si="20"/>
        <v>0</v>
      </c>
      <c r="AV89" s="25">
        <f t="shared" si="20"/>
        <v>0</v>
      </c>
      <c r="AW89" s="25">
        <f t="shared" si="20"/>
        <v>0</v>
      </c>
      <c r="AX89" s="25">
        <f t="shared" si="20"/>
        <v>0</v>
      </c>
      <c r="AY89" s="25">
        <f t="shared" si="20"/>
        <v>0</v>
      </c>
      <c r="AZ89" s="25">
        <f t="shared" si="20"/>
        <v>0</v>
      </c>
      <c r="BA89" s="25">
        <f t="shared" si="20"/>
        <v>0</v>
      </c>
      <c r="BB89" s="25">
        <f t="shared" si="20"/>
        <v>0</v>
      </c>
      <c r="BC89" s="48"/>
      <c r="BF89" s="902" t="s">
        <v>923</v>
      </c>
    </row>
    <row r="90" spans="5:58" ht="14.65" hidden="1" customHeight="1">
      <c r="E90" s="623">
        <v>15</v>
      </c>
      <c r="F90" s="714">
        <f t="shared" si="10"/>
        <v>0</v>
      </c>
      <c r="T90" s="645" t="b">
        <f t="shared" si="11"/>
        <v>0</v>
      </c>
      <c r="X90" s="1382"/>
      <c r="Z90" s="1382"/>
      <c r="AB90" s="385" t="str">
        <f>AB88&amp;".2"</f>
        <v>5.4.2</v>
      </c>
      <c r="AC90" s="417" t="s">
        <v>849</v>
      </c>
      <c r="AD90" s="385" t="s">
        <v>837</v>
      </c>
      <c r="AE90" s="25">
        <f t="shared" ref="AE90:BB90" si="21">(AE34*2+AE48+AE62-AE76)/2</f>
        <v>0</v>
      </c>
      <c r="AF90" s="25">
        <f t="shared" si="21"/>
        <v>0</v>
      </c>
      <c r="AG90" s="25">
        <f t="shared" si="21"/>
        <v>0</v>
      </c>
      <c r="AH90" s="25">
        <f t="shared" si="21"/>
        <v>0</v>
      </c>
      <c r="AI90" s="386">
        <f t="shared" si="21"/>
        <v>0</v>
      </c>
      <c r="AJ90" s="1104">
        <f t="shared" si="21"/>
        <v>0</v>
      </c>
      <c r="AK90" s="1104">
        <f t="shared" si="21"/>
        <v>0</v>
      </c>
      <c r="AL90" s="25">
        <f t="shared" si="21"/>
        <v>0</v>
      </c>
      <c r="AM90" s="25">
        <f t="shared" si="21"/>
        <v>0</v>
      </c>
      <c r="AN90" s="25">
        <f t="shared" si="21"/>
        <v>0</v>
      </c>
      <c r="AO90" s="25">
        <f t="shared" si="21"/>
        <v>0</v>
      </c>
      <c r="AP90" s="25">
        <f t="shared" si="21"/>
        <v>0</v>
      </c>
      <c r="AQ90" s="25">
        <f t="shared" si="21"/>
        <v>0</v>
      </c>
      <c r="AR90" s="25">
        <f t="shared" si="21"/>
        <v>0</v>
      </c>
      <c r="AS90" s="386">
        <f t="shared" si="21"/>
        <v>0</v>
      </c>
      <c r="AT90" s="1104">
        <f t="shared" si="21"/>
        <v>0</v>
      </c>
      <c r="AU90" s="1104">
        <f t="shared" si="21"/>
        <v>0</v>
      </c>
      <c r="AV90" s="25">
        <f t="shared" si="21"/>
        <v>0</v>
      </c>
      <c r="AW90" s="25">
        <f t="shared" si="21"/>
        <v>0</v>
      </c>
      <c r="AX90" s="25">
        <f t="shared" si="21"/>
        <v>0</v>
      </c>
      <c r="AY90" s="25">
        <f t="shared" si="21"/>
        <v>0</v>
      </c>
      <c r="AZ90" s="25">
        <f t="shared" si="21"/>
        <v>0</v>
      </c>
      <c r="BA90" s="25">
        <f t="shared" si="21"/>
        <v>0</v>
      </c>
      <c r="BB90" s="25">
        <f t="shared" si="21"/>
        <v>0</v>
      </c>
      <c r="BC90" s="48"/>
      <c r="BF90" s="902" t="s">
        <v>924</v>
      </c>
    </row>
    <row r="91" spans="5:58" ht="14.65" hidden="1" customHeight="1">
      <c r="E91" s="623">
        <v>15</v>
      </c>
      <c r="F91" s="714">
        <f t="shared" si="10"/>
        <v>0</v>
      </c>
      <c r="T91" s="645" t="b">
        <f t="shared" si="11"/>
        <v>0</v>
      </c>
      <c r="X91" s="1382"/>
      <c r="Z91" s="1382"/>
      <c r="AB91" s="385" t="str">
        <f>AB88&amp;".3"</f>
        <v>5.4.3</v>
      </c>
      <c r="AC91" s="417" t="s">
        <v>852</v>
      </c>
      <c r="AD91" s="385" t="s">
        <v>837</v>
      </c>
      <c r="AE91" s="25">
        <f t="shared" ref="AE91:BB91" si="22">(AE35*2+AE49+AE63-AE77)/2</f>
        <v>0</v>
      </c>
      <c r="AF91" s="25">
        <f t="shared" si="22"/>
        <v>0</v>
      </c>
      <c r="AG91" s="25">
        <f t="shared" si="22"/>
        <v>0</v>
      </c>
      <c r="AH91" s="25">
        <f t="shared" si="22"/>
        <v>0</v>
      </c>
      <c r="AI91" s="386">
        <f t="shared" si="22"/>
        <v>0</v>
      </c>
      <c r="AJ91" s="1104">
        <f t="shared" si="22"/>
        <v>0</v>
      </c>
      <c r="AK91" s="1104">
        <f t="shared" si="22"/>
        <v>0</v>
      </c>
      <c r="AL91" s="25">
        <f t="shared" si="22"/>
        <v>0</v>
      </c>
      <c r="AM91" s="25">
        <f t="shared" si="22"/>
        <v>0</v>
      </c>
      <c r="AN91" s="25">
        <f t="shared" si="22"/>
        <v>0</v>
      </c>
      <c r="AO91" s="25">
        <f t="shared" si="22"/>
        <v>0</v>
      </c>
      <c r="AP91" s="25">
        <f t="shared" si="22"/>
        <v>0</v>
      </c>
      <c r="AQ91" s="25">
        <f t="shared" si="22"/>
        <v>0</v>
      </c>
      <c r="AR91" s="25">
        <f t="shared" si="22"/>
        <v>0</v>
      </c>
      <c r="AS91" s="386">
        <f t="shared" si="22"/>
        <v>0</v>
      </c>
      <c r="AT91" s="1104">
        <f t="shared" si="22"/>
        <v>0</v>
      </c>
      <c r="AU91" s="1104">
        <f t="shared" si="22"/>
        <v>0</v>
      </c>
      <c r="AV91" s="25">
        <f t="shared" si="22"/>
        <v>0</v>
      </c>
      <c r="AW91" s="25">
        <f t="shared" si="22"/>
        <v>0</v>
      </c>
      <c r="AX91" s="25">
        <f t="shared" si="22"/>
        <v>0</v>
      </c>
      <c r="AY91" s="25">
        <f t="shared" si="22"/>
        <v>0</v>
      </c>
      <c r="AZ91" s="25">
        <f t="shared" si="22"/>
        <v>0</v>
      </c>
      <c r="BA91" s="25">
        <f t="shared" si="22"/>
        <v>0</v>
      </c>
      <c r="BB91" s="25">
        <f t="shared" si="22"/>
        <v>0</v>
      </c>
      <c r="BC91" s="48"/>
      <c r="BF91" s="902" t="s">
        <v>925</v>
      </c>
    </row>
    <row r="92" spans="5:58" ht="14.65" hidden="1" customHeight="1">
      <c r="E92" s="623">
        <v>15</v>
      </c>
      <c r="F92" s="714">
        <f t="shared" ref="F92:F125" si="23">F91</f>
        <v>0</v>
      </c>
      <c r="T92" s="645" t="b">
        <f t="shared" ref="T92:T125" si="24">T91</f>
        <v>0</v>
      </c>
      <c r="X92" s="1382"/>
      <c r="Z92" s="1382"/>
      <c r="AB92" s="385" t="str">
        <f>AB88&amp;".4"</f>
        <v>5.4.4</v>
      </c>
      <c r="AC92" s="417" t="s">
        <v>855</v>
      </c>
      <c r="AD92" s="385" t="s">
        <v>837</v>
      </c>
      <c r="AE92" s="25">
        <f t="shared" ref="AE92:BB92" si="25">(AE36*2+AE50+AE64-AE78)/2</f>
        <v>0</v>
      </c>
      <c r="AF92" s="25">
        <f t="shared" si="25"/>
        <v>0</v>
      </c>
      <c r="AG92" s="25">
        <f t="shared" si="25"/>
        <v>0</v>
      </c>
      <c r="AH92" s="25">
        <f t="shared" si="25"/>
        <v>0</v>
      </c>
      <c r="AI92" s="386">
        <f t="shared" si="25"/>
        <v>0</v>
      </c>
      <c r="AJ92" s="1104">
        <f t="shared" si="25"/>
        <v>0</v>
      </c>
      <c r="AK92" s="1104">
        <f t="shared" si="25"/>
        <v>0</v>
      </c>
      <c r="AL92" s="25">
        <f t="shared" si="25"/>
        <v>0</v>
      </c>
      <c r="AM92" s="25">
        <f t="shared" si="25"/>
        <v>0</v>
      </c>
      <c r="AN92" s="25">
        <f t="shared" si="25"/>
        <v>0</v>
      </c>
      <c r="AO92" s="25">
        <f t="shared" si="25"/>
        <v>0</v>
      </c>
      <c r="AP92" s="25">
        <f t="shared" si="25"/>
        <v>0</v>
      </c>
      <c r="AQ92" s="25">
        <f t="shared" si="25"/>
        <v>0</v>
      </c>
      <c r="AR92" s="25">
        <f t="shared" si="25"/>
        <v>0</v>
      </c>
      <c r="AS92" s="386">
        <f t="shared" si="25"/>
        <v>0</v>
      </c>
      <c r="AT92" s="1104">
        <f t="shared" si="25"/>
        <v>0</v>
      </c>
      <c r="AU92" s="1104">
        <f t="shared" si="25"/>
        <v>0</v>
      </c>
      <c r="AV92" s="25">
        <f t="shared" si="25"/>
        <v>0</v>
      </c>
      <c r="AW92" s="25">
        <f t="shared" si="25"/>
        <v>0</v>
      </c>
      <c r="AX92" s="25">
        <f t="shared" si="25"/>
        <v>0</v>
      </c>
      <c r="AY92" s="25">
        <f t="shared" si="25"/>
        <v>0</v>
      </c>
      <c r="AZ92" s="25">
        <f t="shared" si="25"/>
        <v>0</v>
      </c>
      <c r="BA92" s="25">
        <f t="shared" si="25"/>
        <v>0</v>
      </c>
      <c r="BB92" s="25">
        <f t="shared" si="25"/>
        <v>0</v>
      </c>
      <c r="BC92" s="48"/>
      <c r="BF92" s="902" t="s">
        <v>926</v>
      </c>
    </row>
    <row r="93" spans="5:58" ht="14.65" hidden="1" customHeight="1">
      <c r="E93" s="623">
        <v>15</v>
      </c>
      <c r="F93" s="714">
        <f t="shared" si="23"/>
        <v>0</v>
      </c>
      <c r="T93" s="645" t="b">
        <f t="shared" si="24"/>
        <v>0</v>
      </c>
      <c r="X93" s="1382"/>
      <c r="Z93" s="1382"/>
      <c r="AB93" s="385" t="str">
        <f>AB88&amp;".5"</f>
        <v>5.4.5</v>
      </c>
      <c r="AC93" s="417" t="s">
        <v>858</v>
      </c>
      <c r="AD93" s="385" t="s">
        <v>837</v>
      </c>
      <c r="AE93" s="25">
        <f t="shared" ref="AE93:BB93" si="26">(AE37*2+AE51+AE65-AE79)/2</f>
        <v>0</v>
      </c>
      <c r="AF93" s="25">
        <f t="shared" si="26"/>
        <v>0</v>
      </c>
      <c r="AG93" s="25">
        <f t="shared" si="26"/>
        <v>0</v>
      </c>
      <c r="AH93" s="25">
        <f t="shared" si="26"/>
        <v>0</v>
      </c>
      <c r="AI93" s="386">
        <f t="shared" si="26"/>
        <v>0</v>
      </c>
      <c r="AJ93" s="1104">
        <f t="shared" si="26"/>
        <v>0</v>
      </c>
      <c r="AK93" s="1104">
        <f t="shared" si="26"/>
        <v>0</v>
      </c>
      <c r="AL93" s="25">
        <f t="shared" si="26"/>
        <v>0</v>
      </c>
      <c r="AM93" s="25">
        <f t="shared" si="26"/>
        <v>0</v>
      </c>
      <c r="AN93" s="25">
        <f t="shared" si="26"/>
        <v>0</v>
      </c>
      <c r="AO93" s="25">
        <f t="shared" si="26"/>
        <v>0</v>
      </c>
      <c r="AP93" s="25">
        <f t="shared" si="26"/>
        <v>0</v>
      </c>
      <c r="AQ93" s="25">
        <f t="shared" si="26"/>
        <v>0</v>
      </c>
      <c r="AR93" s="25">
        <f t="shared" si="26"/>
        <v>0</v>
      </c>
      <c r="AS93" s="386">
        <f t="shared" si="26"/>
        <v>0</v>
      </c>
      <c r="AT93" s="1104">
        <f t="shared" si="26"/>
        <v>0</v>
      </c>
      <c r="AU93" s="1104">
        <f t="shared" si="26"/>
        <v>0</v>
      </c>
      <c r="AV93" s="25">
        <f t="shared" si="26"/>
        <v>0</v>
      </c>
      <c r="AW93" s="25">
        <f t="shared" si="26"/>
        <v>0</v>
      </c>
      <c r="AX93" s="25">
        <f t="shared" si="26"/>
        <v>0</v>
      </c>
      <c r="AY93" s="25">
        <f t="shared" si="26"/>
        <v>0</v>
      </c>
      <c r="AZ93" s="25">
        <f t="shared" si="26"/>
        <v>0</v>
      </c>
      <c r="BA93" s="25">
        <f t="shared" si="26"/>
        <v>0</v>
      </c>
      <c r="BB93" s="25">
        <f t="shared" si="26"/>
        <v>0</v>
      </c>
      <c r="BC93" s="48"/>
      <c r="BF93" s="902" t="s">
        <v>927</v>
      </c>
    </row>
    <row r="94" spans="5:58" ht="14.65" hidden="1" customHeight="1">
      <c r="E94" s="623">
        <v>15</v>
      </c>
      <c r="F94" s="714">
        <f t="shared" si="23"/>
        <v>0</v>
      </c>
      <c r="T94" s="645" t="b">
        <f t="shared" si="24"/>
        <v>0</v>
      </c>
      <c r="X94" s="1382"/>
      <c r="Z94" s="1382"/>
      <c r="AB94" s="385" t="str">
        <f>AB84&amp;".5"</f>
        <v>5.5</v>
      </c>
      <c r="AC94" s="377" t="s">
        <v>861</v>
      </c>
      <c r="AD94" s="385" t="s">
        <v>837</v>
      </c>
      <c r="AE94" s="25">
        <f t="shared" ref="AE94:BB94" si="27">(AE38*2+AE52+AE66-AE80)/2</f>
        <v>0</v>
      </c>
      <c r="AF94" s="25">
        <f t="shared" si="27"/>
        <v>0</v>
      </c>
      <c r="AG94" s="25">
        <f t="shared" si="27"/>
        <v>0</v>
      </c>
      <c r="AH94" s="25">
        <f t="shared" si="27"/>
        <v>0</v>
      </c>
      <c r="AI94" s="386">
        <f t="shared" si="27"/>
        <v>0</v>
      </c>
      <c r="AJ94" s="1104">
        <f t="shared" si="27"/>
        <v>0</v>
      </c>
      <c r="AK94" s="1104">
        <f t="shared" si="27"/>
        <v>0</v>
      </c>
      <c r="AL94" s="25">
        <f t="shared" si="27"/>
        <v>0</v>
      </c>
      <c r="AM94" s="25">
        <f t="shared" si="27"/>
        <v>0</v>
      </c>
      <c r="AN94" s="25">
        <f t="shared" si="27"/>
        <v>0</v>
      </c>
      <c r="AO94" s="25">
        <f t="shared" si="27"/>
        <v>0</v>
      </c>
      <c r="AP94" s="25">
        <f t="shared" si="27"/>
        <v>0</v>
      </c>
      <c r="AQ94" s="25">
        <f t="shared" si="27"/>
        <v>0</v>
      </c>
      <c r="AR94" s="25">
        <f t="shared" si="27"/>
        <v>0</v>
      </c>
      <c r="AS94" s="386">
        <f t="shared" si="27"/>
        <v>0</v>
      </c>
      <c r="AT94" s="1104">
        <f t="shared" si="27"/>
        <v>0</v>
      </c>
      <c r="AU94" s="1104">
        <f t="shared" si="27"/>
        <v>0</v>
      </c>
      <c r="AV94" s="25">
        <f t="shared" si="27"/>
        <v>0</v>
      </c>
      <c r="AW94" s="25">
        <f t="shared" si="27"/>
        <v>0</v>
      </c>
      <c r="AX94" s="25">
        <f t="shared" si="27"/>
        <v>0</v>
      </c>
      <c r="AY94" s="25">
        <f t="shared" si="27"/>
        <v>0</v>
      </c>
      <c r="AZ94" s="25">
        <f t="shared" si="27"/>
        <v>0</v>
      </c>
      <c r="BA94" s="25">
        <f t="shared" si="27"/>
        <v>0</v>
      </c>
      <c r="BB94" s="25">
        <f t="shared" si="27"/>
        <v>0</v>
      </c>
      <c r="BC94" s="48"/>
      <c r="BF94" s="902" t="s">
        <v>928</v>
      </c>
    </row>
    <row r="95" spans="5:58" ht="14.65" hidden="1" customHeight="1">
      <c r="E95" s="623">
        <v>15</v>
      </c>
      <c r="F95" s="714">
        <f t="shared" si="23"/>
        <v>0</v>
      </c>
      <c r="T95" s="645" t="b">
        <f t="shared" si="24"/>
        <v>0</v>
      </c>
      <c r="X95" s="1382"/>
      <c r="Z95" s="1382"/>
      <c r="AB95" s="385" t="str">
        <f>AB84&amp;".6"</f>
        <v>5.6</v>
      </c>
      <c r="AC95" s="377" t="s">
        <v>864</v>
      </c>
      <c r="AD95" s="385" t="s">
        <v>837</v>
      </c>
      <c r="AE95" s="25">
        <f t="shared" ref="AE95:BB95" si="28">(AE39*2+AE53+AE67-AE81)/2</f>
        <v>0</v>
      </c>
      <c r="AF95" s="25">
        <f t="shared" si="28"/>
        <v>0</v>
      </c>
      <c r="AG95" s="25">
        <f t="shared" si="28"/>
        <v>0</v>
      </c>
      <c r="AH95" s="25">
        <f t="shared" si="28"/>
        <v>0</v>
      </c>
      <c r="AI95" s="386">
        <f t="shared" si="28"/>
        <v>0</v>
      </c>
      <c r="AJ95" s="1104">
        <f t="shared" si="28"/>
        <v>0</v>
      </c>
      <c r="AK95" s="1104">
        <f t="shared" si="28"/>
        <v>0</v>
      </c>
      <c r="AL95" s="25">
        <f t="shared" si="28"/>
        <v>0</v>
      </c>
      <c r="AM95" s="25">
        <f t="shared" si="28"/>
        <v>0</v>
      </c>
      <c r="AN95" s="25">
        <f t="shared" si="28"/>
        <v>0</v>
      </c>
      <c r="AO95" s="25">
        <f t="shared" si="28"/>
        <v>0</v>
      </c>
      <c r="AP95" s="25">
        <f t="shared" si="28"/>
        <v>0</v>
      </c>
      <c r="AQ95" s="25">
        <f t="shared" si="28"/>
        <v>0</v>
      </c>
      <c r="AR95" s="25">
        <f t="shared" si="28"/>
        <v>0</v>
      </c>
      <c r="AS95" s="386">
        <f t="shared" si="28"/>
        <v>0</v>
      </c>
      <c r="AT95" s="1104">
        <f t="shared" si="28"/>
        <v>0</v>
      </c>
      <c r="AU95" s="1104">
        <f t="shared" si="28"/>
        <v>0</v>
      </c>
      <c r="AV95" s="25">
        <f t="shared" si="28"/>
        <v>0</v>
      </c>
      <c r="AW95" s="25">
        <f t="shared" si="28"/>
        <v>0</v>
      </c>
      <c r="AX95" s="25">
        <f t="shared" si="28"/>
        <v>0</v>
      </c>
      <c r="AY95" s="25">
        <f t="shared" si="28"/>
        <v>0</v>
      </c>
      <c r="AZ95" s="25">
        <f t="shared" si="28"/>
        <v>0</v>
      </c>
      <c r="BA95" s="25">
        <f t="shared" si="28"/>
        <v>0</v>
      </c>
      <c r="BB95" s="25">
        <f t="shared" si="28"/>
        <v>0</v>
      </c>
      <c r="BC95" s="48"/>
      <c r="BF95" s="902" t="s">
        <v>929</v>
      </c>
    </row>
    <row r="96" spans="5:58" ht="14.65" hidden="1" customHeight="1">
      <c r="E96" s="623">
        <v>15</v>
      </c>
      <c r="F96" s="714">
        <f t="shared" si="23"/>
        <v>0</v>
      </c>
      <c r="T96" s="645" t="b">
        <f t="shared" si="24"/>
        <v>0</v>
      </c>
      <c r="X96" s="1382"/>
      <c r="Z96" s="1382"/>
      <c r="AB96" s="385" t="str">
        <f>AB84&amp;".7"</f>
        <v>5.7</v>
      </c>
      <c r="AC96" s="377" t="s">
        <v>867</v>
      </c>
      <c r="AD96" s="385" t="s">
        <v>837</v>
      </c>
      <c r="AE96" s="25">
        <f t="shared" ref="AE96:BB96" si="29">(AE40*2+AE54+AE68-AE82)/2</f>
        <v>0</v>
      </c>
      <c r="AF96" s="25">
        <f t="shared" si="29"/>
        <v>0</v>
      </c>
      <c r="AG96" s="25">
        <f t="shared" si="29"/>
        <v>0</v>
      </c>
      <c r="AH96" s="25">
        <f t="shared" si="29"/>
        <v>0</v>
      </c>
      <c r="AI96" s="386">
        <f t="shared" si="29"/>
        <v>0</v>
      </c>
      <c r="AJ96" s="1104">
        <f t="shared" si="29"/>
        <v>0</v>
      </c>
      <c r="AK96" s="1104">
        <f t="shared" si="29"/>
        <v>0</v>
      </c>
      <c r="AL96" s="25">
        <f t="shared" si="29"/>
        <v>0</v>
      </c>
      <c r="AM96" s="25">
        <f t="shared" si="29"/>
        <v>0</v>
      </c>
      <c r="AN96" s="25">
        <f t="shared" si="29"/>
        <v>0</v>
      </c>
      <c r="AO96" s="25">
        <f t="shared" si="29"/>
        <v>0</v>
      </c>
      <c r="AP96" s="25">
        <f t="shared" si="29"/>
        <v>0</v>
      </c>
      <c r="AQ96" s="25">
        <f t="shared" si="29"/>
        <v>0</v>
      </c>
      <c r="AR96" s="25">
        <f t="shared" si="29"/>
        <v>0</v>
      </c>
      <c r="AS96" s="386">
        <f t="shared" si="29"/>
        <v>0</v>
      </c>
      <c r="AT96" s="1104">
        <f t="shared" si="29"/>
        <v>0</v>
      </c>
      <c r="AU96" s="1104">
        <f t="shared" si="29"/>
        <v>0</v>
      </c>
      <c r="AV96" s="25">
        <f t="shared" si="29"/>
        <v>0</v>
      </c>
      <c r="AW96" s="25">
        <f t="shared" si="29"/>
        <v>0</v>
      </c>
      <c r="AX96" s="25">
        <f t="shared" si="29"/>
        <v>0</v>
      </c>
      <c r="AY96" s="25">
        <f t="shared" si="29"/>
        <v>0</v>
      </c>
      <c r="AZ96" s="25">
        <f t="shared" si="29"/>
        <v>0</v>
      </c>
      <c r="BA96" s="25">
        <f t="shared" si="29"/>
        <v>0</v>
      </c>
      <c r="BB96" s="25">
        <f t="shared" si="29"/>
        <v>0</v>
      </c>
      <c r="BC96" s="48"/>
      <c r="BF96" s="902" t="s">
        <v>930</v>
      </c>
    </row>
    <row r="97" spans="5:58" ht="14.65" hidden="1" customHeight="1">
      <c r="E97" s="623">
        <v>15</v>
      </c>
      <c r="F97" s="714">
        <f t="shared" si="23"/>
        <v>0</v>
      </c>
      <c r="T97" s="645" t="b">
        <f t="shared" si="24"/>
        <v>0</v>
      </c>
      <c r="X97" s="1382"/>
      <c r="Z97" s="1382"/>
      <c r="AB97" s="385" t="str">
        <f>AB84&amp;".8"</f>
        <v>5.8</v>
      </c>
      <c r="AC97" s="377" t="s">
        <v>870</v>
      </c>
      <c r="AD97" s="385" t="s">
        <v>837</v>
      </c>
      <c r="AE97" s="25">
        <f t="shared" ref="AE97:BB97" si="30">(AE41*2+AE55+AE69-AE83)/2</f>
        <v>0</v>
      </c>
      <c r="AF97" s="25">
        <f t="shared" si="30"/>
        <v>0</v>
      </c>
      <c r="AG97" s="25">
        <f t="shared" si="30"/>
        <v>0</v>
      </c>
      <c r="AH97" s="25">
        <f t="shared" si="30"/>
        <v>0</v>
      </c>
      <c r="AI97" s="386">
        <f t="shared" si="30"/>
        <v>0</v>
      </c>
      <c r="AJ97" s="1104">
        <f t="shared" si="30"/>
        <v>0</v>
      </c>
      <c r="AK97" s="1104">
        <f t="shared" si="30"/>
        <v>0</v>
      </c>
      <c r="AL97" s="25">
        <f t="shared" si="30"/>
        <v>0</v>
      </c>
      <c r="AM97" s="25">
        <f t="shared" si="30"/>
        <v>0</v>
      </c>
      <c r="AN97" s="25">
        <f t="shared" si="30"/>
        <v>0</v>
      </c>
      <c r="AO97" s="25">
        <f t="shared" si="30"/>
        <v>0</v>
      </c>
      <c r="AP97" s="25">
        <f t="shared" si="30"/>
        <v>0</v>
      </c>
      <c r="AQ97" s="25">
        <f t="shared" si="30"/>
        <v>0</v>
      </c>
      <c r="AR97" s="25">
        <f t="shared" si="30"/>
        <v>0</v>
      </c>
      <c r="AS97" s="386">
        <f t="shared" si="30"/>
        <v>0</v>
      </c>
      <c r="AT97" s="1104">
        <f t="shared" si="30"/>
        <v>0</v>
      </c>
      <c r="AU97" s="1104">
        <f t="shared" si="30"/>
        <v>0</v>
      </c>
      <c r="AV97" s="25">
        <f t="shared" si="30"/>
        <v>0</v>
      </c>
      <c r="AW97" s="25">
        <f t="shared" si="30"/>
        <v>0</v>
      </c>
      <c r="AX97" s="25">
        <f t="shared" si="30"/>
        <v>0</v>
      </c>
      <c r="AY97" s="25">
        <f t="shared" si="30"/>
        <v>0</v>
      </c>
      <c r="AZ97" s="25">
        <f t="shared" si="30"/>
        <v>0</v>
      </c>
      <c r="BA97" s="25">
        <f t="shared" si="30"/>
        <v>0</v>
      </c>
      <c r="BB97" s="25">
        <f t="shared" si="30"/>
        <v>0</v>
      </c>
      <c r="BC97" s="48"/>
      <c r="BF97" s="902" t="s">
        <v>931</v>
      </c>
    </row>
    <row r="98" spans="5:58" s="154" customFormat="1" ht="22.15" hidden="1" customHeight="1">
      <c r="E98" s="623">
        <v>22.8</v>
      </c>
      <c r="F98" s="714">
        <f t="shared" si="23"/>
        <v>0</v>
      </c>
      <c r="T98" s="645" t="b">
        <f t="shared" si="24"/>
        <v>0</v>
      </c>
      <c r="X98" s="1491"/>
      <c r="Z98" s="1491"/>
      <c r="AB98" s="214">
        <v>6</v>
      </c>
      <c r="AC98" s="215" t="s">
        <v>932</v>
      </c>
      <c r="AD98" s="388" t="s">
        <v>388</v>
      </c>
      <c r="AE98" s="44"/>
      <c r="AF98" s="44"/>
      <c r="AG98" s="44"/>
      <c r="AH98" s="44"/>
      <c r="AI98" s="229"/>
      <c r="AJ98" s="1132"/>
      <c r="AK98" s="1132"/>
      <c r="AL98" s="44"/>
      <c r="AM98" s="44"/>
      <c r="AN98" s="44"/>
      <c r="AO98" s="44"/>
      <c r="AP98" s="44"/>
      <c r="AQ98" s="44"/>
      <c r="AR98" s="44"/>
      <c r="AS98" s="229"/>
      <c r="AT98" s="1132"/>
      <c r="AU98" s="1132"/>
      <c r="AV98" s="44"/>
      <c r="AW98" s="44"/>
      <c r="AX98" s="44"/>
      <c r="AY98" s="44"/>
      <c r="AZ98" s="44"/>
      <c r="BA98" s="44"/>
      <c r="BB98" s="44"/>
      <c r="BC98" s="22"/>
      <c r="BF98" s="902" t="s">
        <v>933</v>
      </c>
    </row>
    <row r="99" spans="5:58" ht="14.65" hidden="1" customHeight="1">
      <c r="E99" s="623">
        <v>15</v>
      </c>
      <c r="F99" s="714">
        <f t="shared" si="23"/>
        <v>0</v>
      </c>
      <c r="T99" s="645" t="b">
        <f t="shared" si="24"/>
        <v>0</v>
      </c>
      <c r="X99" s="1382"/>
      <c r="Z99" s="1382"/>
      <c r="AB99" s="388" t="str">
        <f>AB98&amp;".1"</f>
        <v>6.1</v>
      </c>
      <c r="AC99" s="389" t="s">
        <v>836</v>
      </c>
      <c r="AD99" s="388" t="s">
        <v>388</v>
      </c>
      <c r="AE99" s="11">
        <f t="shared" ref="AE99:BB99" si="31">IF(AE85=0,0,AE113/AE85*100)</f>
        <v>0</v>
      </c>
      <c r="AF99" s="11">
        <f t="shared" si="31"/>
        <v>0</v>
      </c>
      <c r="AG99" s="11">
        <f t="shared" si="31"/>
        <v>0</v>
      </c>
      <c r="AH99" s="11">
        <f t="shared" si="31"/>
        <v>0</v>
      </c>
      <c r="AI99" s="217">
        <f t="shared" si="31"/>
        <v>0</v>
      </c>
      <c r="AJ99" s="1065">
        <f t="shared" si="31"/>
        <v>0</v>
      </c>
      <c r="AK99" s="1065">
        <f t="shared" si="31"/>
        <v>0</v>
      </c>
      <c r="AL99" s="11">
        <f t="shared" si="31"/>
        <v>0</v>
      </c>
      <c r="AM99" s="11">
        <f t="shared" si="31"/>
        <v>0</v>
      </c>
      <c r="AN99" s="11">
        <f t="shared" si="31"/>
        <v>0</v>
      </c>
      <c r="AO99" s="11">
        <f t="shared" si="31"/>
        <v>0</v>
      </c>
      <c r="AP99" s="11">
        <f t="shared" si="31"/>
        <v>0</v>
      </c>
      <c r="AQ99" s="11">
        <f t="shared" si="31"/>
        <v>0</v>
      </c>
      <c r="AR99" s="11">
        <f t="shared" si="31"/>
        <v>0</v>
      </c>
      <c r="AS99" s="217">
        <f t="shared" si="31"/>
        <v>0</v>
      </c>
      <c r="AT99" s="1065">
        <f t="shared" si="31"/>
        <v>0</v>
      </c>
      <c r="AU99" s="1065">
        <f t="shared" si="31"/>
        <v>0</v>
      </c>
      <c r="AV99" s="11">
        <f t="shared" si="31"/>
        <v>0</v>
      </c>
      <c r="AW99" s="11">
        <f t="shared" si="31"/>
        <v>0</v>
      </c>
      <c r="AX99" s="11">
        <f t="shared" si="31"/>
        <v>0</v>
      </c>
      <c r="AY99" s="11">
        <f t="shared" si="31"/>
        <v>0</v>
      </c>
      <c r="AZ99" s="11">
        <f t="shared" si="31"/>
        <v>0</v>
      </c>
      <c r="BA99" s="11">
        <f t="shared" si="31"/>
        <v>0</v>
      </c>
      <c r="BB99" s="11">
        <f t="shared" si="31"/>
        <v>0</v>
      </c>
      <c r="BC99" s="22"/>
      <c r="BF99" s="902" t="s">
        <v>934</v>
      </c>
    </row>
    <row r="100" spans="5:58" ht="14.65" hidden="1" customHeight="1">
      <c r="E100" s="623">
        <v>15</v>
      </c>
      <c r="F100" s="714">
        <f t="shared" si="23"/>
        <v>0</v>
      </c>
      <c r="T100" s="645" t="b">
        <f t="shared" si="24"/>
        <v>0</v>
      </c>
      <c r="X100" s="1382"/>
      <c r="Z100" s="1382"/>
      <c r="AB100" s="388" t="str">
        <f>AB98&amp;".2"</f>
        <v>6.2</v>
      </c>
      <c r="AC100" s="389" t="s">
        <v>839</v>
      </c>
      <c r="AD100" s="388" t="s">
        <v>388</v>
      </c>
      <c r="AE100" s="11">
        <f t="shared" ref="AE100:BB100" si="32">IF(AE86=0,0,AE114/AE86*100)</f>
        <v>0</v>
      </c>
      <c r="AF100" s="11">
        <f t="shared" si="32"/>
        <v>0</v>
      </c>
      <c r="AG100" s="11">
        <f t="shared" si="32"/>
        <v>0</v>
      </c>
      <c r="AH100" s="11">
        <f t="shared" si="32"/>
        <v>0</v>
      </c>
      <c r="AI100" s="217">
        <f t="shared" si="32"/>
        <v>0</v>
      </c>
      <c r="AJ100" s="1065">
        <f t="shared" si="32"/>
        <v>0</v>
      </c>
      <c r="AK100" s="1065">
        <f t="shared" si="32"/>
        <v>0</v>
      </c>
      <c r="AL100" s="11">
        <f t="shared" si="32"/>
        <v>0</v>
      </c>
      <c r="AM100" s="11">
        <f t="shared" si="32"/>
        <v>0</v>
      </c>
      <c r="AN100" s="11">
        <f t="shared" si="32"/>
        <v>0</v>
      </c>
      <c r="AO100" s="11">
        <f t="shared" si="32"/>
        <v>0</v>
      </c>
      <c r="AP100" s="11">
        <f t="shared" si="32"/>
        <v>0</v>
      </c>
      <c r="AQ100" s="11">
        <f t="shared" si="32"/>
        <v>0</v>
      </c>
      <c r="AR100" s="11">
        <f t="shared" si="32"/>
        <v>0</v>
      </c>
      <c r="AS100" s="217">
        <f t="shared" si="32"/>
        <v>0</v>
      </c>
      <c r="AT100" s="1065">
        <f t="shared" si="32"/>
        <v>0</v>
      </c>
      <c r="AU100" s="1065">
        <f t="shared" si="32"/>
        <v>0</v>
      </c>
      <c r="AV100" s="11">
        <f t="shared" si="32"/>
        <v>0</v>
      </c>
      <c r="AW100" s="11">
        <f t="shared" si="32"/>
        <v>0</v>
      </c>
      <c r="AX100" s="11">
        <f t="shared" si="32"/>
        <v>0</v>
      </c>
      <c r="AY100" s="11">
        <f t="shared" si="32"/>
        <v>0</v>
      </c>
      <c r="AZ100" s="11">
        <f t="shared" si="32"/>
        <v>0</v>
      </c>
      <c r="BA100" s="11">
        <f t="shared" si="32"/>
        <v>0</v>
      </c>
      <c r="BB100" s="11">
        <f t="shared" si="32"/>
        <v>0</v>
      </c>
      <c r="BC100" s="22"/>
      <c r="BF100" s="902" t="s">
        <v>935</v>
      </c>
    </row>
    <row r="101" spans="5:58" ht="14.65" hidden="1" customHeight="1">
      <c r="E101" s="623">
        <v>15</v>
      </c>
      <c r="F101" s="714">
        <f t="shared" si="23"/>
        <v>0</v>
      </c>
      <c r="T101" s="645" t="b">
        <f t="shared" si="24"/>
        <v>0</v>
      </c>
      <c r="X101" s="1382"/>
      <c r="Z101" s="1382"/>
      <c r="AB101" s="388" t="str">
        <f>AB98&amp;".3"</f>
        <v>6.3</v>
      </c>
      <c r="AC101" s="389" t="s">
        <v>841</v>
      </c>
      <c r="AD101" s="388" t="s">
        <v>388</v>
      </c>
      <c r="AE101" s="11">
        <f t="shared" ref="AE101:BB101" si="33">IF(AE87=0,0,AE115/AE87*100)</f>
        <v>0</v>
      </c>
      <c r="AF101" s="11">
        <f t="shared" si="33"/>
        <v>0</v>
      </c>
      <c r="AG101" s="11">
        <f t="shared" si="33"/>
        <v>0</v>
      </c>
      <c r="AH101" s="11">
        <f t="shared" si="33"/>
        <v>0</v>
      </c>
      <c r="AI101" s="217">
        <f t="shared" si="33"/>
        <v>0</v>
      </c>
      <c r="AJ101" s="1065">
        <f t="shared" si="33"/>
        <v>0</v>
      </c>
      <c r="AK101" s="1065">
        <f t="shared" si="33"/>
        <v>0</v>
      </c>
      <c r="AL101" s="11">
        <f t="shared" si="33"/>
        <v>0</v>
      </c>
      <c r="AM101" s="11">
        <f t="shared" si="33"/>
        <v>0</v>
      </c>
      <c r="AN101" s="11">
        <f t="shared" si="33"/>
        <v>0</v>
      </c>
      <c r="AO101" s="11">
        <f t="shared" si="33"/>
        <v>0</v>
      </c>
      <c r="AP101" s="11">
        <f t="shared" si="33"/>
        <v>0</v>
      </c>
      <c r="AQ101" s="11">
        <f t="shared" si="33"/>
        <v>0</v>
      </c>
      <c r="AR101" s="11">
        <f t="shared" si="33"/>
        <v>0</v>
      </c>
      <c r="AS101" s="217">
        <f t="shared" si="33"/>
        <v>0</v>
      </c>
      <c r="AT101" s="1065">
        <f t="shared" si="33"/>
        <v>0</v>
      </c>
      <c r="AU101" s="1065">
        <f t="shared" si="33"/>
        <v>0</v>
      </c>
      <c r="AV101" s="11">
        <f t="shared" si="33"/>
        <v>0</v>
      </c>
      <c r="AW101" s="11">
        <f t="shared" si="33"/>
        <v>0</v>
      </c>
      <c r="AX101" s="11">
        <f t="shared" si="33"/>
        <v>0</v>
      </c>
      <c r="AY101" s="11">
        <f t="shared" si="33"/>
        <v>0</v>
      </c>
      <c r="AZ101" s="11">
        <f t="shared" si="33"/>
        <v>0</v>
      </c>
      <c r="BA101" s="11">
        <f t="shared" si="33"/>
        <v>0</v>
      </c>
      <c r="BB101" s="11">
        <f t="shared" si="33"/>
        <v>0</v>
      </c>
      <c r="BC101" s="22"/>
      <c r="BF101" s="902" t="s">
        <v>936</v>
      </c>
    </row>
    <row r="102" spans="5:58" ht="14.65" hidden="1" customHeight="1">
      <c r="E102" s="623">
        <v>15</v>
      </c>
      <c r="F102" s="714">
        <f t="shared" si="23"/>
        <v>0</v>
      </c>
      <c r="T102" s="645" t="b">
        <f t="shared" si="24"/>
        <v>0</v>
      </c>
      <c r="X102" s="1382"/>
      <c r="Z102" s="1382"/>
      <c r="AB102" s="388" t="str">
        <f>AB98&amp;".4"</f>
        <v>6.4</v>
      </c>
      <c r="AC102" s="389" t="s">
        <v>843</v>
      </c>
      <c r="AD102" s="388" t="s">
        <v>388</v>
      </c>
      <c r="AE102" s="11">
        <f t="shared" ref="AE102:BB102" si="34">IF(AE88=0,0,AE116/AE88*100)</f>
        <v>0</v>
      </c>
      <c r="AF102" s="11">
        <f t="shared" si="34"/>
        <v>0</v>
      </c>
      <c r="AG102" s="11">
        <f t="shared" si="34"/>
        <v>0</v>
      </c>
      <c r="AH102" s="11">
        <f t="shared" si="34"/>
        <v>0</v>
      </c>
      <c r="AI102" s="217">
        <f t="shared" si="34"/>
        <v>0</v>
      </c>
      <c r="AJ102" s="1065">
        <f t="shared" si="34"/>
        <v>0</v>
      </c>
      <c r="AK102" s="1065">
        <f t="shared" si="34"/>
        <v>0</v>
      </c>
      <c r="AL102" s="11">
        <f t="shared" si="34"/>
        <v>0</v>
      </c>
      <c r="AM102" s="11">
        <f t="shared" si="34"/>
        <v>0</v>
      </c>
      <c r="AN102" s="11">
        <f t="shared" si="34"/>
        <v>0</v>
      </c>
      <c r="AO102" s="11">
        <f t="shared" si="34"/>
        <v>0</v>
      </c>
      <c r="AP102" s="11">
        <f t="shared" si="34"/>
        <v>0</v>
      </c>
      <c r="AQ102" s="11">
        <f t="shared" si="34"/>
        <v>0</v>
      </c>
      <c r="AR102" s="11">
        <f t="shared" si="34"/>
        <v>0</v>
      </c>
      <c r="AS102" s="217">
        <f t="shared" si="34"/>
        <v>0</v>
      </c>
      <c r="AT102" s="1065">
        <f t="shared" si="34"/>
        <v>0</v>
      </c>
      <c r="AU102" s="1065">
        <f t="shared" si="34"/>
        <v>0</v>
      </c>
      <c r="AV102" s="11">
        <f t="shared" si="34"/>
        <v>0</v>
      </c>
      <c r="AW102" s="11">
        <f t="shared" si="34"/>
        <v>0</v>
      </c>
      <c r="AX102" s="11">
        <f t="shared" si="34"/>
        <v>0</v>
      </c>
      <c r="AY102" s="11">
        <f t="shared" si="34"/>
        <v>0</v>
      </c>
      <c r="AZ102" s="11">
        <f t="shared" si="34"/>
        <v>0</v>
      </c>
      <c r="BA102" s="11">
        <f t="shared" si="34"/>
        <v>0</v>
      </c>
      <c r="BB102" s="11">
        <f t="shared" si="34"/>
        <v>0</v>
      </c>
      <c r="BC102" s="22"/>
      <c r="BF102" s="902" t="s">
        <v>937</v>
      </c>
    </row>
    <row r="103" spans="5:58" ht="14.65" hidden="1" customHeight="1">
      <c r="E103" s="623">
        <v>15</v>
      </c>
      <c r="F103" s="714">
        <f t="shared" si="23"/>
        <v>0</v>
      </c>
      <c r="T103" s="645" t="b">
        <f t="shared" si="24"/>
        <v>0</v>
      </c>
      <c r="X103" s="1382"/>
      <c r="Z103" s="1382"/>
      <c r="AB103" s="388" t="str">
        <f>AB102&amp;".1"</f>
        <v>6.4.1</v>
      </c>
      <c r="AC103" s="390" t="s">
        <v>846</v>
      </c>
      <c r="AD103" s="388" t="s">
        <v>388</v>
      </c>
      <c r="AE103" s="11">
        <f t="shared" ref="AE103:BB103" si="35">IF(AE89=0,0,AE117/AE89*100)</f>
        <v>0</v>
      </c>
      <c r="AF103" s="11">
        <f t="shared" si="35"/>
        <v>0</v>
      </c>
      <c r="AG103" s="11">
        <f t="shared" si="35"/>
        <v>0</v>
      </c>
      <c r="AH103" s="11">
        <f t="shared" si="35"/>
        <v>0</v>
      </c>
      <c r="AI103" s="217">
        <f t="shared" si="35"/>
        <v>0</v>
      </c>
      <c r="AJ103" s="1065">
        <f t="shared" si="35"/>
        <v>0</v>
      </c>
      <c r="AK103" s="1065">
        <f t="shared" si="35"/>
        <v>0</v>
      </c>
      <c r="AL103" s="11">
        <f t="shared" si="35"/>
        <v>0</v>
      </c>
      <c r="AM103" s="11">
        <f t="shared" si="35"/>
        <v>0</v>
      </c>
      <c r="AN103" s="11">
        <f t="shared" si="35"/>
        <v>0</v>
      </c>
      <c r="AO103" s="11">
        <f t="shared" si="35"/>
        <v>0</v>
      </c>
      <c r="AP103" s="11">
        <f t="shared" si="35"/>
        <v>0</v>
      </c>
      <c r="AQ103" s="11">
        <f t="shared" si="35"/>
        <v>0</v>
      </c>
      <c r="AR103" s="11">
        <f t="shared" si="35"/>
        <v>0</v>
      </c>
      <c r="AS103" s="217">
        <f t="shared" si="35"/>
        <v>0</v>
      </c>
      <c r="AT103" s="1065">
        <f t="shared" si="35"/>
        <v>0</v>
      </c>
      <c r="AU103" s="1065">
        <f t="shared" si="35"/>
        <v>0</v>
      </c>
      <c r="AV103" s="11">
        <f t="shared" si="35"/>
        <v>0</v>
      </c>
      <c r="AW103" s="11">
        <f t="shared" si="35"/>
        <v>0</v>
      </c>
      <c r="AX103" s="11">
        <f t="shared" si="35"/>
        <v>0</v>
      </c>
      <c r="AY103" s="11">
        <f t="shared" si="35"/>
        <v>0</v>
      </c>
      <c r="AZ103" s="11">
        <f t="shared" si="35"/>
        <v>0</v>
      </c>
      <c r="BA103" s="11">
        <f t="shared" si="35"/>
        <v>0</v>
      </c>
      <c r="BB103" s="11">
        <f t="shared" si="35"/>
        <v>0</v>
      </c>
      <c r="BC103" s="22"/>
      <c r="BF103" s="902" t="s">
        <v>938</v>
      </c>
    </row>
    <row r="104" spans="5:58" ht="14.65" hidden="1" customHeight="1">
      <c r="E104" s="623">
        <v>15</v>
      </c>
      <c r="F104" s="714">
        <f t="shared" si="23"/>
        <v>0</v>
      </c>
      <c r="T104" s="645" t="b">
        <f t="shared" si="24"/>
        <v>0</v>
      </c>
      <c r="X104" s="1382"/>
      <c r="Z104" s="1382"/>
      <c r="AB104" s="388" t="str">
        <f>AB102&amp;".2"</f>
        <v>6.4.2</v>
      </c>
      <c r="AC104" s="390" t="s">
        <v>849</v>
      </c>
      <c r="AD104" s="388" t="s">
        <v>388</v>
      </c>
      <c r="AE104" s="11">
        <f t="shared" ref="AE104:BB104" si="36">IF(AE90=0,0,AE118/AE90*100)</f>
        <v>0</v>
      </c>
      <c r="AF104" s="11">
        <f t="shared" si="36"/>
        <v>0</v>
      </c>
      <c r="AG104" s="11">
        <f t="shared" si="36"/>
        <v>0</v>
      </c>
      <c r="AH104" s="11">
        <f t="shared" si="36"/>
        <v>0</v>
      </c>
      <c r="AI104" s="217">
        <f t="shared" si="36"/>
        <v>0</v>
      </c>
      <c r="AJ104" s="1065">
        <f t="shared" si="36"/>
        <v>0</v>
      </c>
      <c r="AK104" s="1065">
        <f t="shared" si="36"/>
        <v>0</v>
      </c>
      <c r="AL104" s="11">
        <f t="shared" si="36"/>
        <v>0</v>
      </c>
      <c r="AM104" s="11">
        <f t="shared" si="36"/>
        <v>0</v>
      </c>
      <c r="AN104" s="11">
        <f t="shared" si="36"/>
        <v>0</v>
      </c>
      <c r="AO104" s="11">
        <f t="shared" si="36"/>
        <v>0</v>
      </c>
      <c r="AP104" s="11">
        <f t="shared" si="36"/>
        <v>0</v>
      </c>
      <c r="AQ104" s="11">
        <f t="shared" si="36"/>
        <v>0</v>
      </c>
      <c r="AR104" s="11">
        <f t="shared" si="36"/>
        <v>0</v>
      </c>
      <c r="AS104" s="217">
        <f t="shared" si="36"/>
        <v>0</v>
      </c>
      <c r="AT104" s="1065">
        <f t="shared" si="36"/>
        <v>0</v>
      </c>
      <c r="AU104" s="1065">
        <f t="shared" si="36"/>
        <v>0</v>
      </c>
      <c r="AV104" s="11">
        <f t="shared" si="36"/>
        <v>0</v>
      </c>
      <c r="AW104" s="11">
        <f t="shared" si="36"/>
        <v>0</v>
      </c>
      <c r="AX104" s="11">
        <f t="shared" si="36"/>
        <v>0</v>
      </c>
      <c r="AY104" s="11">
        <f t="shared" si="36"/>
        <v>0</v>
      </c>
      <c r="AZ104" s="11">
        <f t="shared" si="36"/>
        <v>0</v>
      </c>
      <c r="BA104" s="11">
        <f t="shared" si="36"/>
        <v>0</v>
      </c>
      <c r="BB104" s="11">
        <f t="shared" si="36"/>
        <v>0</v>
      </c>
      <c r="BC104" s="22"/>
      <c r="BF104" s="902" t="s">
        <v>939</v>
      </c>
    </row>
    <row r="105" spans="5:58" ht="14.65" hidden="1" customHeight="1">
      <c r="E105" s="623">
        <v>15</v>
      </c>
      <c r="F105" s="714">
        <f t="shared" si="23"/>
        <v>0</v>
      </c>
      <c r="T105" s="645" t="b">
        <f t="shared" si="24"/>
        <v>0</v>
      </c>
      <c r="X105" s="1382"/>
      <c r="Z105" s="1382"/>
      <c r="AB105" s="388" t="str">
        <f>AB102&amp;".3"</f>
        <v>6.4.3</v>
      </c>
      <c r="AC105" s="390" t="s">
        <v>852</v>
      </c>
      <c r="AD105" s="388" t="s">
        <v>388</v>
      </c>
      <c r="AE105" s="11">
        <f t="shared" ref="AE105:BB105" si="37">IF(AE91=0,0,AE119/AE91*100)</f>
        <v>0</v>
      </c>
      <c r="AF105" s="11">
        <f t="shared" si="37"/>
        <v>0</v>
      </c>
      <c r="AG105" s="11">
        <f t="shared" si="37"/>
        <v>0</v>
      </c>
      <c r="AH105" s="11">
        <f t="shared" si="37"/>
        <v>0</v>
      </c>
      <c r="AI105" s="217">
        <f t="shared" si="37"/>
        <v>0</v>
      </c>
      <c r="AJ105" s="1065">
        <f t="shared" si="37"/>
        <v>0</v>
      </c>
      <c r="AK105" s="1065">
        <f t="shared" si="37"/>
        <v>0</v>
      </c>
      <c r="AL105" s="11">
        <f t="shared" si="37"/>
        <v>0</v>
      </c>
      <c r="AM105" s="11">
        <f t="shared" si="37"/>
        <v>0</v>
      </c>
      <c r="AN105" s="11">
        <f t="shared" si="37"/>
        <v>0</v>
      </c>
      <c r="AO105" s="11">
        <f t="shared" si="37"/>
        <v>0</v>
      </c>
      <c r="AP105" s="11">
        <f t="shared" si="37"/>
        <v>0</v>
      </c>
      <c r="AQ105" s="11">
        <f t="shared" si="37"/>
        <v>0</v>
      </c>
      <c r="AR105" s="11">
        <f t="shared" si="37"/>
        <v>0</v>
      </c>
      <c r="AS105" s="217">
        <f t="shared" si="37"/>
        <v>0</v>
      </c>
      <c r="AT105" s="1065">
        <f t="shared" si="37"/>
        <v>0</v>
      </c>
      <c r="AU105" s="1065">
        <f t="shared" si="37"/>
        <v>0</v>
      </c>
      <c r="AV105" s="11">
        <f t="shared" si="37"/>
        <v>0</v>
      </c>
      <c r="AW105" s="11">
        <f t="shared" si="37"/>
        <v>0</v>
      </c>
      <c r="AX105" s="11">
        <f t="shared" si="37"/>
        <v>0</v>
      </c>
      <c r="AY105" s="11">
        <f t="shared" si="37"/>
        <v>0</v>
      </c>
      <c r="AZ105" s="11">
        <f t="shared" si="37"/>
        <v>0</v>
      </c>
      <c r="BA105" s="11">
        <f t="shared" si="37"/>
        <v>0</v>
      </c>
      <c r="BB105" s="11">
        <f t="shared" si="37"/>
        <v>0</v>
      </c>
      <c r="BC105" s="22"/>
      <c r="BF105" s="902" t="s">
        <v>940</v>
      </c>
    </row>
    <row r="106" spans="5:58" ht="14.65" hidden="1" customHeight="1">
      <c r="E106" s="623">
        <v>15</v>
      </c>
      <c r="F106" s="714">
        <f t="shared" si="23"/>
        <v>0</v>
      </c>
      <c r="T106" s="645" t="b">
        <f t="shared" si="24"/>
        <v>0</v>
      </c>
      <c r="X106" s="1382"/>
      <c r="Z106" s="1382"/>
      <c r="AB106" s="388" t="str">
        <f>AB102&amp;".4"</f>
        <v>6.4.4</v>
      </c>
      <c r="AC106" s="390" t="s">
        <v>855</v>
      </c>
      <c r="AD106" s="388" t="s">
        <v>388</v>
      </c>
      <c r="AE106" s="11">
        <f t="shared" ref="AE106:BB106" si="38">IF(AE92=0,0,AE120/AE92*100)</f>
        <v>0</v>
      </c>
      <c r="AF106" s="11">
        <f t="shared" si="38"/>
        <v>0</v>
      </c>
      <c r="AG106" s="11">
        <f t="shared" si="38"/>
        <v>0</v>
      </c>
      <c r="AH106" s="11">
        <f t="shared" si="38"/>
        <v>0</v>
      </c>
      <c r="AI106" s="217">
        <f t="shared" si="38"/>
        <v>0</v>
      </c>
      <c r="AJ106" s="1065">
        <f t="shared" si="38"/>
        <v>0</v>
      </c>
      <c r="AK106" s="1065">
        <f t="shared" si="38"/>
        <v>0</v>
      </c>
      <c r="AL106" s="11">
        <f t="shared" si="38"/>
        <v>0</v>
      </c>
      <c r="AM106" s="11">
        <f t="shared" si="38"/>
        <v>0</v>
      </c>
      <c r="AN106" s="11">
        <f t="shared" si="38"/>
        <v>0</v>
      </c>
      <c r="AO106" s="11">
        <f t="shared" si="38"/>
        <v>0</v>
      </c>
      <c r="AP106" s="11">
        <f t="shared" si="38"/>
        <v>0</v>
      </c>
      <c r="AQ106" s="11">
        <f t="shared" si="38"/>
        <v>0</v>
      </c>
      <c r="AR106" s="11">
        <f t="shared" si="38"/>
        <v>0</v>
      </c>
      <c r="AS106" s="217">
        <f t="shared" si="38"/>
        <v>0</v>
      </c>
      <c r="AT106" s="1065">
        <f t="shared" si="38"/>
        <v>0</v>
      </c>
      <c r="AU106" s="1065">
        <f t="shared" si="38"/>
        <v>0</v>
      </c>
      <c r="AV106" s="11">
        <f t="shared" si="38"/>
        <v>0</v>
      </c>
      <c r="AW106" s="11">
        <f t="shared" si="38"/>
        <v>0</v>
      </c>
      <c r="AX106" s="11">
        <f t="shared" si="38"/>
        <v>0</v>
      </c>
      <c r="AY106" s="11">
        <f t="shared" si="38"/>
        <v>0</v>
      </c>
      <c r="AZ106" s="11">
        <f t="shared" si="38"/>
        <v>0</v>
      </c>
      <c r="BA106" s="11">
        <f t="shared" si="38"/>
        <v>0</v>
      </c>
      <c r="BB106" s="11">
        <f t="shared" si="38"/>
        <v>0</v>
      </c>
      <c r="BC106" s="22"/>
      <c r="BF106" s="902" t="s">
        <v>941</v>
      </c>
    </row>
    <row r="107" spans="5:58" ht="14.65" hidden="1" customHeight="1">
      <c r="E107" s="623">
        <v>15</v>
      </c>
      <c r="F107" s="714">
        <f t="shared" si="23"/>
        <v>0</v>
      </c>
      <c r="T107" s="645" t="b">
        <f t="shared" si="24"/>
        <v>0</v>
      </c>
      <c r="X107" s="1382"/>
      <c r="Z107" s="1382"/>
      <c r="AB107" s="388" t="str">
        <f>AB102&amp;".5"</f>
        <v>6.4.5</v>
      </c>
      <c r="AC107" s="390" t="s">
        <v>858</v>
      </c>
      <c r="AD107" s="388" t="s">
        <v>388</v>
      </c>
      <c r="AE107" s="11">
        <f t="shared" ref="AE107:BB107" si="39">IF(AE93=0,0,AE121/AE93*100)</f>
        <v>0</v>
      </c>
      <c r="AF107" s="11">
        <f t="shared" si="39"/>
        <v>0</v>
      </c>
      <c r="AG107" s="11">
        <f t="shared" si="39"/>
        <v>0</v>
      </c>
      <c r="AH107" s="11">
        <f t="shared" si="39"/>
        <v>0</v>
      </c>
      <c r="AI107" s="217">
        <f t="shared" si="39"/>
        <v>0</v>
      </c>
      <c r="AJ107" s="1065">
        <f t="shared" si="39"/>
        <v>0</v>
      </c>
      <c r="AK107" s="1065">
        <f t="shared" si="39"/>
        <v>0</v>
      </c>
      <c r="AL107" s="11">
        <f t="shared" si="39"/>
        <v>0</v>
      </c>
      <c r="AM107" s="11">
        <f t="shared" si="39"/>
        <v>0</v>
      </c>
      <c r="AN107" s="11">
        <f t="shared" si="39"/>
        <v>0</v>
      </c>
      <c r="AO107" s="11">
        <f t="shared" si="39"/>
        <v>0</v>
      </c>
      <c r="AP107" s="11">
        <f t="shared" si="39"/>
        <v>0</v>
      </c>
      <c r="AQ107" s="11">
        <f t="shared" si="39"/>
        <v>0</v>
      </c>
      <c r="AR107" s="11">
        <f t="shared" si="39"/>
        <v>0</v>
      </c>
      <c r="AS107" s="217">
        <f t="shared" si="39"/>
        <v>0</v>
      </c>
      <c r="AT107" s="1065">
        <f t="shared" si="39"/>
        <v>0</v>
      </c>
      <c r="AU107" s="1065">
        <f t="shared" si="39"/>
        <v>0</v>
      </c>
      <c r="AV107" s="11">
        <f t="shared" si="39"/>
        <v>0</v>
      </c>
      <c r="AW107" s="11">
        <f t="shared" si="39"/>
        <v>0</v>
      </c>
      <c r="AX107" s="11">
        <f t="shared" si="39"/>
        <v>0</v>
      </c>
      <c r="AY107" s="11">
        <f t="shared" si="39"/>
        <v>0</v>
      </c>
      <c r="AZ107" s="11">
        <f t="shared" si="39"/>
        <v>0</v>
      </c>
      <c r="BA107" s="11">
        <f t="shared" si="39"/>
        <v>0</v>
      </c>
      <c r="BB107" s="11">
        <f t="shared" si="39"/>
        <v>0</v>
      </c>
      <c r="BC107" s="22"/>
      <c r="BF107" s="902" t="s">
        <v>942</v>
      </c>
    </row>
    <row r="108" spans="5:58" ht="14.65" hidden="1" customHeight="1">
      <c r="E108" s="623">
        <v>15</v>
      </c>
      <c r="F108" s="714">
        <f t="shared" si="23"/>
        <v>0</v>
      </c>
      <c r="T108" s="645" t="b">
        <f t="shared" si="24"/>
        <v>0</v>
      </c>
      <c r="X108" s="1382"/>
      <c r="Z108" s="1382"/>
      <c r="AB108" s="388" t="str">
        <f>AB98&amp;".5"</f>
        <v>6.5</v>
      </c>
      <c r="AC108" s="389" t="s">
        <v>861</v>
      </c>
      <c r="AD108" s="388" t="s">
        <v>388</v>
      </c>
      <c r="AE108" s="11">
        <f t="shared" ref="AE108:BB108" si="40">IF(AE94=0,0,AE122/AE94*100)</f>
        <v>0</v>
      </c>
      <c r="AF108" s="11">
        <f t="shared" si="40"/>
        <v>0</v>
      </c>
      <c r="AG108" s="11">
        <f t="shared" si="40"/>
        <v>0</v>
      </c>
      <c r="AH108" s="11">
        <f t="shared" si="40"/>
        <v>0</v>
      </c>
      <c r="AI108" s="217">
        <f t="shared" si="40"/>
        <v>0</v>
      </c>
      <c r="AJ108" s="1065">
        <f t="shared" si="40"/>
        <v>0</v>
      </c>
      <c r="AK108" s="1065">
        <f t="shared" si="40"/>
        <v>0</v>
      </c>
      <c r="AL108" s="11">
        <f t="shared" si="40"/>
        <v>0</v>
      </c>
      <c r="AM108" s="11">
        <f t="shared" si="40"/>
        <v>0</v>
      </c>
      <c r="AN108" s="11">
        <f t="shared" si="40"/>
        <v>0</v>
      </c>
      <c r="AO108" s="11">
        <f t="shared" si="40"/>
        <v>0</v>
      </c>
      <c r="AP108" s="11">
        <f t="shared" si="40"/>
        <v>0</v>
      </c>
      <c r="AQ108" s="11">
        <f t="shared" si="40"/>
        <v>0</v>
      </c>
      <c r="AR108" s="11">
        <f t="shared" si="40"/>
        <v>0</v>
      </c>
      <c r="AS108" s="217">
        <f t="shared" si="40"/>
        <v>0</v>
      </c>
      <c r="AT108" s="1065">
        <f t="shared" si="40"/>
        <v>0</v>
      </c>
      <c r="AU108" s="1065">
        <f t="shared" si="40"/>
        <v>0</v>
      </c>
      <c r="AV108" s="11">
        <f t="shared" si="40"/>
        <v>0</v>
      </c>
      <c r="AW108" s="11">
        <f t="shared" si="40"/>
        <v>0</v>
      </c>
      <c r="AX108" s="11">
        <f t="shared" si="40"/>
        <v>0</v>
      </c>
      <c r="AY108" s="11">
        <f t="shared" si="40"/>
        <v>0</v>
      </c>
      <c r="AZ108" s="11">
        <f t="shared" si="40"/>
        <v>0</v>
      </c>
      <c r="BA108" s="11">
        <f t="shared" si="40"/>
        <v>0</v>
      </c>
      <c r="BB108" s="11">
        <f t="shared" si="40"/>
        <v>0</v>
      </c>
      <c r="BC108" s="22"/>
      <c r="BF108" s="902" t="s">
        <v>943</v>
      </c>
    </row>
    <row r="109" spans="5:58" ht="14.65" hidden="1" customHeight="1">
      <c r="E109" s="623">
        <v>15</v>
      </c>
      <c r="F109" s="714">
        <f t="shared" si="23"/>
        <v>0</v>
      </c>
      <c r="T109" s="645" t="b">
        <f t="shared" si="24"/>
        <v>0</v>
      </c>
      <c r="X109" s="1382"/>
      <c r="Z109" s="1382"/>
      <c r="AB109" s="388" t="str">
        <f>AB98&amp;".6"</f>
        <v>6.6</v>
      </c>
      <c r="AC109" s="389" t="s">
        <v>864</v>
      </c>
      <c r="AD109" s="388" t="s">
        <v>388</v>
      </c>
      <c r="AE109" s="11">
        <f t="shared" ref="AE109:BB109" si="41">IF(AE95=0,0,AE123/AE95*100)</f>
        <v>0</v>
      </c>
      <c r="AF109" s="11">
        <f t="shared" si="41"/>
        <v>0</v>
      </c>
      <c r="AG109" s="11">
        <f t="shared" si="41"/>
        <v>0</v>
      </c>
      <c r="AH109" s="11">
        <f t="shared" si="41"/>
        <v>0</v>
      </c>
      <c r="AI109" s="217">
        <f t="shared" si="41"/>
        <v>0</v>
      </c>
      <c r="AJ109" s="1065">
        <f t="shared" si="41"/>
        <v>0</v>
      </c>
      <c r="AK109" s="1065">
        <f t="shared" si="41"/>
        <v>0</v>
      </c>
      <c r="AL109" s="11">
        <f t="shared" si="41"/>
        <v>0</v>
      </c>
      <c r="AM109" s="11">
        <f t="shared" si="41"/>
        <v>0</v>
      </c>
      <c r="AN109" s="11">
        <f t="shared" si="41"/>
        <v>0</v>
      </c>
      <c r="AO109" s="11">
        <f t="shared" si="41"/>
        <v>0</v>
      </c>
      <c r="AP109" s="11">
        <f t="shared" si="41"/>
        <v>0</v>
      </c>
      <c r="AQ109" s="11">
        <f t="shared" si="41"/>
        <v>0</v>
      </c>
      <c r="AR109" s="11">
        <f t="shared" si="41"/>
        <v>0</v>
      </c>
      <c r="AS109" s="217">
        <f t="shared" si="41"/>
        <v>0</v>
      </c>
      <c r="AT109" s="1065">
        <f t="shared" si="41"/>
        <v>0</v>
      </c>
      <c r="AU109" s="1065">
        <f t="shared" si="41"/>
        <v>0</v>
      </c>
      <c r="AV109" s="11">
        <f t="shared" si="41"/>
        <v>0</v>
      </c>
      <c r="AW109" s="11">
        <f t="shared" si="41"/>
        <v>0</v>
      </c>
      <c r="AX109" s="11">
        <f t="shared" si="41"/>
        <v>0</v>
      </c>
      <c r="AY109" s="11">
        <f t="shared" si="41"/>
        <v>0</v>
      </c>
      <c r="AZ109" s="11">
        <f t="shared" si="41"/>
        <v>0</v>
      </c>
      <c r="BA109" s="11">
        <f t="shared" si="41"/>
        <v>0</v>
      </c>
      <c r="BB109" s="11">
        <f t="shared" si="41"/>
        <v>0</v>
      </c>
      <c r="BC109" s="22"/>
      <c r="BF109" s="902" t="s">
        <v>944</v>
      </c>
    </row>
    <row r="110" spans="5:58" ht="14.65" hidden="1" customHeight="1">
      <c r="E110" s="623">
        <v>15</v>
      </c>
      <c r="F110" s="714">
        <f t="shared" si="23"/>
        <v>0</v>
      </c>
      <c r="T110" s="645" t="b">
        <f t="shared" si="24"/>
        <v>0</v>
      </c>
      <c r="X110" s="1382"/>
      <c r="Z110" s="1382"/>
      <c r="AB110" s="388" t="str">
        <f>AB98&amp;".7"</f>
        <v>6.7</v>
      </c>
      <c r="AC110" s="389" t="s">
        <v>867</v>
      </c>
      <c r="AD110" s="388" t="s">
        <v>388</v>
      </c>
      <c r="AE110" s="11">
        <f t="shared" ref="AE110:BB110" si="42">IF(AE96=0,0,AE124/AE96*100)</f>
        <v>0</v>
      </c>
      <c r="AF110" s="11">
        <f t="shared" si="42"/>
        <v>0</v>
      </c>
      <c r="AG110" s="11">
        <f t="shared" si="42"/>
        <v>0</v>
      </c>
      <c r="AH110" s="11">
        <f t="shared" si="42"/>
        <v>0</v>
      </c>
      <c r="AI110" s="217">
        <f t="shared" si="42"/>
        <v>0</v>
      </c>
      <c r="AJ110" s="1065">
        <f t="shared" si="42"/>
        <v>0</v>
      </c>
      <c r="AK110" s="1065">
        <f t="shared" si="42"/>
        <v>0</v>
      </c>
      <c r="AL110" s="11">
        <f t="shared" si="42"/>
        <v>0</v>
      </c>
      <c r="AM110" s="11">
        <f t="shared" si="42"/>
        <v>0</v>
      </c>
      <c r="AN110" s="11">
        <f t="shared" si="42"/>
        <v>0</v>
      </c>
      <c r="AO110" s="11">
        <f t="shared" si="42"/>
        <v>0</v>
      </c>
      <c r="AP110" s="11">
        <f t="shared" si="42"/>
        <v>0</v>
      </c>
      <c r="AQ110" s="11">
        <f t="shared" si="42"/>
        <v>0</v>
      </c>
      <c r="AR110" s="11">
        <f t="shared" si="42"/>
        <v>0</v>
      </c>
      <c r="AS110" s="217">
        <f t="shared" si="42"/>
        <v>0</v>
      </c>
      <c r="AT110" s="1065">
        <f t="shared" si="42"/>
        <v>0</v>
      </c>
      <c r="AU110" s="1065">
        <f t="shared" si="42"/>
        <v>0</v>
      </c>
      <c r="AV110" s="11">
        <f t="shared" si="42"/>
        <v>0</v>
      </c>
      <c r="AW110" s="11">
        <f t="shared" si="42"/>
        <v>0</v>
      </c>
      <c r="AX110" s="11">
        <f t="shared" si="42"/>
        <v>0</v>
      </c>
      <c r="AY110" s="11">
        <f t="shared" si="42"/>
        <v>0</v>
      </c>
      <c r="AZ110" s="11">
        <f t="shared" si="42"/>
        <v>0</v>
      </c>
      <c r="BA110" s="11">
        <f t="shared" si="42"/>
        <v>0</v>
      </c>
      <c r="BB110" s="11">
        <f t="shared" si="42"/>
        <v>0</v>
      </c>
      <c r="BC110" s="22"/>
      <c r="BF110" s="902" t="s">
        <v>945</v>
      </c>
    </row>
    <row r="111" spans="5:58" ht="14.65" hidden="1" customHeight="1">
      <c r="E111" s="623">
        <v>15</v>
      </c>
      <c r="F111" s="714">
        <f t="shared" si="23"/>
        <v>0</v>
      </c>
      <c r="T111" s="645" t="b">
        <f t="shared" si="24"/>
        <v>0</v>
      </c>
      <c r="X111" s="1382"/>
      <c r="Z111" s="1382"/>
      <c r="AB111" s="388" t="str">
        <f>AB98&amp;".8"</f>
        <v>6.8</v>
      </c>
      <c r="AC111" s="389" t="s">
        <v>870</v>
      </c>
      <c r="AD111" s="388" t="s">
        <v>388</v>
      </c>
      <c r="AE111" s="11">
        <f t="shared" ref="AE111:BB111" si="43">IF(AE97=0,0,AE125/AE97*100)</f>
        <v>0</v>
      </c>
      <c r="AF111" s="11">
        <f t="shared" si="43"/>
        <v>0</v>
      </c>
      <c r="AG111" s="11">
        <f t="shared" si="43"/>
        <v>0</v>
      </c>
      <c r="AH111" s="11">
        <f t="shared" si="43"/>
        <v>0</v>
      </c>
      <c r="AI111" s="217">
        <f t="shared" si="43"/>
        <v>0</v>
      </c>
      <c r="AJ111" s="1065">
        <f t="shared" si="43"/>
        <v>0</v>
      </c>
      <c r="AK111" s="1065">
        <f t="shared" si="43"/>
        <v>0</v>
      </c>
      <c r="AL111" s="11">
        <f t="shared" si="43"/>
        <v>0</v>
      </c>
      <c r="AM111" s="11">
        <f t="shared" si="43"/>
        <v>0</v>
      </c>
      <c r="AN111" s="11">
        <f t="shared" si="43"/>
        <v>0</v>
      </c>
      <c r="AO111" s="11">
        <f t="shared" si="43"/>
        <v>0</v>
      </c>
      <c r="AP111" s="11">
        <f t="shared" si="43"/>
        <v>0</v>
      </c>
      <c r="AQ111" s="11">
        <f t="shared" si="43"/>
        <v>0</v>
      </c>
      <c r="AR111" s="11">
        <f t="shared" si="43"/>
        <v>0</v>
      </c>
      <c r="AS111" s="217">
        <f t="shared" si="43"/>
        <v>0</v>
      </c>
      <c r="AT111" s="1065">
        <f t="shared" si="43"/>
        <v>0</v>
      </c>
      <c r="AU111" s="1065">
        <f t="shared" si="43"/>
        <v>0</v>
      </c>
      <c r="AV111" s="11">
        <f t="shared" si="43"/>
        <v>0</v>
      </c>
      <c r="AW111" s="11">
        <f t="shared" si="43"/>
        <v>0</v>
      </c>
      <c r="AX111" s="11">
        <f t="shared" si="43"/>
        <v>0</v>
      </c>
      <c r="AY111" s="11">
        <f t="shared" si="43"/>
        <v>0</v>
      </c>
      <c r="AZ111" s="11">
        <f t="shared" si="43"/>
        <v>0</v>
      </c>
      <c r="BA111" s="11">
        <f t="shared" si="43"/>
        <v>0</v>
      </c>
      <c r="BB111" s="11">
        <f t="shared" si="43"/>
        <v>0</v>
      </c>
      <c r="BC111" s="22"/>
      <c r="BF111" s="902" t="s">
        <v>946</v>
      </c>
    </row>
    <row r="112" spans="5:58" s="154" customFormat="1" ht="14.65" hidden="1" customHeight="1">
      <c r="E112" s="623">
        <v>15</v>
      </c>
      <c r="F112" s="714">
        <f t="shared" si="23"/>
        <v>0</v>
      </c>
      <c r="G112" s="566" t="s">
        <v>947</v>
      </c>
      <c r="K112" s="150" t="str">
        <f>F112&amp;"komm"</f>
        <v>0komm</v>
      </c>
      <c r="L112" s="151">
        <f>BC112</f>
        <v>0</v>
      </c>
      <c r="T112" s="645" t="b">
        <f t="shared" si="24"/>
        <v>0</v>
      </c>
      <c r="X112" s="1491"/>
      <c r="Z112" s="1491"/>
      <c r="AB112" s="214">
        <v>7</v>
      </c>
      <c r="AC112" s="215" t="s">
        <v>948</v>
      </c>
      <c r="AD112" s="95" t="s">
        <v>648</v>
      </c>
      <c r="AE112" s="44">
        <f t="shared" ref="AE112:BB112" si="44">SUM(AE113:AE116)+SUM(AE122:AE125)</f>
        <v>0</v>
      </c>
      <c r="AF112" s="44">
        <f t="shared" si="44"/>
        <v>0</v>
      </c>
      <c r="AG112" s="44">
        <f t="shared" si="44"/>
        <v>0</v>
      </c>
      <c r="AH112" s="44">
        <f t="shared" si="44"/>
        <v>0</v>
      </c>
      <c r="AI112" s="229">
        <f t="shared" si="44"/>
        <v>0</v>
      </c>
      <c r="AJ112" s="1132">
        <f t="shared" si="44"/>
        <v>0</v>
      </c>
      <c r="AK112" s="1132">
        <f t="shared" si="44"/>
        <v>0</v>
      </c>
      <c r="AL112" s="44">
        <f t="shared" si="44"/>
        <v>0</v>
      </c>
      <c r="AM112" s="44">
        <f t="shared" si="44"/>
        <v>0</v>
      </c>
      <c r="AN112" s="44">
        <f t="shared" si="44"/>
        <v>0</v>
      </c>
      <c r="AO112" s="44">
        <f t="shared" si="44"/>
        <v>0</v>
      </c>
      <c r="AP112" s="44">
        <f t="shared" si="44"/>
        <v>0</v>
      </c>
      <c r="AQ112" s="44">
        <f t="shared" si="44"/>
        <v>0</v>
      </c>
      <c r="AR112" s="44">
        <f t="shared" si="44"/>
        <v>0</v>
      </c>
      <c r="AS112" s="229">
        <f t="shared" si="44"/>
        <v>0</v>
      </c>
      <c r="AT112" s="1132">
        <f t="shared" si="44"/>
        <v>0</v>
      </c>
      <c r="AU112" s="1132">
        <f t="shared" si="44"/>
        <v>0</v>
      </c>
      <c r="AV112" s="44">
        <f t="shared" si="44"/>
        <v>0</v>
      </c>
      <c r="AW112" s="44">
        <f t="shared" si="44"/>
        <v>0</v>
      </c>
      <c r="AX112" s="44">
        <f t="shared" si="44"/>
        <v>0</v>
      </c>
      <c r="AY112" s="44">
        <f t="shared" si="44"/>
        <v>0</v>
      </c>
      <c r="AZ112" s="44">
        <f t="shared" si="44"/>
        <v>0</v>
      </c>
      <c r="BA112" s="44">
        <f t="shared" si="44"/>
        <v>0</v>
      </c>
      <c r="BB112" s="44">
        <f t="shared" si="44"/>
        <v>0</v>
      </c>
      <c r="BC112" s="22"/>
      <c r="BF112" s="902" t="s">
        <v>949</v>
      </c>
    </row>
    <row r="113" spans="1:58" ht="14.65" hidden="1" customHeight="1">
      <c r="E113" s="623">
        <v>15</v>
      </c>
      <c r="F113" s="714">
        <f t="shared" si="23"/>
        <v>0</v>
      </c>
      <c r="T113" s="645" t="b">
        <f t="shared" si="24"/>
        <v>0</v>
      </c>
      <c r="X113" s="1382"/>
      <c r="Z113" s="1382"/>
      <c r="AB113" s="388" t="str">
        <f>AB112&amp;".1"</f>
        <v>7.1</v>
      </c>
      <c r="AC113" s="389" t="s">
        <v>836</v>
      </c>
      <c r="AD113" s="388" t="s">
        <v>837</v>
      </c>
      <c r="AE113" s="11"/>
      <c r="AF113" s="11"/>
      <c r="AG113" s="11"/>
      <c r="AH113" s="11"/>
      <c r="AI113" s="217"/>
      <c r="AJ113" s="1065"/>
      <c r="AK113" s="1065"/>
      <c r="AL113" s="11"/>
      <c r="AM113" s="11"/>
      <c r="AN113" s="11"/>
      <c r="AO113" s="11"/>
      <c r="AP113" s="11"/>
      <c r="AQ113" s="11"/>
      <c r="AR113" s="11"/>
      <c r="AS113" s="217"/>
      <c r="AT113" s="1065"/>
      <c r="AU113" s="1065"/>
      <c r="AV113" s="11"/>
      <c r="AW113" s="11"/>
      <c r="AX113" s="11"/>
      <c r="AY113" s="11"/>
      <c r="AZ113" s="11"/>
      <c r="BA113" s="11"/>
      <c r="BB113" s="11"/>
      <c r="BC113" s="22"/>
      <c r="BF113" s="902" t="s">
        <v>950</v>
      </c>
    </row>
    <row r="114" spans="1:58" ht="14.65" hidden="1" customHeight="1">
      <c r="E114" s="623">
        <v>15</v>
      </c>
      <c r="F114" s="714">
        <f t="shared" si="23"/>
        <v>0</v>
      </c>
      <c r="T114" s="645" t="b">
        <f t="shared" si="24"/>
        <v>0</v>
      </c>
      <c r="X114" s="1382"/>
      <c r="Z114" s="1382"/>
      <c r="AB114" s="388" t="str">
        <f>AB112&amp;".2"</f>
        <v>7.2</v>
      </c>
      <c r="AC114" s="389" t="s">
        <v>839</v>
      </c>
      <c r="AD114" s="388" t="s">
        <v>837</v>
      </c>
      <c r="AE114" s="11"/>
      <c r="AF114" s="11"/>
      <c r="AG114" s="11"/>
      <c r="AH114" s="11"/>
      <c r="AI114" s="217"/>
      <c r="AJ114" s="1065"/>
      <c r="AK114" s="1065"/>
      <c r="AL114" s="11"/>
      <c r="AM114" s="11"/>
      <c r="AN114" s="11"/>
      <c r="AO114" s="11"/>
      <c r="AP114" s="11"/>
      <c r="AQ114" s="11"/>
      <c r="AR114" s="11"/>
      <c r="AS114" s="217"/>
      <c r="AT114" s="1065"/>
      <c r="AU114" s="1065"/>
      <c r="AV114" s="11"/>
      <c r="AW114" s="11"/>
      <c r="AX114" s="11"/>
      <c r="AY114" s="11"/>
      <c r="AZ114" s="11"/>
      <c r="BA114" s="11"/>
      <c r="BB114" s="11"/>
      <c r="BC114" s="22"/>
      <c r="BF114" s="902" t="s">
        <v>951</v>
      </c>
    </row>
    <row r="115" spans="1:58" ht="14.65" hidden="1" customHeight="1">
      <c r="E115" s="623">
        <v>15</v>
      </c>
      <c r="F115" s="714">
        <f t="shared" si="23"/>
        <v>0</v>
      </c>
      <c r="T115" s="645" t="b">
        <f t="shared" si="24"/>
        <v>0</v>
      </c>
      <c r="X115" s="1382"/>
      <c r="Z115" s="1382"/>
      <c r="AB115" s="388" t="str">
        <f>AB112&amp;".3"</f>
        <v>7.3</v>
      </c>
      <c r="AC115" s="389" t="s">
        <v>841</v>
      </c>
      <c r="AD115" s="388" t="s">
        <v>837</v>
      </c>
      <c r="AE115" s="11"/>
      <c r="AF115" s="11"/>
      <c r="AG115" s="11"/>
      <c r="AH115" s="11"/>
      <c r="AI115" s="217"/>
      <c r="AJ115" s="1065"/>
      <c r="AK115" s="1065"/>
      <c r="AL115" s="11"/>
      <c r="AM115" s="11"/>
      <c r="AN115" s="11"/>
      <c r="AO115" s="11"/>
      <c r="AP115" s="11"/>
      <c r="AQ115" s="11"/>
      <c r="AR115" s="11"/>
      <c r="AS115" s="217"/>
      <c r="AT115" s="1065"/>
      <c r="AU115" s="1065"/>
      <c r="AV115" s="11"/>
      <c r="AW115" s="11"/>
      <c r="AX115" s="11"/>
      <c r="AY115" s="11"/>
      <c r="AZ115" s="11"/>
      <c r="BA115" s="11"/>
      <c r="BB115" s="11"/>
      <c r="BC115" s="22"/>
      <c r="BF115" s="902" t="s">
        <v>952</v>
      </c>
    </row>
    <row r="116" spans="1:58" ht="14.65" hidden="1" customHeight="1">
      <c r="E116" s="623">
        <v>15</v>
      </c>
      <c r="F116" s="714">
        <f t="shared" si="23"/>
        <v>0</v>
      </c>
      <c r="T116" s="645" t="b">
        <f t="shared" si="24"/>
        <v>0</v>
      </c>
      <c r="X116" s="1382"/>
      <c r="Z116" s="1382"/>
      <c r="AB116" s="388" t="str">
        <f>AB112&amp;".4"</f>
        <v>7.4</v>
      </c>
      <c r="AC116" s="389" t="s">
        <v>843</v>
      </c>
      <c r="AD116" s="388" t="s">
        <v>837</v>
      </c>
      <c r="AE116" s="25">
        <f t="shared" ref="AE116:BB116" si="45">SUM(AE117:AE121)</f>
        <v>0</v>
      </c>
      <c r="AF116" s="25">
        <f t="shared" si="45"/>
        <v>0</v>
      </c>
      <c r="AG116" s="25">
        <f t="shared" si="45"/>
        <v>0</v>
      </c>
      <c r="AH116" s="25">
        <f t="shared" si="45"/>
        <v>0</v>
      </c>
      <c r="AI116" s="386">
        <f t="shared" si="45"/>
        <v>0</v>
      </c>
      <c r="AJ116" s="1104">
        <f t="shared" si="45"/>
        <v>0</v>
      </c>
      <c r="AK116" s="1104">
        <f t="shared" si="45"/>
        <v>0</v>
      </c>
      <c r="AL116" s="25">
        <f t="shared" si="45"/>
        <v>0</v>
      </c>
      <c r="AM116" s="25">
        <f t="shared" si="45"/>
        <v>0</v>
      </c>
      <c r="AN116" s="25">
        <f t="shared" si="45"/>
        <v>0</v>
      </c>
      <c r="AO116" s="25">
        <f t="shared" si="45"/>
        <v>0</v>
      </c>
      <c r="AP116" s="25">
        <f t="shared" si="45"/>
        <v>0</v>
      </c>
      <c r="AQ116" s="25">
        <f t="shared" si="45"/>
        <v>0</v>
      </c>
      <c r="AR116" s="25">
        <f t="shared" si="45"/>
        <v>0</v>
      </c>
      <c r="AS116" s="386">
        <f t="shared" si="45"/>
        <v>0</v>
      </c>
      <c r="AT116" s="1104">
        <f t="shared" si="45"/>
        <v>0</v>
      </c>
      <c r="AU116" s="1104">
        <f t="shared" si="45"/>
        <v>0</v>
      </c>
      <c r="AV116" s="25">
        <f t="shared" si="45"/>
        <v>0</v>
      </c>
      <c r="AW116" s="25">
        <f t="shared" si="45"/>
        <v>0</v>
      </c>
      <c r="AX116" s="25">
        <f t="shared" si="45"/>
        <v>0</v>
      </c>
      <c r="AY116" s="25">
        <f t="shared" si="45"/>
        <v>0</v>
      </c>
      <c r="AZ116" s="25">
        <f t="shared" si="45"/>
        <v>0</v>
      </c>
      <c r="BA116" s="25">
        <f t="shared" si="45"/>
        <v>0</v>
      </c>
      <c r="BB116" s="25">
        <f t="shared" si="45"/>
        <v>0</v>
      </c>
      <c r="BC116" s="22"/>
      <c r="BF116" s="902" t="s">
        <v>953</v>
      </c>
    </row>
    <row r="117" spans="1:58" ht="14.65" hidden="1" customHeight="1">
      <c r="E117" s="623">
        <v>15</v>
      </c>
      <c r="F117" s="714">
        <f t="shared" si="23"/>
        <v>0</v>
      </c>
      <c r="T117" s="645" t="b">
        <f t="shared" si="24"/>
        <v>0</v>
      </c>
      <c r="X117" s="1382"/>
      <c r="Z117" s="1382"/>
      <c r="AB117" s="388" t="str">
        <f>AB116&amp;".1"</f>
        <v>7.4.1</v>
      </c>
      <c r="AC117" s="390" t="s">
        <v>846</v>
      </c>
      <c r="AD117" s="388" t="s">
        <v>837</v>
      </c>
      <c r="AE117" s="11"/>
      <c r="AF117" s="11"/>
      <c r="AG117" s="11"/>
      <c r="AH117" s="11"/>
      <c r="AI117" s="217"/>
      <c r="AJ117" s="1065"/>
      <c r="AK117" s="1065"/>
      <c r="AL117" s="11"/>
      <c r="AM117" s="11"/>
      <c r="AN117" s="11"/>
      <c r="AO117" s="11"/>
      <c r="AP117" s="11"/>
      <c r="AQ117" s="11"/>
      <c r="AR117" s="11"/>
      <c r="AS117" s="217"/>
      <c r="AT117" s="1065"/>
      <c r="AU117" s="1065"/>
      <c r="AV117" s="11"/>
      <c r="AW117" s="11"/>
      <c r="AX117" s="11"/>
      <c r="AY117" s="11"/>
      <c r="AZ117" s="11"/>
      <c r="BA117" s="11"/>
      <c r="BB117" s="11"/>
      <c r="BC117" s="22"/>
      <c r="BF117" s="902" t="s">
        <v>954</v>
      </c>
    </row>
    <row r="118" spans="1:58" ht="14.65" hidden="1" customHeight="1">
      <c r="E118" s="623">
        <v>15</v>
      </c>
      <c r="F118" s="714">
        <f t="shared" si="23"/>
        <v>0</v>
      </c>
      <c r="T118" s="645" t="b">
        <f t="shared" si="24"/>
        <v>0</v>
      </c>
      <c r="X118" s="1382"/>
      <c r="Z118" s="1382"/>
      <c r="AB118" s="388" t="str">
        <f>AB116&amp;".2"</f>
        <v>7.4.2</v>
      </c>
      <c r="AC118" s="390" t="s">
        <v>849</v>
      </c>
      <c r="AD118" s="388" t="s">
        <v>837</v>
      </c>
      <c r="AE118" s="11"/>
      <c r="AF118" s="11"/>
      <c r="AG118" s="11"/>
      <c r="AH118" s="11"/>
      <c r="AI118" s="217"/>
      <c r="AJ118" s="1065"/>
      <c r="AK118" s="1065"/>
      <c r="AL118" s="11"/>
      <c r="AM118" s="11"/>
      <c r="AN118" s="11"/>
      <c r="AO118" s="11"/>
      <c r="AP118" s="11"/>
      <c r="AQ118" s="11"/>
      <c r="AR118" s="11"/>
      <c r="AS118" s="217"/>
      <c r="AT118" s="1065"/>
      <c r="AU118" s="1065"/>
      <c r="AV118" s="11"/>
      <c r="AW118" s="11"/>
      <c r="AX118" s="11"/>
      <c r="AY118" s="11"/>
      <c r="AZ118" s="11"/>
      <c r="BA118" s="11"/>
      <c r="BB118" s="11"/>
      <c r="BC118" s="22"/>
      <c r="BF118" s="902" t="s">
        <v>955</v>
      </c>
    </row>
    <row r="119" spans="1:58" ht="14.65" hidden="1" customHeight="1">
      <c r="E119" s="623">
        <v>15</v>
      </c>
      <c r="F119" s="714">
        <f t="shared" si="23"/>
        <v>0</v>
      </c>
      <c r="T119" s="645" t="b">
        <f t="shared" si="24"/>
        <v>0</v>
      </c>
      <c r="X119" s="1382"/>
      <c r="Z119" s="1382"/>
      <c r="AB119" s="388" t="str">
        <f>AB116&amp;".3"</f>
        <v>7.4.3</v>
      </c>
      <c r="AC119" s="390" t="s">
        <v>852</v>
      </c>
      <c r="AD119" s="388" t="s">
        <v>837</v>
      </c>
      <c r="AE119" s="11"/>
      <c r="AF119" s="11"/>
      <c r="AG119" s="11"/>
      <c r="AH119" s="11"/>
      <c r="AI119" s="217"/>
      <c r="AJ119" s="1065"/>
      <c r="AK119" s="1065"/>
      <c r="AL119" s="11"/>
      <c r="AM119" s="11"/>
      <c r="AN119" s="11"/>
      <c r="AO119" s="11"/>
      <c r="AP119" s="11"/>
      <c r="AQ119" s="11"/>
      <c r="AR119" s="11"/>
      <c r="AS119" s="217"/>
      <c r="AT119" s="1065"/>
      <c r="AU119" s="1065"/>
      <c r="AV119" s="11"/>
      <c r="AW119" s="11"/>
      <c r="AX119" s="11"/>
      <c r="AY119" s="11"/>
      <c r="AZ119" s="11"/>
      <c r="BA119" s="11"/>
      <c r="BB119" s="11"/>
      <c r="BC119" s="22"/>
      <c r="BF119" s="902" t="s">
        <v>956</v>
      </c>
    </row>
    <row r="120" spans="1:58" ht="14.65" hidden="1" customHeight="1">
      <c r="E120" s="623">
        <v>15</v>
      </c>
      <c r="F120" s="714">
        <f t="shared" si="23"/>
        <v>0</v>
      </c>
      <c r="T120" s="645" t="b">
        <f t="shared" si="24"/>
        <v>0</v>
      </c>
      <c r="X120" s="1382"/>
      <c r="Z120" s="1382"/>
      <c r="AB120" s="388" t="str">
        <f>AB116&amp;".4"</f>
        <v>7.4.4</v>
      </c>
      <c r="AC120" s="390" t="s">
        <v>855</v>
      </c>
      <c r="AD120" s="388" t="s">
        <v>837</v>
      </c>
      <c r="AE120" s="11"/>
      <c r="AF120" s="11"/>
      <c r="AG120" s="11"/>
      <c r="AH120" s="11"/>
      <c r="AI120" s="217"/>
      <c r="AJ120" s="1065"/>
      <c r="AK120" s="1065"/>
      <c r="AL120" s="11"/>
      <c r="AM120" s="11"/>
      <c r="AN120" s="11"/>
      <c r="AO120" s="11"/>
      <c r="AP120" s="11"/>
      <c r="AQ120" s="11"/>
      <c r="AR120" s="11"/>
      <c r="AS120" s="217"/>
      <c r="AT120" s="1065"/>
      <c r="AU120" s="1065"/>
      <c r="AV120" s="11"/>
      <c r="AW120" s="11"/>
      <c r="AX120" s="11"/>
      <c r="AY120" s="11"/>
      <c r="AZ120" s="11"/>
      <c r="BA120" s="11"/>
      <c r="BB120" s="11"/>
      <c r="BC120" s="22"/>
      <c r="BF120" s="902" t="s">
        <v>957</v>
      </c>
    </row>
    <row r="121" spans="1:58" ht="14.65" hidden="1" customHeight="1">
      <c r="E121" s="623">
        <v>15</v>
      </c>
      <c r="F121" s="714">
        <f t="shared" si="23"/>
        <v>0</v>
      </c>
      <c r="T121" s="645" t="b">
        <f t="shared" si="24"/>
        <v>0</v>
      </c>
      <c r="X121" s="1382"/>
      <c r="Z121" s="1382"/>
      <c r="AB121" s="388" t="str">
        <f>AB116&amp;".5"</f>
        <v>7.4.5</v>
      </c>
      <c r="AC121" s="390" t="s">
        <v>858</v>
      </c>
      <c r="AD121" s="388" t="s">
        <v>837</v>
      </c>
      <c r="AE121" s="11"/>
      <c r="AF121" s="11"/>
      <c r="AG121" s="11"/>
      <c r="AH121" s="11"/>
      <c r="AI121" s="217"/>
      <c r="AJ121" s="1065"/>
      <c r="AK121" s="1065"/>
      <c r="AL121" s="11"/>
      <c r="AM121" s="11"/>
      <c r="AN121" s="11"/>
      <c r="AO121" s="11"/>
      <c r="AP121" s="11"/>
      <c r="AQ121" s="11"/>
      <c r="AR121" s="11"/>
      <c r="AS121" s="217"/>
      <c r="AT121" s="1065"/>
      <c r="AU121" s="1065"/>
      <c r="AV121" s="11"/>
      <c r="AW121" s="11"/>
      <c r="AX121" s="11"/>
      <c r="AY121" s="11"/>
      <c r="AZ121" s="11"/>
      <c r="BA121" s="11"/>
      <c r="BB121" s="11"/>
      <c r="BC121" s="22"/>
      <c r="BF121" s="902" t="s">
        <v>958</v>
      </c>
    </row>
    <row r="122" spans="1:58" ht="14.65" hidden="1" customHeight="1">
      <c r="E122" s="623">
        <v>15</v>
      </c>
      <c r="F122" s="714">
        <f t="shared" si="23"/>
        <v>0</v>
      </c>
      <c r="T122" s="645" t="b">
        <f t="shared" si="24"/>
        <v>0</v>
      </c>
      <c r="X122" s="1382"/>
      <c r="Z122" s="1382"/>
      <c r="AB122" s="388" t="str">
        <f>AB112&amp;".5"</f>
        <v>7.5</v>
      </c>
      <c r="AC122" s="389" t="s">
        <v>861</v>
      </c>
      <c r="AD122" s="388" t="s">
        <v>837</v>
      </c>
      <c r="AE122" s="11"/>
      <c r="AF122" s="11"/>
      <c r="AG122" s="11"/>
      <c r="AH122" s="11"/>
      <c r="AI122" s="217"/>
      <c r="AJ122" s="1065"/>
      <c r="AK122" s="1065"/>
      <c r="AL122" s="11"/>
      <c r="AM122" s="11"/>
      <c r="AN122" s="11"/>
      <c r="AO122" s="11"/>
      <c r="AP122" s="11"/>
      <c r="AQ122" s="11"/>
      <c r="AR122" s="11"/>
      <c r="AS122" s="217"/>
      <c r="AT122" s="1065"/>
      <c r="AU122" s="1065"/>
      <c r="AV122" s="11"/>
      <c r="AW122" s="11"/>
      <c r="AX122" s="11"/>
      <c r="AY122" s="11"/>
      <c r="AZ122" s="11"/>
      <c r="BA122" s="11"/>
      <c r="BB122" s="11"/>
      <c r="BC122" s="22"/>
      <c r="BF122" s="902" t="s">
        <v>959</v>
      </c>
    </row>
    <row r="123" spans="1:58" ht="14.65" hidden="1" customHeight="1">
      <c r="E123" s="623">
        <v>15</v>
      </c>
      <c r="F123" s="714">
        <f t="shared" si="23"/>
        <v>0</v>
      </c>
      <c r="T123" s="645" t="b">
        <f t="shared" si="24"/>
        <v>0</v>
      </c>
      <c r="X123" s="1382"/>
      <c r="Z123" s="1382"/>
      <c r="AB123" s="388" t="str">
        <f>AB112&amp;".6"</f>
        <v>7.6</v>
      </c>
      <c r="AC123" s="389" t="s">
        <v>864</v>
      </c>
      <c r="AD123" s="388" t="s">
        <v>837</v>
      </c>
      <c r="AE123" s="11"/>
      <c r="AF123" s="11"/>
      <c r="AG123" s="11"/>
      <c r="AH123" s="11"/>
      <c r="AI123" s="217"/>
      <c r="AJ123" s="1065"/>
      <c r="AK123" s="1065"/>
      <c r="AL123" s="11"/>
      <c r="AM123" s="11"/>
      <c r="AN123" s="11"/>
      <c r="AO123" s="11"/>
      <c r="AP123" s="11"/>
      <c r="AQ123" s="11"/>
      <c r="AR123" s="11"/>
      <c r="AS123" s="217"/>
      <c r="AT123" s="1065"/>
      <c r="AU123" s="1065"/>
      <c r="AV123" s="11"/>
      <c r="AW123" s="11"/>
      <c r="AX123" s="11"/>
      <c r="AY123" s="11"/>
      <c r="AZ123" s="11"/>
      <c r="BA123" s="11"/>
      <c r="BB123" s="11"/>
      <c r="BC123" s="22"/>
      <c r="BF123" s="902" t="s">
        <v>960</v>
      </c>
    </row>
    <row r="124" spans="1:58" ht="14.65" hidden="1" customHeight="1">
      <c r="E124" s="623">
        <v>15</v>
      </c>
      <c r="F124" s="714">
        <f t="shared" si="23"/>
        <v>0</v>
      </c>
      <c r="T124" s="645" t="b">
        <f t="shared" si="24"/>
        <v>0</v>
      </c>
      <c r="X124" s="1382"/>
      <c r="Z124" s="1382"/>
      <c r="AB124" s="388" t="str">
        <f>AB112&amp;".7"</f>
        <v>7.7</v>
      </c>
      <c r="AC124" s="389" t="s">
        <v>867</v>
      </c>
      <c r="AD124" s="388" t="s">
        <v>837</v>
      </c>
      <c r="AE124" s="11"/>
      <c r="AF124" s="11"/>
      <c r="AG124" s="11"/>
      <c r="AH124" s="11"/>
      <c r="AI124" s="217"/>
      <c r="AJ124" s="1065"/>
      <c r="AK124" s="1065"/>
      <c r="AL124" s="11"/>
      <c r="AM124" s="11"/>
      <c r="AN124" s="11"/>
      <c r="AO124" s="11"/>
      <c r="AP124" s="11"/>
      <c r="AQ124" s="11"/>
      <c r="AR124" s="11"/>
      <c r="AS124" s="217"/>
      <c r="AT124" s="1065"/>
      <c r="AU124" s="1065"/>
      <c r="AV124" s="11"/>
      <c r="AW124" s="11"/>
      <c r="AX124" s="11"/>
      <c r="AY124" s="11"/>
      <c r="AZ124" s="11"/>
      <c r="BA124" s="11"/>
      <c r="BB124" s="11"/>
      <c r="BC124" s="22"/>
      <c r="BF124" s="902" t="s">
        <v>961</v>
      </c>
    </row>
    <row r="125" spans="1:58" ht="14.65" hidden="1" customHeight="1">
      <c r="E125" s="623">
        <v>15</v>
      </c>
      <c r="F125" s="714">
        <f t="shared" si="23"/>
        <v>0</v>
      </c>
      <c r="T125" s="645" t="b">
        <f t="shared" si="24"/>
        <v>0</v>
      </c>
      <c r="X125" s="1382"/>
      <c r="Z125" s="1382"/>
      <c r="AB125" s="388" t="str">
        <f>AB112&amp;".8"</f>
        <v>7.8</v>
      </c>
      <c r="AC125" s="389" t="s">
        <v>870</v>
      </c>
      <c r="AD125" s="388" t="s">
        <v>837</v>
      </c>
      <c r="AE125" s="11"/>
      <c r="AF125" s="11"/>
      <c r="AG125" s="11"/>
      <c r="AH125" s="11"/>
      <c r="AI125" s="217"/>
      <c r="AJ125" s="1065"/>
      <c r="AK125" s="1065"/>
      <c r="AL125" s="11"/>
      <c r="AM125" s="11"/>
      <c r="AN125" s="11"/>
      <c r="AO125" s="11"/>
      <c r="AP125" s="11"/>
      <c r="AQ125" s="11"/>
      <c r="AR125" s="11"/>
      <c r="AS125" s="217"/>
      <c r="AT125" s="1065"/>
      <c r="AU125" s="1065"/>
      <c r="AV125" s="11"/>
      <c r="AW125" s="11"/>
      <c r="AX125" s="11"/>
      <c r="AY125" s="11"/>
      <c r="AZ125" s="11"/>
      <c r="BA125" s="11"/>
      <c r="BB125" s="11"/>
      <c r="BC125" s="22"/>
      <c r="BF125" s="902" t="s">
        <v>962</v>
      </c>
    </row>
    <row r="126" spans="1:58" s="1057" customFormat="1" ht="10.5" customHeight="1">
      <c r="A126" s="769"/>
      <c r="B126" s="718"/>
      <c r="C126" s="1016"/>
      <c r="D126" s="1016"/>
      <c r="E126" s="623">
        <v>11.4</v>
      </c>
      <c r="F126" s="714" t="str">
        <f>X126</f>
        <v>1</v>
      </c>
      <c r="G126" s="750"/>
      <c r="H126" s="750"/>
      <c r="I126" s="750"/>
      <c r="J126" s="750"/>
      <c r="K126" s="750"/>
      <c r="L126" s="750"/>
      <c r="M126" s="750"/>
      <c r="N126" s="750"/>
      <c r="O126" s="750"/>
      <c r="P126" s="750"/>
      <c r="Q126" s="719"/>
      <c r="R126" s="719"/>
      <c r="S126" s="750"/>
      <c r="T126" s="645" t="b">
        <f>X126&gt;0</f>
        <v>1</v>
      </c>
      <c r="U126" s="1016"/>
      <c r="V126" s="113" t="str">
        <f>'ХВС, ТН'!$AB$40</f>
        <v>Тариф 1 (Теплоснабжение) - Тарифы на теплоноситель (Не определено)</v>
      </c>
      <c r="W126" s="1016"/>
      <c r="X126" s="1382" t="s">
        <v>247</v>
      </c>
      <c r="Y126" s="1016"/>
      <c r="Z126" s="1382"/>
      <c r="AA126" s="726"/>
      <c r="AB126" s="224" t="str">
        <f>IF(ISBLANK('ХВС, ТН'!$AB$40),"",'ХВС, ТН'!$AB$40)</f>
        <v>Тариф 1 (Теплоснабжение) - Тарифы на теплоноситель (Не определено)</v>
      </c>
      <c r="AC126" s="197"/>
      <c r="AD126" s="191"/>
      <c r="AE126" s="191"/>
      <c r="AF126" s="191"/>
      <c r="AG126" s="191"/>
      <c r="AH126" s="191"/>
      <c r="AI126" s="191"/>
      <c r="AJ126" s="191"/>
      <c r="AK126" s="191"/>
      <c r="AL126" s="191"/>
      <c r="AM126" s="191"/>
      <c r="AN126" s="191"/>
      <c r="AO126" s="191"/>
      <c r="AP126" s="191"/>
      <c r="AQ126" s="191"/>
      <c r="AR126" s="191"/>
      <c r="AS126" s="191"/>
      <c r="AT126" s="191"/>
      <c r="AU126" s="191"/>
      <c r="AV126" s="191"/>
      <c r="AW126" s="191"/>
      <c r="AX126" s="191"/>
      <c r="AY126" s="191"/>
      <c r="AZ126" s="191"/>
      <c r="BA126" s="191"/>
      <c r="BB126" s="191"/>
      <c r="BC126" s="213"/>
      <c r="BD126" s="726"/>
      <c r="BE126" s="726"/>
      <c r="BF126" s="909"/>
    </row>
    <row r="127" spans="1:58" s="154" customFormat="1" ht="21.75" customHeight="1">
      <c r="E127" s="623">
        <v>22.8</v>
      </c>
      <c r="F127" s="714" t="str">
        <f t="shared" ref="F127:F158" si="46">F126</f>
        <v>1</v>
      </c>
      <c r="T127" s="645" t="b">
        <f t="shared" ref="T127:T158" si="47">T126</f>
        <v>1</v>
      </c>
      <c r="X127" s="1491"/>
      <c r="Z127" s="1491"/>
      <c r="AB127" s="214">
        <v>1</v>
      </c>
      <c r="AC127" s="215" t="s">
        <v>834</v>
      </c>
      <c r="AD127" s="95" t="s">
        <v>648</v>
      </c>
      <c r="AE127" s="1144">
        <f t="shared" ref="AE127:BB127" si="48">SUM(AE128:AE131)+SUM(AE137:AE140)</f>
        <v>0</v>
      </c>
      <c r="AF127" s="1144">
        <f t="shared" si="48"/>
        <v>0</v>
      </c>
      <c r="AG127" s="1144">
        <f t="shared" si="48"/>
        <v>0</v>
      </c>
      <c r="AH127" s="1144">
        <f t="shared" si="48"/>
        <v>0</v>
      </c>
      <c r="AI127" s="229">
        <f t="shared" si="48"/>
        <v>0</v>
      </c>
      <c r="AJ127" s="1132">
        <f t="shared" si="48"/>
        <v>0</v>
      </c>
      <c r="AK127" s="1132">
        <f t="shared" si="48"/>
        <v>0</v>
      </c>
      <c r="AL127" s="1144">
        <f t="shared" si="48"/>
        <v>0</v>
      </c>
      <c r="AM127" s="1144">
        <f t="shared" si="48"/>
        <v>0</v>
      </c>
      <c r="AN127" s="1144">
        <f t="shared" si="48"/>
        <v>0</v>
      </c>
      <c r="AO127" s="1144">
        <f t="shared" si="48"/>
        <v>0</v>
      </c>
      <c r="AP127" s="1144">
        <f t="shared" si="48"/>
        <v>0</v>
      </c>
      <c r="AQ127" s="1144">
        <f t="shared" si="48"/>
        <v>0</v>
      </c>
      <c r="AR127" s="1144">
        <f t="shared" si="48"/>
        <v>0</v>
      </c>
      <c r="AS127" s="229">
        <f t="shared" si="48"/>
        <v>0</v>
      </c>
      <c r="AT127" s="1132">
        <f t="shared" si="48"/>
        <v>0</v>
      </c>
      <c r="AU127" s="1132">
        <f t="shared" si="48"/>
        <v>0</v>
      </c>
      <c r="AV127" s="1144">
        <f t="shared" si="48"/>
        <v>0</v>
      </c>
      <c r="AW127" s="1144">
        <f t="shared" si="48"/>
        <v>0</v>
      </c>
      <c r="AX127" s="1144">
        <f t="shared" si="48"/>
        <v>0</v>
      </c>
      <c r="AY127" s="1144">
        <f t="shared" si="48"/>
        <v>0</v>
      </c>
      <c r="AZ127" s="1144">
        <f t="shared" si="48"/>
        <v>0</v>
      </c>
      <c r="BA127" s="1144">
        <f t="shared" si="48"/>
        <v>0</v>
      </c>
      <c r="BB127" s="1144">
        <f t="shared" si="48"/>
        <v>0</v>
      </c>
      <c r="BC127" s="1106"/>
      <c r="BF127" s="902" t="s">
        <v>835</v>
      </c>
    </row>
    <row r="128" spans="1:58" s="1057" customFormat="1" ht="14.25" customHeight="1">
      <c r="A128" s="769"/>
      <c r="B128" s="718"/>
      <c r="C128" s="1016"/>
      <c r="D128" s="1016"/>
      <c r="E128" s="623">
        <v>15</v>
      </c>
      <c r="F128" s="714" t="str">
        <f t="shared" si="46"/>
        <v>1</v>
      </c>
      <c r="G128" s="750"/>
      <c r="H128" s="750"/>
      <c r="I128" s="750"/>
      <c r="J128" s="750"/>
      <c r="K128" s="750"/>
      <c r="L128" s="750"/>
      <c r="M128" s="750"/>
      <c r="N128" s="750"/>
      <c r="O128" s="750"/>
      <c r="P128" s="750"/>
      <c r="Q128" s="719"/>
      <c r="R128" s="719"/>
      <c r="S128" s="750"/>
      <c r="T128" s="645" t="b">
        <f t="shared" si="47"/>
        <v>1</v>
      </c>
      <c r="U128" s="1016"/>
      <c r="V128" s="1016"/>
      <c r="W128" s="1016"/>
      <c r="X128" s="1382"/>
      <c r="Y128" s="1016"/>
      <c r="Z128" s="1382"/>
      <c r="AA128" s="726"/>
      <c r="AB128" s="388" t="s">
        <v>339</v>
      </c>
      <c r="AC128" s="389" t="s">
        <v>836</v>
      </c>
      <c r="AD128" s="388" t="s">
        <v>837</v>
      </c>
      <c r="AE128" s="1079"/>
      <c r="AF128" s="1079"/>
      <c r="AG128" s="1079"/>
      <c r="AH128" s="1079"/>
      <c r="AI128" s="217"/>
      <c r="AJ128" s="1065"/>
      <c r="AK128" s="1065"/>
      <c r="AL128" s="1079"/>
      <c r="AM128" s="1079"/>
      <c r="AN128" s="1079"/>
      <c r="AO128" s="1079"/>
      <c r="AP128" s="1079"/>
      <c r="AQ128" s="1079"/>
      <c r="AR128" s="1079"/>
      <c r="AS128" s="217"/>
      <c r="AT128" s="1065"/>
      <c r="AU128" s="1065"/>
      <c r="AV128" s="1079"/>
      <c r="AW128" s="1079"/>
      <c r="AX128" s="1079"/>
      <c r="AY128" s="1079"/>
      <c r="AZ128" s="1079"/>
      <c r="BA128" s="1079"/>
      <c r="BB128" s="1079"/>
      <c r="BC128" s="1106"/>
      <c r="BD128" s="726"/>
      <c r="BE128" s="726"/>
      <c r="BF128" s="902" t="s">
        <v>838</v>
      </c>
    </row>
    <row r="129" spans="1:58" s="1057" customFormat="1" ht="14.25" customHeight="1">
      <c r="A129" s="769"/>
      <c r="B129" s="718"/>
      <c r="C129" s="1016"/>
      <c r="D129" s="1016"/>
      <c r="E129" s="623">
        <v>15</v>
      </c>
      <c r="F129" s="714" t="str">
        <f t="shared" si="46"/>
        <v>1</v>
      </c>
      <c r="G129" s="750"/>
      <c r="H129" s="750"/>
      <c r="I129" s="750"/>
      <c r="J129" s="750"/>
      <c r="K129" s="750"/>
      <c r="L129" s="750"/>
      <c r="M129" s="750"/>
      <c r="N129" s="750"/>
      <c r="O129" s="750"/>
      <c r="P129" s="750"/>
      <c r="Q129" s="719"/>
      <c r="R129" s="719"/>
      <c r="S129" s="750"/>
      <c r="T129" s="645" t="b">
        <f t="shared" si="47"/>
        <v>1</v>
      </c>
      <c r="U129" s="1016"/>
      <c r="V129" s="1016"/>
      <c r="W129" s="1016"/>
      <c r="X129" s="1382"/>
      <c r="Y129" s="1016"/>
      <c r="Z129" s="1382"/>
      <c r="AA129" s="726"/>
      <c r="AB129" s="388" t="s">
        <v>503</v>
      </c>
      <c r="AC129" s="389" t="s">
        <v>839</v>
      </c>
      <c r="AD129" s="388" t="s">
        <v>837</v>
      </c>
      <c r="AE129" s="1079"/>
      <c r="AF129" s="1079"/>
      <c r="AG129" s="1079"/>
      <c r="AH129" s="1079"/>
      <c r="AI129" s="217"/>
      <c r="AJ129" s="1065"/>
      <c r="AK129" s="1065"/>
      <c r="AL129" s="1079"/>
      <c r="AM129" s="1079"/>
      <c r="AN129" s="1079"/>
      <c r="AO129" s="1079"/>
      <c r="AP129" s="1079"/>
      <c r="AQ129" s="1079"/>
      <c r="AR129" s="1079"/>
      <c r="AS129" s="217"/>
      <c r="AT129" s="1065"/>
      <c r="AU129" s="1065"/>
      <c r="AV129" s="1079"/>
      <c r="AW129" s="1079"/>
      <c r="AX129" s="1079"/>
      <c r="AY129" s="1079"/>
      <c r="AZ129" s="1079"/>
      <c r="BA129" s="1079"/>
      <c r="BB129" s="1079"/>
      <c r="BC129" s="1106"/>
      <c r="BD129" s="726"/>
      <c r="BE129" s="726"/>
      <c r="BF129" s="902" t="s">
        <v>840</v>
      </c>
    </row>
    <row r="130" spans="1:58" s="1057" customFormat="1" ht="14.25" customHeight="1">
      <c r="A130" s="769"/>
      <c r="B130" s="718"/>
      <c r="C130" s="1016"/>
      <c r="D130" s="1016"/>
      <c r="E130" s="623">
        <v>15</v>
      </c>
      <c r="F130" s="714" t="str">
        <f t="shared" si="46"/>
        <v>1</v>
      </c>
      <c r="G130" s="750"/>
      <c r="H130" s="750"/>
      <c r="I130" s="750"/>
      <c r="J130" s="750"/>
      <c r="K130" s="750"/>
      <c r="L130" s="750"/>
      <c r="M130" s="750"/>
      <c r="N130" s="750"/>
      <c r="O130" s="750"/>
      <c r="P130" s="750"/>
      <c r="Q130" s="719"/>
      <c r="R130" s="719"/>
      <c r="S130" s="750"/>
      <c r="T130" s="645" t="b">
        <f t="shared" si="47"/>
        <v>1</v>
      </c>
      <c r="U130" s="1016"/>
      <c r="V130" s="1016"/>
      <c r="W130" s="1016"/>
      <c r="X130" s="1382"/>
      <c r="Y130" s="1016"/>
      <c r="Z130" s="1382"/>
      <c r="AA130" s="726"/>
      <c r="AB130" s="388" t="s">
        <v>749</v>
      </c>
      <c r="AC130" s="389" t="s">
        <v>841</v>
      </c>
      <c r="AD130" s="388" t="s">
        <v>837</v>
      </c>
      <c r="AE130" s="1079"/>
      <c r="AF130" s="1079"/>
      <c r="AG130" s="1079"/>
      <c r="AH130" s="1079"/>
      <c r="AI130" s="217"/>
      <c r="AJ130" s="1065"/>
      <c r="AK130" s="1065"/>
      <c r="AL130" s="1079"/>
      <c r="AM130" s="1079"/>
      <c r="AN130" s="1079"/>
      <c r="AO130" s="1079"/>
      <c r="AP130" s="1079"/>
      <c r="AQ130" s="1079"/>
      <c r="AR130" s="1079"/>
      <c r="AS130" s="217"/>
      <c r="AT130" s="1065"/>
      <c r="AU130" s="1065"/>
      <c r="AV130" s="1079"/>
      <c r="AW130" s="1079"/>
      <c r="AX130" s="1079"/>
      <c r="AY130" s="1079"/>
      <c r="AZ130" s="1079"/>
      <c r="BA130" s="1079"/>
      <c r="BB130" s="1079"/>
      <c r="BC130" s="1106"/>
      <c r="BD130" s="726"/>
      <c r="BE130" s="726"/>
      <c r="BF130" s="902" t="s">
        <v>842</v>
      </c>
    </row>
    <row r="131" spans="1:58" s="1057" customFormat="1" ht="14.25" customHeight="1">
      <c r="A131" s="769"/>
      <c r="B131" s="718"/>
      <c r="C131" s="1016"/>
      <c r="D131" s="1016"/>
      <c r="E131" s="623">
        <v>15</v>
      </c>
      <c r="F131" s="714" t="str">
        <f t="shared" si="46"/>
        <v>1</v>
      </c>
      <c r="G131" s="750"/>
      <c r="H131" s="750"/>
      <c r="I131" s="750"/>
      <c r="J131" s="750"/>
      <c r="K131" s="750"/>
      <c r="L131" s="750"/>
      <c r="M131" s="750"/>
      <c r="N131" s="750"/>
      <c r="O131" s="750"/>
      <c r="P131" s="750"/>
      <c r="Q131" s="719"/>
      <c r="R131" s="719"/>
      <c r="S131" s="750"/>
      <c r="T131" s="645" t="b">
        <f t="shared" si="47"/>
        <v>1</v>
      </c>
      <c r="U131" s="1016"/>
      <c r="V131" s="1016"/>
      <c r="W131" s="1016"/>
      <c r="X131" s="1382"/>
      <c r="Y131" s="1016"/>
      <c r="Z131" s="1382"/>
      <c r="AA131" s="726"/>
      <c r="AB131" s="388" t="s">
        <v>753</v>
      </c>
      <c r="AC131" s="389" t="s">
        <v>843</v>
      </c>
      <c r="AD131" s="388" t="s">
        <v>837</v>
      </c>
      <c r="AE131" s="1147">
        <f t="shared" ref="AE131:BB131" si="49">SUM(AE132:AE136)</f>
        <v>0</v>
      </c>
      <c r="AF131" s="1147">
        <f t="shared" si="49"/>
        <v>0</v>
      </c>
      <c r="AG131" s="1147">
        <f t="shared" si="49"/>
        <v>0</v>
      </c>
      <c r="AH131" s="1147">
        <f t="shared" si="49"/>
        <v>0</v>
      </c>
      <c r="AI131" s="386">
        <f t="shared" si="49"/>
        <v>0</v>
      </c>
      <c r="AJ131" s="1104">
        <f t="shared" si="49"/>
        <v>0</v>
      </c>
      <c r="AK131" s="1104">
        <f t="shared" si="49"/>
        <v>0</v>
      </c>
      <c r="AL131" s="1147">
        <f t="shared" si="49"/>
        <v>0</v>
      </c>
      <c r="AM131" s="1147">
        <f t="shared" si="49"/>
        <v>0</v>
      </c>
      <c r="AN131" s="1147">
        <f t="shared" si="49"/>
        <v>0</v>
      </c>
      <c r="AO131" s="1147">
        <f t="shared" si="49"/>
        <v>0</v>
      </c>
      <c r="AP131" s="1147">
        <f t="shared" si="49"/>
        <v>0</v>
      </c>
      <c r="AQ131" s="1147">
        <f t="shared" si="49"/>
        <v>0</v>
      </c>
      <c r="AR131" s="1147">
        <f t="shared" si="49"/>
        <v>0</v>
      </c>
      <c r="AS131" s="386">
        <f t="shared" si="49"/>
        <v>0</v>
      </c>
      <c r="AT131" s="1104">
        <f t="shared" si="49"/>
        <v>0</v>
      </c>
      <c r="AU131" s="1104">
        <f t="shared" si="49"/>
        <v>0</v>
      </c>
      <c r="AV131" s="1147">
        <f t="shared" si="49"/>
        <v>0</v>
      </c>
      <c r="AW131" s="1147">
        <f t="shared" si="49"/>
        <v>0</v>
      </c>
      <c r="AX131" s="1147">
        <f t="shared" si="49"/>
        <v>0</v>
      </c>
      <c r="AY131" s="1147">
        <f t="shared" si="49"/>
        <v>0</v>
      </c>
      <c r="AZ131" s="1147">
        <f t="shared" si="49"/>
        <v>0</v>
      </c>
      <c r="BA131" s="1147">
        <f t="shared" si="49"/>
        <v>0</v>
      </c>
      <c r="BB131" s="1147">
        <f t="shared" si="49"/>
        <v>0</v>
      </c>
      <c r="BC131" s="1106"/>
      <c r="BD131" s="726"/>
      <c r="BE131" s="726"/>
      <c r="BF131" s="902" t="s">
        <v>844</v>
      </c>
    </row>
    <row r="132" spans="1:58" s="1057" customFormat="1" ht="14.25" customHeight="1">
      <c r="A132" s="769"/>
      <c r="B132" s="718"/>
      <c r="C132" s="1016"/>
      <c r="D132" s="1016"/>
      <c r="E132" s="623">
        <v>15</v>
      </c>
      <c r="F132" s="714" t="str">
        <f t="shared" si="46"/>
        <v>1</v>
      </c>
      <c r="G132" s="750"/>
      <c r="H132" s="750"/>
      <c r="I132" s="750"/>
      <c r="J132" s="750"/>
      <c r="K132" s="750"/>
      <c r="L132" s="750"/>
      <c r="M132" s="750"/>
      <c r="N132" s="750"/>
      <c r="O132" s="750"/>
      <c r="P132" s="750"/>
      <c r="Q132" s="719"/>
      <c r="R132" s="719"/>
      <c r="S132" s="750"/>
      <c r="T132" s="645" t="b">
        <f t="shared" si="47"/>
        <v>1</v>
      </c>
      <c r="U132" s="1016"/>
      <c r="V132" s="1016"/>
      <c r="W132" s="1016"/>
      <c r="X132" s="1382"/>
      <c r="Y132" s="1016"/>
      <c r="Z132" s="1382"/>
      <c r="AA132" s="726"/>
      <c r="AB132" s="388" t="s">
        <v>845</v>
      </c>
      <c r="AC132" s="390" t="s">
        <v>846</v>
      </c>
      <c r="AD132" s="388" t="s">
        <v>837</v>
      </c>
      <c r="AE132" s="1079"/>
      <c r="AF132" s="1079"/>
      <c r="AG132" s="1079"/>
      <c r="AH132" s="1079"/>
      <c r="AI132" s="217"/>
      <c r="AJ132" s="1065"/>
      <c r="AK132" s="1065"/>
      <c r="AL132" s="1079"/>
      <c r="AM132" s="1079"/>
      <c r="AN132" s="1079"/>
      <c r="AO132" s="1079"/>
      <c r="AP132" s="1079"/>
      <c r="AQ132" s="1079"/>
      <c r="AR132" s="1079"/>
      <c r="AS132" s="217"/>
      <c r="AT132" s="1065"/>
      <c r="AU132" s="1065"/>
      <c r="AV132" s="1079"/>
      <c r="AW132" s="1079"/>
      <c r="AX132" s="1079"/>
      <c r="AY132" s="1079"/>
      <c r="AZ132" s="1079"/>
      <c r="BA132" s="1079"/>
      <c r="BB132" s="1079"/>
      <c r="BC132" s="1106"/>
      <c r="BD132" s="726"/>
      <c r="BE132" s="726"/>
      <c r="BF132" s="902" t="s">
        <v>847</v>
      </c>
    </row>
    <row r="133" spans="1:58" s="1057" customFormat="1" ht="14.25" customHeight="1">
      <c r="A133" s="769"/>
      <c r="B133" s="718"/>
      <c r="C133" s="1016"/>
      <c r="D133" s="1016"/>
      <c r="E133" s="623">
        <v>15</v>
      </c>
      <c r="F133" s="714" t="str">
        <f t="shared" si="46"/>
        <v>1</v>
      </c>
      <c r="G133" s="750"/>
      <c r="H133" s="750"/>
      <c r="I133" s="750"/>
      <c r="J133" s="750"/>
      <c r="K133" s="750"/>
      <c r="L133" s="750"/>
      <c r="M133" s="750"/>
      <c r="N133" s="750"/>
      <c r="O133" s="750"/>
      <c r="P133" s="750"/>
      <c r="Q133" s="719"/>
      <c r="R133" s="719"/>
      <c r="S133" s="750"/>
      <c r="T133" s="645" t="b">
        <f t="shared" si="47"/>
        <v>1</v>
      </c>
      <c r="U133" s="1016"/>
      <c r="V133" s="1016"/>
      <c r="W133" s="1016"/>
      <c r="X133" s="1382"/>
      <c r="Y133" s="1016"/>
      <c r="Z133" s="1382"/>
      <c r="AA133" s="726"/>
      <c r="AB133" s="388" t="s">
        <v>848</v>
      </c>
      <c r="AC133" s="390" t="s">
        <v>849</v>
      </c>
      <c r="AD133" s="388" t="s">
        <v>837</v>
      </c>
      <c r="AE133" s="1079"/>
      <c r="AF133" s="1079"/>
      <c r="AG133" s="1079"/>
      <c r="AH133" s="1079"/>
      <c r="AI133" s="217"/>
      <c r="AJ133" s="1065"/>
      <c r="AK133" s="1065"/>
      <c r="AL133" s="1079"/>
      <c r="AM133" s="1079"/>
      <c r="AN133" s="1079"/>
      <c r="AO133" s="1079"/>
      <c r="AP133" s="1079"/>
      <c r="AQ133" s="1079"/>
      <c r="AR133" s="1079"/>
      <c r="AS133" s="217"/>
      <c r="AT133" s="1065"/>
      <c r="AU133" s="1065"/>
      <c r="AV133" s="1079"/>
      <c r="AW133" s="1079"/>
      <c r="AX133" s="1079"/>
      <c r="AY133" s="1079"/>
      <c r="AZ133" s="1079"/>
      <c r="BA133" s="1079"/>
      <c r="BB133" s="1079"/>
      <c r="BC133" s="1106"/>
      <c r="BD133" s="726"/>
      <c r="BE133" s="726"/>
      <c r="BF133" s="902" t="s">
        <v>850</v>
      </c>
    </row>
    <row r="134" spans="1:58" s="1057" customFormat="1" ht="14.25" customHeight="1">
      <c r="A134" s="769"/>
      <c r="B134" s="718"/>
      <c r="C134" s="1016"/>
      <c r="D134" s="1016"/>
      <c r="E134" s="623">
        <v>15</v>
      </c>
      <c r="F134" s="714" t="str">
        <f t="shared" si="46"/>
        <v>1</v>
      </c>
      <c r="G134" s="750"/>
      <c r="H134" s="750"/>
      <c r="I134" s="750"/>
      <c r="J134" s="750"/>
      <c r="K134" s="750"/>
      <c r="L134" s="750"/>
      <c r="M134" s="750"/>
      <c r="N134" s="750"/>
      <c r="O134" s="750"/>
      <c r="P134" s="750"/>
      <c r="Q134" s="719"/>
      <c r="R134" s="719"/>
      <c r="S134" s="750"/>
      <c r="T134" s="645" t="b">
        <f t="shared" si="47"/>
        <v>1</v>
      </c>
      <c r="U134" s="1016"/>
      <c r="V134" s="1016"/>
      <c r="W134" s="1016"/>
      <c r="X134" s="1382"/>
      <c r="Y134" s="1016"/>
      <c r="Z134" s="1382"/>
      <c r="AA134" s="726"/>
      <c r="AB134" s="388" t="s">
        <v>851</v>
      </c>
      <c r="AC134" s="390" t="s">
        <v>852</v>
      </c>
      <c r="AD134" s="388" t="s">
        <v>837</v>
      </c>
      <c r="AE134" s="1079"/>
      <c r="AF134" s="1079"/>
      <c r="AG134" s="1079"/>
      <c r="AH134" s="1079"/>
      <c r="AI134" s="217"/>
      <c r="AJ134" s="1065"/>
      <c r="AK134" s="1065"/>
      <c r="AL134" s="1079"/>
      <c r="AM134" s="1079"/>
      <c r="AN134" s="1079"/>
      <c r="AO134" s="1079"/>
      <c r="AP134" s="1079"/>
      <c r="AQ134" s="1079"/>
      <c r="AR134" s="1079"/>
      <c r="AS134" s="217"/>
      <c r="AT134" s="1065"/>
      <c r="AU134" s="1065"/>
      <c r="AV134" s="1079"/>
      <c r="AW134" s="1079"/>
      <c r="AX134" s="1079"/>
      <c r="AY134" s="1079"/>
      <c r="AZ134" s="1079"/>
      <c r="BA134" s="1079"/>
      <c r="BB134" s="1079"/>
      <c r="BC134" s="1106"/>
      <c r="BD134" s="726"/>
      <c r="BE134" s="726"/>
      <c r="BF134" s="902" t="s">
        <v>853</v>
      </c>
    </row>
    <row r="135" spans="1:58" s="1057" customFormat="1" ht="14.25" customHeight="1">
      <c r="A135" s="769"/>
      <c r="B135" s="718"/>
      <c r="C135" s="1016"/>
      <c r="D135" s="1016"/>
      <c r="E135" s="623">
        <v>15</v>
      </c>
      <c r="F135" s="714" t="str">
        <f t="shared" si="46"/>
        <v>1</v>
      </c>
      <c r="G135" s="750"/>
      <c r="H135" s="750"/>
      <c r="I135" s="750"/>
      <c r="J135" s="750"/>
      <c r="K135" s="750"/>
      <c r="L135" s="750"/>
      <c r="M135" s="750"/>
      <c r="N135" s="750"/>
      <c r="O135" s="750"/>
      <c r="P135" s="750"/>
      <c r="Q135" s="719"/>
      <c r="R135" s="719"/>
      <c r="S135" s="750"/>
      <c r="T135" s="645" t="b">
        <f t="shared" si="47"/>
        <v>1</v>
      </c>
      <c r="U135" s="1016"/>
      <c r="V135" s="1016"/>
      <c r="W135" s="1016"/>
      <c r="X135" s="1382"/>
      <c r="Y135" s="1016"/>
      <c r="Z135" s="1382"/>
      <c r="AA135" s="726"/>
      <c r="AB135" s="388" t="s">
        <v>854</v>
      </c>
      <c r="AC135" s="390" t="s">
        <v>855</v>
      </c>
      <c r="AD135" s="388" t="s">
        <v>837</v>
      </c>
      <c r="AE135" s="1079"/>
      <c r="AF135" s="1079"/>
      <c r="AG135" s="1079"/>
      <c r="AH135" s="1079"/>
      <c r="AI135" s="217"/>
      <c r="AJ135" s="1065"/>
      <c r="AK135" s="1065"/>
      <c r="AL135" s="1079"/>
      <c r="AM135" s="1079"/>
      <c r="AN135" s="1079"/>
      <c r="AO135" s="1079"/>
      <c r="AP135" s="1079"/>
      <c r="AQ135" s="1079"/>
      <c r="AR135" s="1079"/>
      <c r="AS135" s="217"/>
      <c r="AT135" s="1065"/>
      <c r="AU135" s="1065"/>
      <c r="AV135" s="1079"/>
      <c r="AW135" s="1079"/>
      <c r="AX135" s="1079"/>
      <c r="AY135" s="1079"/>
      <c r="AZ135" s="1079"/>
      <c r="BA135" s="1079"/>
      <c r="BB135" s="1079"/>
      <c r="BC135" s="1106"/>
      <c r="BD135" s="726"/>
      <c r="BE135" s="726"/>
      <c r="BF135" s="902" t="s">
        <v>856</v>
      </c>
    </row>
    <row r="136" spans="1:58" s="1057" customFormat="1" ht="14.25" customHeight="1">
      <c r="A136" s="769"/>
      <c r="B136" s="718"/>
      <c r="C136" s="1016"/>
      <c r="D136" s="1016"/>
      <c r="E136" s="623">
        <v>15</v>
      </c>
      <c r="F136" s="714" t="str">
        <f t="shared" si="46"/>
        <v>1</v>
      </c>
      <c r="G136" s="750"/>
      <c r="H136" s="750"/>
      <c r="I136" s="750"/>
      <c r="J136" s="750"/>
      <c r="K136" s="750"/>
      <c r="L136" s="750"/>
      <c r="M136" s="750"/>
      <c r="N136" s="750"/>
      <c r="O136" s="750"/>
      <c r="P136" s="750"/>
      <c r="Q136" s="719"/>
      <c r="R136" s="719"/>
      <c r="S136" s="750"/>
      <c r="T136" s="645" t="b">
        <f t="shared" si="47"/>
        <v>1</v>
      </c>
      <c r="U136" s="1016"/>
      <c r="V136" s="1016"/>
      <c r="W136" s="1016"/>
      <c r="X136" s="1382"/>
      <c r="Y136" s="1016"/>
      <c r="Z136" s="1382"/>
      <c r="AA136" s="726"/>
      <c r="AB136" s="388" t="s">
        <v>857</v>
      </c>
      <c r="AC136" s="390" t="s">
        <v>858</v>
      </c>
      <c r="AD136" s="388" t="s">
        <v>837</v>
      </c>
      <c r="AE136" s="1079"/>
      <c r="AF136" s="1079"/>
      <c r="AG136" s="1079"/>
      <c r="AH136" s="1079"/>
      <c r="AI136" s="217"/>
      <c r="AJ136" s="1065"/>
      <c r="AK136" s="1065"/>
      <c r="AL136" s="1079"/>
      <c r="AM136" s="1079"/>
      <c r="AN136" s="1079"/>
      <c r="AO136" s="1079"/>
      <c r="AP136" s="1079"/>
      <c r="AQ136" s="1079"/>
      <c r="AR136" s="1079"/>
      <c r="AS136" s="217"/>
      <c r="AT136" s="1065"/>
      <c r="AU136" s="1065"/>
      <c r="AV136" s="1079"/>
      <c r="AW136" s="1079"/>
      <c r="AX136" s="1079"/>
      <c r="AY136" s="1079"/>
      <c r="AZ136" s="1079"/>
      <c r="BA136" s="1079"/>
      <c r="BB136" s="1079"/>
      <c r="BC136" s="1106"/>
      <c r="BD136" s="726"/>
      <c r="BE136" s="726"/>
      <c r="BF136" s="902" t="s">
        <v>859</v>
      </c>
    </row>
    <row r="137" spans="1:58" s="1057" customFormat="1" ht="14.25" customHeight="1">
      <c r="A137" s="769"/>
      <c r="B137" s="718"/>
      <c r="C137" s="1016"/>
      <c r="D137" s="1016"/>
      <c r="E137" s="623">
        <v>15</v>
      </c>
      <c r="F137" s="714" t="str">
        <f t="shared" si="46"/>
        <v>1</v>
      </c>
      <c r="G137" s="750"/>
      <c r="H137" s="750"/>
      <c r="I137" s="750"/>
      <c r="J137" s="750"/>
      <c r="K137" s="750"/>
      <c r="L137" s="750"/>
      <c r="M137" s="750"/>
      <c r="N137" s="750"/>
      <c r="O137" s="750"/>
      <c r="P137" s="750"/>
      <c r="Q137" s="719"/>
      <c r="R137" s="719"/>
      <c r="S137" s="750"/>
      <c r="T137" s="645" t="b">
        <f t="shared" si="47"/>
        <v>1</v>
      </c>
      <c r="U137" s="1016"/>
      <c r="V137" s="1016"/>
      <c r="W137" s="1016"/>
      <c r="X137" s="1382"/>
      <c r="Y137" s="1016"/>
      <c r="Z137" s="1382"/>
      <c r="AA137" s="726"/>
      <c r="AB137" s="388" t="s">
        <v>860</v>
      </c>
      <c r="AC137" s="389" t="s">
        <v>861</v>
      </c>
      <c r="AD137" s="388" t="s">
        <v>837</v>
      </c>
      <c r="AE137" s="1079"/>
      <c r="AF137" s="1079"/>
      <c r="AG137" s="1079"/>
      <c r="AH137" s="1079"/>
      <c r="AI137" s="217"/>
      <c r="AJ137" s="1065"/>
      <c r="AK137" s="1065"/>
      <c r="AL137" s="1079"/>
      <c r="AM137" s="1079"/>
      <c r="AN137" s="1079"/>
      <c r="AO137" s="1079"/>
      <c r="AP137" s="1079"/>
      <c r="AQ137" s="1079"/>
      <c r="AR137" s="1079"/>
      <c r="AS137" s="217"/>
      <c r="AT137" s="1065"/>
      <c r="AU137" s="1065"/>
      <c r="AV137" s="1079"/>
      <c r="AW137" s="1079"/>
      <c r="AX137" s="1079"/>
      <c r="AY137" s="1079"/>
      <c r="AZ137" s="1079"/>
      <c r="BA137" s="1079"/>
      <c r="BB137" s="1079"/>
      <c r="BC137" s="1106"/>
      <c r="BD137" s="726"/>
      <c r="BE137" s="726"/>
      <c r="BF137" s="902" t="s">
        <v>862</v>
      </c>
    </row>
    <row r="138" spans="1:58" s="1057" customFormat="1" ht="14.25" customHeight="1">
      <c r="A138" s="769"/>
      <c r="B138" s="718"/>
      <c r="C138" s="1016"/>
      <c r="D138" s="1016"/>
      <c r="E138" s="623">
        <v>15</v>
      </c>
      <c r="F138" s="714" t="str">
        <f t="shared" si="46"/>
        <v>1</v>
      </c>
      <c r="G138" s="750"/>
      <c r="H138" s="750"/>
      <c r="I138" s="750"/>
      <c r="J138" s="750"/>
      <c r="K138" s="750"/>
      <c r="L138" s="750"/>
      <c r="M138" s="750"/>
      <c r="N138" s="750"/>
      <c r="O138" s="750"/>
      <c r="P138" s="750"/>
      <c r="Q138" s="719"/>
      <c r="R138" s="719"/>
      <c r="S138" s="750"/>
      <c r="T138" s="645" t="b">
        <f t="shared" si="47"/>
        <v>1</v>
      </c>
      <c r="U138" s="1016"/>
      <c r="V138" s="1016"/>
      <c r="W138" s="1016"/>
      <c r="X138" s="1382"/>
      <c r="Y138" s="1016"/>
      <c r="Z138" s="1382"/>
      <c r="AA138" s="726"/>
      <c r="AB138" s="388" t="s">
        <v>863</v>
      </c>
      <c r="AC138" s="389" t="s">
        <v>864</v>
      </c>
      <c r="AD138" s="388" t="s">
        <v>837</v>
      </c>
      <c r="AE138" s="1079"/>
      <c r="AF138" s="1079"/>
      <c r="AG138" s="1079"/>
      <c r="AH138" s="1079"/>
      <c r="AI138" s="217"/>
      <c r="AJ138" s="1065"/>
      <c r="AK138" s="1065"/>
      <c r="AL138" s="1079"/>
      <c r="AM138" s="1079"/>
      <c r="AN138" s="1079"/>
      <c r="AO138" s="1079"/>
      <c r="AP138" s="1079"/>
      <c r="AQ138" s="1079"/>
      <c r="AR138" s="1079"/>
      <c r="AS138" s="217"/>
      <c r="AT138" s="1065"/>
      <c r="AU138" s="1065"/>
      <c r="AV138" s="1079"/>
      <c r="AW138" s="1079"/>
      <c r="AX138" s="1079"/>
      <c r="AY138" s="1079"/>
      <c r="AZ138" s="1079"/>
      <c r="BA138" s="1079"/>
      <c r="BB138" s="1079"/>
      <c r="BC138" s="1106"/>
      <c r="BD138" s="726"/>
      <c r="BE138" s="726"/>
      <c r="BF138" s="902" t="s">
        <v>865</v>
      </c>
    </row>
    <row r="139" spans="1:58" s="1057" customFormat="1" ht="14.25" customHeight="1">
      <c r="A139" s="769"/>
      <c r="B139" s="718"/>
      <c r="C139" s="1016"/>
      <c r="D139" s="1016"/>
      <c r="E139" s="623">
        <v>15</v>
      </c>
      <c r="F139" s="714" t="str">
        <f t="shared" si="46"/>
        <v>1</v>
      </c>
      <c r="G139" s="750"/>
      <c r="H139" s="750"/>
      <c r="I139" s="750"/>
      <c r="J139" s="750"/>
      <c r="K139" s="750"/>
      <c r="L139" s="750"/>
      <c r="M139" s="750"/>
      <c r="N139" s="750"/>
      <c r="O139" s="750"/>
      <c r="P139" s="750"/>
      <c r="Q139" s="719"/>
      <c r="R139" s="719"/>
      <c r="S139" s="750"/>
      <c r="T139" s="645" t="b">
        <f t="shared" si="47"/>
        <v>1</v>
      </c>
      <c r="U139" s="1016"/>
      <c r="V139" s="1016"/>
      <c r="W139" s="1016"/>
      <c r="X139" s="1382"/>
      <c r="Y139" s="1016"/>
      <c r="Z139" s="1382"/>
      <c r="AA139" s="726"/>
      <c r="AB139" s="388" t="s">
        <v>866</v>
      </c>
      <c r="AC139" s="389" t="s">
        <v>867</v>
      </c>
      <c r="AD139" s="388" t="s">
        <v>837</v>
      </c>
      <c r="AE139" s="1079"/>
      <c r="AF139" s="1079"/>
      <c r="AG139" s="1079"/>
      <c r="AH139" s="1079"/>
      <c r="AI139" s="217"/>
      <c r="AJ139" s="1065"/>
      <c r="AK139" s="1065"/>
      <c r="AL139" s="1079"/>
      <c r="AM139" s="1079"/>
      <c r="AN139" s="1079"/>
      <c r="AO139" s="1079"/>
      <c r="AP139" s="1079"/>
      <c r="AQ139" s="1079"/>
      <c r="AR139" s="1079"/>
      <c r="AS139" s="217"/>
      <c r="AT139" s="1065"/>
      <c r="AU139" s="1065"/>
      <c r="AV139" s="1079"/>
      <c r="AW139" s="1079"/>
      <c r="AX139" s="1079"/>
      <c r="AY139" s="1079"/>
      <c r="AZ139" s="1079"/>
      <c r="BA139" s="1079"/>
      <c r="BB139" s="1079"/>
      <c r="BC139" s="1106"/>
      <c r="BD139" s="726"/>
      <c r="BE139" s="726"/>
      <c r="BF139" s="902" t="s">
        <v>868</v>
      </c>
    </row>
    <row r="140" spans="1:58" s="1057" customFormat="1" ht="14.25" customHeight="1">
      <c r="A140" s="769"/>
      <c r="B140" s="718"/>
      <c r="C140" s="1016"/>
      <c r="D140" s="1016"/>
      <c r="E140" s="623">
        <v>15</v>
      </c>
      <c r="F140" s="714" t="str">
        <f t="shared" si="46"/>
        <v>1</v>
      </c>
      <c r="G140" s="750"/>
      <c r="H140" s="750"/>
      <c r="I140" s="750"/>
      <c r="J140" s="750"/>
      <c r="K140" s="750"/>
      <c r="L140" s="750"/>
      <c r="M140" s="750"/>
      <c r="N140" s="750"/>
      <c r="O140" s="750"/>
      <c r="P140" s="750"/>
      <c r="Q140" s="719"/>
      <c r="R140" s="719"/>
      <c r="S140" s="750"/>
      <c r="T140" s="645" t="b">
        <f t="shared" si="47"/>
        <v>1</v>
      </c>
      <c r="U140" s="1016"/>
      <c r="V140" s="1016"/>
      <c r="W140" s="1016"/>
      <c r="X140" s="1382"/>
      <c r="Y140" s="1016"/>
      <c r="Z140" s="1382"/>
      <c r="AA140" s="726"/>
      <c r="AB140" s="388" t="s">
        <v>869</v>
      </c>
      <c r="AC140" s="389" t="s">
        <v>870</v>
      </c>
      <c r="AD140" s="388" t="s">
        <v>837</v>
      </c>
      <c r="AE140" s="1079"/>
      <c r="AF140" s="1079"/>
      <c r="AG140" s="1079"/>
      <c r="AH140" s="1079"/>
      <c r="AI140" s="217"/>
      <c r="AJ140" s="1065"/>
      <c r="AK140" s="1065"/>
      <c r="AL140" s="1079"/>
      <c r="AM140" s="1079"/>
      <c r="AN140" s="1079"/>
      <c r="AO140" s="1079"/>
      <c r="AP140" s="1079"/>
      <c r="AQ140" s="1079"/>
      <c r="AR140" s="1079"/>
      <c r="AS140" s="217"/>
      <c r="AT140" s="1065"/>
      <c r="AU140" s="1065"/>
      <c r="AV140" s="1079"/>
      <c r="AW140" s="1079"/>
      <c r="AX140" s="1079"/>
      <c r="AY140" s="1079"/>
      <c r="AZ140" s="1079"/>
      <c r="BA140" s="1079"/>
      <c r="BB140" s="1079"/>
      <c r="BC140" s="1106"/>
      <c r="BD140" s="726"/>
      <c r="BE140" s="726"/>
      <c r="BF140" s="902" t="s">
        <v>871</v>
      </c>
    </row>
    <row r="141" spans="1:58" s="154" customFormat="1" ht="44.25" customHeight="1">
      <c r="E141" s="623">
        <v>45.6</v>
      </c>
      <c r="F141" s="714" t="str">
        <f t="shared" si="46"/>
        <v>1</v>
      </c>
      <c r="T141" s="645" t="b">
        <f t="shared" si="47"/>
        <v>1</v>
      </c>
      <c r="X141" s="1491"/>
      <c r="Z141" s="1491"/>
      <c r="AB141" s="214">
        <v>2</v>
      </c>
      <c r="AC141" s="215" t="s">
        <v>872</v>
      </c>
      <c r="AD141" s="95" t="s">
        <v>648</v>
      </c>
      <c r="AE141" s="1144">
        <f t="shared" ref="AE141:BB141" si="50">SUM(AE142:AE145)+SUM(AE151:AE154)</f>
        <v>0</v>
      </c>
      <c r="AF141" s="1144">
        <f t="shared" si="50"/>
        <v>0</v>
      </c>
      <c r="AG141" s="1144">
        <f t="shared" si="50"/>
        <v>0</v>
      </c>
      <c r="AH141" s="1144">
        <f t="shared" si="50"/>
        <v>0</v>
      </c>
      <c r="AI141" s="229">
        <f t="shared" si="50"/>
        <v>0</v>
      </c>
      <c r="AJ141" s="1132">
        <f t="shared" si="50"/>
        <v>0</v>
      </c>
      <c r="AK141" s="1132">
        <f t="shared" si="50"/>
        <v>0</v>
      </c>
      <c r="AL141" s="1144">
        <f t="shared" si="50"/>
        <v>0</v>
      </c>
      <c r="AM141" s="1144">
        <f t="shared" si="50"/>
        <v>0</v>
      </c>
      <c r="AN141" s="1144">
        <f t="shared" si="50"/>
        <v>0</v>
      </c>
      <c r="AO141" s="1144">
        <f t="shared" si="50"/>
        <v>0</v>
      </c>
      <c r="AP141" s="1144">
        <f t="shared" si="50"/>
        <v>0</v>
      </c>
      <c r="AQ141" s="1144">
        <f t="shared" si="50"/>
        <v>0</v>
      </c>
      <c r="AR141" s="1144">
        <f t="shared" si="50"/>
        <v>0</v>
      </c>
      <c r="AS141" s="229">
        <f t="shared" si="50"/>
        <v>0</v>
      </c>
      <c r="AT141" s="1132">
        <f t="shared" si="50"/>
        <v>0</v>
      </c>
      <c r="AU141" s="1132">
        <f t="shared" si="50"/>
        <v>0</v>
      </c>
      <c r="AV141" s="1144">
        <f t="shared" si="50"/>
        <v>0</v>
      </c>
      <c r="AW141" s="1144">
        <f t="shared" si="50"/>
        <v>0</v>
      </c>
      <c r="AX141" s="1144">
        <f t="shared" si="50"/>
        <v>0</v>
      </c>
      <c r="AY141" s="1144">
        <f t="shared" si="50"/>
        <v>0</v>
      </c>
      <c r="AZ141" s="1144">
        <f t="shared" si="50"/>
        <v>0</v>
      </c>
      <c r="BA141" s="1144">
        <f t="shared" si="50"/>
        <v>0</v>
      </c>
      <c r="BB141" s="1144">
        <f t="shared" si="50"/>
        <v>0</v>
      </c>
      <c r="BC141" s="1106"/>
      <c r="BF141" s="902" t="s">
        <v>873</v>
      </c>
    </row>
    <row r="142" spans="1:58" s="1057" customFormat="1" ht="14.25" customHeight="1">
      <c r="A142" s="769"/>
      <c r="B142" s="718"/>
      <c r="C142" s="1016"/>
      <c r="D142" s="1016"/>
      <c r="E142" s="623">
        <v>15</v>
      </c>
      <c r="F142" s="714" t="str">
        <f t="shared" si="46"/>
        <v>1</v>
      </c>
      <c r="G142" s="750"/>
      <c r="H142" s="750"/>
      <c r="I142" s="750"/>
      <c r="J142" s="750"/>
      <c r="K142" s="750"/>
      <c r="L142" s="750"/>
      <c r="M142" s="750"/>
      <c r="N142" s="750"/>
      <c r="O142" s="750"/>
      <c r="P142" s="750"/>
      <c r="Q142" s="719"/>
      <c r="R142" s="719"/>
      <c r="S142" s="750"/>
      <c r="T142" s="645" t="b">
        <f t="shared" si="47"/>
        <v>1</v>
      </c>
      <c r="U142" s="1016"/>
      <c r="V142" s="1016"/>
      <c r="W142" s="1016"/>
      <c r="X142" s="1382"/>
      <c r="Y142" s="1016"/>
      <c r="Z142" s="1382"/>
      <c r="AA142" s="726"/>
      <c r="AB142" s="388" t="str">
        <f>AB141&amp;".1"</f>
        <v>2.1</v>
      </c>
      <c r="AC142" s="389" t="s">
        <v>836</v>
      </c>
      <c r="AD142" s="388" t="s">
        <v>837</v>
      </c>
      <c r="AE142" s="1079"/>
      <c r="AF142" s="1079"/>
      <c r="AG142" s="1079"/>
      <c r="AH142" s="1079"/>
      <c r="AI142" s="217"/>
      <c r="AJ142" s="1065"/>
      <c r="AK142" s="1065"/>
      <c r="AL142" s="1079"/>
      <c r="AM142" s="1079"/>
      <c r="AN142" s="1079"/>
      <c r="AO142" s="1079"/>
      <c r="AP142" s="1079"/>
      <c r="AQ142" s="1079"/>
      <c r="AR142" s="1079"/>
      <c r="AS142" s="217"/>
      <c r="AT142" s="1065"/>
      <c r="AU142" s="1065"/>
      <c r="AV142" s="1079"/>
      <c r="AW142" s="1079"/>
      <c r="AX142" s="1079"/>
      <c r="AY142" s="1079"/>
      <c r="AZ142" s="1079"/>
      <c r="BA142" s="1079"/>
      <c r="BB142" s="1079"/>
      <c r="BC142" s="1106"/>
      <c r="BD142" s="726"/>
      <c r="BE142" s="726"/>
      <c r="BF142" s="902" t="s">
        <v>874</v>
      </c>
    </row>
    <row r="143" spans="1:58" s="1057" customFormat="1" ht="14.25" customHeight="1">
      <c r="A143" s="769"/>
      <c r="B143" s="718"/>
      <c r="C143" s="1016"/>
      <c r="D143" s="1016"/>
      <c r="E143" s="623">
        <v>15</v>
      </c>
      <c r="F143" s="714" t="str">
        <f t="shared" si="46"/>
        <v>1</v>
      </c>
      <c r="G143" s="750"/>
      <c r="H143" s="750"/>
      <c r="I143" s="750"/>
      <c r="J143" s="750"/>
      <c r="K143" s="750"/>
      <c r="L143" s="750"/>
      <c r="M143" s="750"/>
      <c r="N143" s="750"/>
      <c r="O143" s="750"/>
      <c r="P143" s="750"/>
      <c r="Q143" s="719"/>
      <c r="R143" s="719"/>
      <c r="S143" s="750"/>
      <c r="T143" s="645" t="b">
        <f t="shared" si="47"/>
        <v>1</v>
      </c>
      <c r="U143" s="1016"/>
      <c r="V143" s="1016"/>
      <c r="W143" s="1016"/>
      <c r="X143" s="1382"/>
      <c r="Y143" s="1016"/>
      <c r="Z143" s="1382"/>
      <c r="AA143" s="726"/>
      <c r="AB143" s="388" t="str">
        <f>AB141&amp;".2"</f>
        <v>2.2</v>
      </c>
      <c r="AC143" s="389" t="s">
        <v>839</v>
      </c>
      <c r="AD143" s="388" t="s">
        <v>837</v>
      </c>
      <c r="AE143" s="1079"/>
      <c r="AF143" s="1079"/>
      <c r="AG143" s="1079"/>
      <c r="AH143" s="1079"/>
      <c r="AI143" s="217"/>
      <c r="AJ143" s="1065"/>
      <c r="AK143" s="1065"/>
      <c r="AL143" s="1079"/>
      <c r="AM143" s="1079"/>
      <c r="AN143" s="1079"/>
      <c r="AO143" s="1079"/>
      <c r="AP143" s="1079"/>
      <c r="AQ143" s="1079"/>
      <c r="AR143" s="1079"/>
      <c r="AS143" s="217"/>
      <c r="AT143" s="1065"/>
      <c r="AU143" s="1065"/>
      <c r="AV143" s="1079"/>
      <c r="AW143" s="1079"/>
      <c r="AX143" s="1079"/>
      <c r="AY143" s="1079"/>
      <c r="AZ143" s="1079"/>
      <c r="BA143" s="1079"/>
      <c r="BB143" s="1079"/>
      <c r="BC143" s="1106"/>
      <c r="BD143" s="726"/>
      <c r="BE143" s="726"/>
      <c r="BF143" s="902" t="s">
        <v>875</v>
      </c>
    </row>
    <row r="144" spans="1:58" s="1057" customFormat="1" ht="14.25" customHeight="1">
      <c r="A144" s="769"/>
      <c r="B144" s="718"/>
      <c r="C144" s="1016"/>
      <c r="D144" s="1016"/>
      <c r="E144" s="623">
        <v>15</v>
      </c>
      <c r="F144" s="714" t="str">
        <f t="shared" si="46"/>
        <v>1</v>
      </c>
      <c r="G144" s="750"/>
      <c r="H144" s="750"/>
      <c r="I144" s="750"/>
      <c r="J144" s="750"/>
      <c r="K144" s="750"/>
      <c r="L144" s="750"/>
      <c r="M144" s="750"/>
      <c r="N144" s="750"/>
      <c r="O144" s="750"/>
      <c r="P144" s="750"/>
      <c r="Q144" s="719"/>
      <c r="R144" s="719"/>
      <c r="S144" s="750"/>
      <c r="T144" s="645" t="b">
        <f t="shared" si="47"/>
        <v>1</v>
      </c>
      <c r="U144" s="1016"/>
      <c r="V144" s="1016"/>
      <c r="W144" s="1016"/>
      <c r="X144" s="1382"/>
      <c r="Y144" s="1016"/>
      <c r="Z144" s="1382"/>
      <c r="AA144" s="726"/>
      <c r="AB144" s="388" t="str">
        <f>AB141&amp;".3"</f>
        <v>2.3</v>
      </c>
      <c r="AC144" s="389" t="s">
        <v>841</v>
      </c>
      <c r="AD144" s="388" t="s">
        <v>837</v>
      </c>
      <c r="AE144" s="1079"/>
      <c r="AF144" s="1079"/>
      <c r="AG144" s="1079"/>
      <c r="AH144" s="1079"/>
      <c r="AI144" s="217"/>
      <c r="AJ144" s="1065"/>
      <c r="AK144" s="1065"/>
      <c r="AL144" s="1079"/>
      <c r="AM144" s="1079"/>
      <c r="AN144" s="1079"/>
      <c r="AO144" s="1079"/>
      <c r="AP144" s="1079"/>
      <c r="AQ144" s="1079"/>
      <c r="AR144" s="1079"/>
      <c r="AS144" s="217"/>
      <c r="AT144" s="1065"/>
      <c r="AU144" s="1065"/>
      <c r="AV144" s="1079"/>
      <c r="AW144" s="1079"/>
      <c r="AX144" s="1079"/>
      <c r="AY144" s="1079"/>
      <c r="AZ144" s="1079"/>
      <c r="BA144" s="1079"/>
      <c r="BB144" s="1079"/>
      <c r="BC144" s="1106"/>
      <c r="BD144" s="726"/>
      <c r="BE144" s="726"/>
      <c r="BF144" s="902" t="s">
        <v>876</v>
      </c>
    </row>
    <row r="145" spans="1:58" s="1057" customFormat="1" ht="14.25" customHeight="1">
      <c r="A145" s="769"/>
      <c r="B145" s="718"/>
      <c r="C145" s="1016"/>
      <c r="D145" s="1016"/>
      <c r="E145" s="623">
        <v>15</v>
      </c>
      <c r="F145" s="714" t="str">
        <f t="shared" si="46"/>
        <v>1</v>
      </c>
      <c r="G145" s="750"/>
      <c r="H145" s="750"/>
      <c r="I145" s="750"/>
      <c r="J145" s="750"/>
      <c r="K145" s="750"/>
      <c r="L145" s="750"/>
      <c r="M145" s="750"/>
      <c r="N145" s="750"/>
      <c r="O145" s="750"/>
      <c r="P145" s="750"/>
      <c r="Q145" s="719"/>
      <c r="R145" s="719"/>
      <c r="S145" s="750"/>
      <c r="T145" s="645" t="b">
        <f t="shared" si="47"/>
        <v>1</v>
      </c>
      <c r="U145" s="1016"/>
      <c r="V145" s="1016"/>
      <c r="W145" s="1016"/>
      <c r="X145" s="1382"/>
      <c r="Y145" s="1016"/>
      <c r="Z145" s="1382"/>
      <c r="AA145" s="726"/>
      <c r="AB145" s="388" t="str">
        <f>AB141&amp;".4"</f>
        <v>2.4</v>
      </c>
      <c r="AC145" s="389" t="s">
        <v>843</v>
      </c>
      <c r="AD145" s="388" t="s">
        <v>837</v>
      </c>
      <c r="AE145" s="1147">
        <f t="shared" ref="AE145:BB145" si="51">SUM(AE146:AE150)</f>
        <v>0</v>
      </c>
      <c r="AF145" s="1147">
        <f t="shared" si="51"/>
        <v>0</v>
      </c>
      <c r="AG145" s="1147">
        <f t="shared" si="51"/>
        <v>0</v>
      </c>
      <c r="AH145" s="1147">
        <f t="shared" si="51"/>
        <v>0</v>
      </c>
      <c r="AI145" s="386">
        <f t="shared" si="51"/>
        <v>0</v>
      </c>
      <c r="AJ145" s="1104">
        <f t="shared" si="51"/>
        <v>0</v>
      </c>
      <c r="AK145" s="1104">
        <f t="shared" si="51"/>
        <v>0</v>
      </c>
      <c r="AL145" s="1147">
        <f t="shared" si="51"/>
        <v>0</v>
      </c>
      <c r="AM145" s="1147">
        <f t="shared" si="51"/>
        <v>0</v>
      </c>
      <c r="AN145" s="1147">
        <f t="shared" si="51"/>
        <v>0</v>
      </c>
      <c r="AO145" s="1147">
        <f t="shared" si="51"/>
        <v>0</v>
      </c>
      <c r="AP145" s="1147">
        <f t="shared" si="51"/>
        <v>0</v>
      </c>
      <c r="AQ145" s="1147">
        <f t="shared" si="51"/>
        <v>0</v>
      </c>
      <c r="AR145" s="1147">
        <f t="shared" si="51"/>
        <v>0</v>
      </c>
      <c r="AS145" s="386">
        <f t="shared" si="51"/>
        <v>0</v>
      </c>
      <c r="AT145" s="1104">
        <f t="shared" si="51"/>
        <v>0</v>
      </c>
      <c r="AU145" s="1104">
        <f t="shared" si="51"/>
        <v>0</v>
      </c>
      <c r="AV145" s="1147">
        <f t="shared" si="51"/>
        <v>0</v>
      </c>
      <c r="AW145" s="1147">
        <f t="shared" si="51"/>
        <v>0</v>
      </c>
      <c r="AX145" s="1147">
        <f t="shared" si="51"/>
        <v>0</v>
      </c>
      <c r="AY145" s="1147">
        <f t="shared" si="51"/>
        <v>0</v>
      </c>
      <c r="AZ145" s="1147">
        <f t="shared" si="51"/>
        <v>0</v>
      </c>
      <c r="BA145" s="1147">
        <f t="shared" si="51"/>
        <v>0</v>
      </c>
      <c r="BB145" s="1147">
        <f t="shared" si="51"/>
        <v>0</v>
      </c>
      <c r="BC145" s="1106"/>
      <c r="BD145" s="726"/>
      <c r="BE145" s="726"/>
      <c r="BF145" s="902" t="s">
        <v>877</v>
      </c>
    </row>
    <row r="146" spans="1:58" s="1057" customFormat="1" ht="14.25" customHeight="1">
      <c r="A146" s="769"/>
      <c r="B146" s="718"/>
      <c r="C146" s="1016"/>
      <c r="D146" s="1016"/>
      <c r="E146" s="623">
        <v>15</v>
      </c>
      <c r="F146" s="714" t="str">
        <f t="shared" si="46"/>
        <v>1</v>
      </c>
      <c r="G146" s="750"/>
      <c r="H146" s="750"/>
      <c r="I146" s="750"/>
      <c r="J146" s="750"/>
      <c r="K146" s="750"/>
      <c r="L146" s="750"/>
      <c r="M146" s="750"/>
      <c r="N146" s="750"/>
      <c r="O146" s="750"/>
      <c r="P146" s="750"/>
      <c r="Q146" s="719"/>
      <c r="R146" s="719"/>
      <c r="S146" s="750"/>
      <c r="T146" s="645" t="b">
        <f t="shared" si="47"/>
        <v>1</v>
      </c>
      <c r="U146" s="1016"/>
      <c r="V146" s="1016"/>
      <c r="W146" s="1016"/>
      <c r="X146" s="1382"/>
      <c r="Y146" s="1016"/>
      <c r="Z146" s="1382"/>
      <c r="AA146" s="726"/>
      <c r="AB146" s="388" t="str">
        <f>AB145&amp;".1"</f>
        <v>2.4.1</v>
      </c>
      <c r="AC146" s="390" t="s">
        <v>846</v>
      </c>
      <c r="AD146" s="388" t="s">
        <v>837</v>
      </c>
      <c r="AE146" s="1079"/>
      <c r="AF146" s="1079"/>
      <c r="AG146" s="1079"/>
      <c r="AH146" s="1079"/>
      <c r="AI146" s="217"/>
      <c r="AJ146" s="1065"/>
      <c r="AK146" s="1065"/>
      <c r="AL146" s="1079"/>
      <c r="AM146" s="1079"/>
      <c r="AN146" s="1079"/>
      <c r="AO146" s="1079"/>
      <c r="AP146" s="1079"/>
      <c r="AQ146" s="1079"/>
      <c r="AR146" s="1079"/>
      <c r="AS146" s="217"/>
      <c r="AT146" s="1065"/>
      <c r="AU146" s="1065"/>
      <c r="AV146" s="1079"/>
      <c r="AW146" s="1079"/>
      <c r="AX146" s="1079"/>
      <c r="AY146" s="1079"/>
      <c r="AZ146" s="1079"/>
      <c r="BA146" s="1079"/>
      <c r="BB146" s="1079"/>
      <c r="BC146" s="1106"/>
      <c r="BD146" s="726"/>
      <c r="BE146" s="726"/>
      <c r="BF146" s="902" t="s">
        <v>878</v>
      </c>
    </row>
    <row r="147" spans="1:58" s="1057" customFormat="1" ht="14.25" customHeight="1">
      <c r="A147" s="769"/>
      <c r="B147" s="718"/>
      <c r="C147" s="1016"/>
      <c r="D147" s="1016"/>
      <c r="E147" s="623">
        <v>15</v>
      </c>
      <c r="F147" s="714" t="str">
        <f t="shared" si="46"/>
        <v>1</v>
      </c>
      <c r="G147" s="750"/>
      <c r="H147" s="750"/>
      <c r="I147" s="750"/>
      <c r="J147" s="750"/>
      <c r="K147" s="750"/>
      <c r="L147" s="750"/>
      <c r="M147" s="750"/>
      <c r="N147" s="750"/>
      <c r="O147" s="750"/>
      <c r="P147" s="750"/>
      <c r="Q147" s="719"/>
      <c r="R147" s="719"/>
      <c r="S147" s="750"/>
      <c r="T147" s="645" t="b">
        <f t="shared" si="47"/>
        <v>1</v>
      </c>
      <c r="U147" s="1016"/>
      <c r="V147" s="1016"/>
      <c r="W147" s="1016"/>
      <c r="X147" s="1382"/>
      <c r="Y147" s="1016"/>
      <c r="Z147" s="1382"/>
      <c r="AA147" s="726"/>
      <c r="AB147" s="388" t="str">
        <f>AB145&amp;".2"</f>
        <v>2.4.2</v>
      </c>
      <c r="AC147" s="390" t="s">
        <v>849</v>
      </c>
      <c r="AD147" s="388" t="s">
        <v>837</v>
      </c>
      <c r="AE147" s="1079"/>
      <c r="AF147" s="1079"/>
      <c r="AG147" s="1079"/>
      <c r="AH147" s="1079"/>
      <c r="AI147" s="217"/>
      <c r="AJ147" s="1065"/>
      <c r="AK147" s="1065"/>
      <c r="AL147" s="1079"/>
      <c r="AM147" s="1079"/>
      <c r="AN147" s="1079"/>
      <c r="AO147" s="1079"/>
      <c r="AP147" s="1079"/>
      <c r="AQ147" s="1079"/>
      <c r="AR147" s="1079"/>
      <c r="AS147" s="217"/>
      <c r="AT147" s="1065"/>
      <c r="AU147" s="1065"/>
      <c r="AV147" s="1079"/>
      <c r="AW147" s="1079"/>
      <c r="AX147" s="1079"/>
      <c r="AY147" s="1079"/>
      <c r="AZ147" s="1079"/>
      <c r="BA147" s="1079"/>
      <c r="BB147" s="1079"/>
      <c r="BC147" s="1106"/>
      <c r="BD147" s="726"/>
      <c r="BE147" s="726"/>
      <c r="BF147" s="902" t="s">
        <v>879</v>
      </c>
    </row>
    <row r="148" spans="1:58" s="1057" customFormat="1" ht="14.25" customHeight="1">
      <c r="A148" s="769"/>
      <c r="B148" s="718"/>
      <c r="C148" s="1016"/>
      <c r="D148" s="1016"/>
      <c r="E148" s="623">
        <v>15</v>
      </c>
      <c r="F148" s="714" t="str">
        <f t="shared" si="46"/>
        <v>1</v>
      </c>
      <c r="G148" s="750"/>
      <c r="H148" s="750"/>
      <c r="I148" s="750"/>
      <c r="J148" s="750"/>
      <c r="K148" s="750"/>
      <c r="L148" s="750"/>
      <c r="M148" s="750"/>
      <c r="N148" s="750"/>
      <c r="O148" s="750"/>
      <c r="P148" s="750"/>
      <c r="Q148" s="719"/>
      <c r="R148" s="719"/>
      <c r="S148" s="750"/>
      <c r="T148" s="645" t="b">
        <f t="shared" si="47"/>
        <v>1</v>
      </c>
      <c r="U148" s="1016"/>
      <c r="V148" s="1016"/>
      <c r="W148" s="1016"/>
      <c r="X148" s="1382"/>
      <c r="Y148" s="1016"/>
      <c r="Z148" s="1382"/>
      <c r="AA148" s="726"/>
      <c r="AB148" s="388" t="str">
        <f>AB145&amp;".3"</f>
        <v>2.4.3</v>
      </c>
      <c r="AC148" s="390" t="s">
        <v>852</v>
      </c>
      <c r="AD148" s="388" t="s">
        <v>837</v>
      </c>
      <c r="AE148" s="1079"/>
      <c r="AF148" s="1079"/>
      <c r="AG148" s="1079"/>
      <c r="AH148" s="1079"/>
      <c r="AI148" s="217"/>
      <c r="AJ148" s="1065"/>
      <c r="AK148" s="1065"/>
      <c r="AL148" s="1079"/>
      <c r="AM148" s="1079"/>
      <c r="AN148" s="1079"/>
      <c r="AO148" s="1079"/>
      <c r="AP148" s="1079"/>
      <c r="AQ148" s="1079"/>
      <c r="AR148" s="1079"/>
      <c r="AS148" s="217"/>
      <c r="AT148" s="1065"/>
      <c r="AU148" s="1065"/>
      <c r="AV148" s="1079"/>
      <c r="AW148" s="1079"/>
      <c r="AX148" s="1079"/>
      <c r="AY148" s="1079"/>
      <c r="AZ148" s="1079"/>
      <c r="BA148" s="1079"/>
      <c r="BB148" s="1079"/>
      <c r="BC148" s="1106"/>
      <c r="BD148" s="726"/>
      <c r="BE148" s="726"/>
      <c r="BF148" s="902" t="s">
        <v>880</v>
      </c>
    </row>
    <row r="149" spans="1:58" s="1057" customFormat="1" ht="14.25" customHeight="1">
      <c r="A149" s="769"/>
      <c r="B149" s="718"/>
      <c r="C149" s="1016"/>
      <c r="D149" s="1016"/>
      <c r="E149" s="623">
        <v>15</v>
      </c>
      <c r="F149" s="714" t="str">
        <f t="shared" si="46"/>
        <v>1</v>
      </c>
      <c r="G149" s="750"/>
      <c r="H149" s="750"/>
      <c r="I149" s="750"/>
      <c r="J149" s="750"/>
      <c r="K149" s="750"/>
      <c r="L149" s="750"/>
      <c r="M149" s="750"/>
      <c r="N149" s="750"/>
      <c r="O149" s="750"/>
      <c r="P149" s="750"/>
      <c r="Q149" s="719"/>
      <c r="R149" s="719"/>
      <c r="S149" s="750"/>
      <c r="T149" s="645" t="b">
        <f t="shared" si="47"/>
        <v>1</v>
      </c>
      <c r="U149" s="1016"/>
      <c r="V149" s="1016"/>
      <c r="W149" s="1016"/>
      <c r="X149" s="1382"/>
      <c r="Y149" s="1016"/>
      <c r="Z149" s="1382"/>
      <c r="AA149" s="726"/>
      <c r="AB149" s="388" t="str">
        <f>AB145&amp;".4"</f>
        <v>2.4.4</v>
      </c>
      <c r="AC149" s="390" t="s">
        <v>855</v>
      </c>
      <c r="AD149" s="388" t="s">
        <v>837</v>
      </c>
      <c r="AE149" s="1079"/>
      <c r="AF149" s="1079"/>
      <c r="AG149" s="1079"/>
      <c r="AH149" s="1079"/>
      <c r="AI149" s="217"/>
      <c r="AJ149" s="1065"/>
      <c r="AK149" s="1065"/>
      <c r="AL149" s="1079"/>
      <c r="AM149" s="1079"/>
      <c r="AN149" s="1079"/>
      <c r="AO149" s="1079"/>
      <c r="AP149" s="1079"/>
      <c r="AQ149" s="1079"/>
      <c r="AR149" s="1079"/>
      <c r="AS149" s="217"/>
      <c r="AT149" s="1065"/>
      <c r="AU149" s="1065"/>
      <c r="AV149" s="1079"/>
      <c r="AW149" s="1079"/>
      <c r="AX149" s="1079"/>
      <c r="AY149" s="1079"/>
      <c r="AZ149" s="1079"/>
      <c r="BA149" s="1079"/>
      <c r="BB149" s="1079"/>
      <c r="BC149" s="1106"/>
      <c r="BD149" s="726"/>
      <c r="BE149" s="726"/>
      <c r="BF149" s="902" t="s">
        <v>881</v>
      </c>
    </row>
    <row r="150" spans="1:58" s="1057" customFormat="1" ht="14.25" customHeight="1">
      <c r="A150" s="769"/>
      <c r="B150" s="718"/>
      <c r="C150" s="1016"/>
      <c r="D150" s="1016"/>
      <c r="E150" s="623">
        <v>15</v>
      </c>
      <c r="F150" s="714" t="str">
        <f t="shared" si="46"/>
        <v>1</v>
      </c>
      <c r="G150" s="750"/>
      <c r="H150" s="750"/>
      <c r="I150" s="750"/>
      <c r="J150" s="750"/>
      <c r="K150" s="750"/>
      <c r="L150" s="750"/>
      <c r="M150" s="750"/>
      <c r="N150" s="750"/>
      <c r="O150" s="750"/>
      <c r="P150" s="750"/>
      <c r="Q150" s="719"/>
      <c r="R150" s="719"/>
      <c r="S150" s="750"/>
      <c r="T150" s="645" t="b">
        <f t="shared" si="47"/>
        <v>1</v>
      </c>
      <c r="U150" s="1016"/>
      <c r="V150" s="1016"/>
      <c r="W150" s="1016"/>
      <c r="X150" s="1382"/>
      <c r="Y150" s="1016"/>
      <c r="Z150" s="1382"/>
      <c r="AA150" s="726"/>
      <c r="AB150" s="388" t="str">
        <f>AB145&amp;".5"</f>
        <v>2.4.5</v>
      </c>
      <c r="AC150" s="390" t="s">
        <v>858</v>
      </c>
      <c r="AD150" s="388" t="s">
        <v>837</v>
      </c>
      <c r="AE150" s="1079"/>
      <c r="AF150" s="1079"/>
      <c r="AG150" s="1079"/>
      <c r="AH150" s="1079"/>
      <c r="AI150" s="217"/>
      <c r="AJ150" s="1065"/>
      <c r="AK150" s="1065"/>
      <c r="AL150" s="1079"/>
      <c r="AM150" s="1079"/>
      <c r="AN150" s="1079"/>
      <c r="AO150" s="1079"/>
      <c r="AP150" s="1079"/>
      <c r="AQ150" s="1079"/>
      <c r="AR150" s="1079"/>
      <c r="AS150" s="217"/>
      <c r="AT150" s="1065"/>
      <c r="AU150" s="1065"/>
      <c r="AV150" s="1079"/>
      <c r="AW150" s="1079"/>
      <c r="AX150" s="1079"/>
      <c r="AY150" s="1079"/>
      <c r="AZ150" s="1079"/>
      <c r="BA150" s="1079"/>
      <c r="BB150" s="1079"/>
      <c r="BC150" s="1106"/>
      <c r="BD150" s="726"/>
      <c r="BE150" s="726"/>
      <c r="BF150" s="902" t="s">
        <v>882</v>
      </c>
    </row>
    <row r="151" spans="1:58" s="1057" customFormat="1" ht="14.25" customHeight="1">
      <c r="A151" s="769"/>
      <c r="B151" s="718"/>
      <c r="C151" s="1016"/>
      <c r="D151" s="1016"/>
      <c r="E151" s="623">
        <v>15</v>
      </c>
      <c r="F151" s="714" t="str">
        <f t="shared" si="46"/>
        <v>1</v>
      </c>
      <c r="G151" s="750"/>
      <c r="H151" s="750"/>
      <c r="I151" s="750"/>
      <c r="J151" s="750"/>
      <c r="K151" s="750"/>
      <c r="L151" s="750"/>
      <c r="M151" s="750"/>
      <c r="N151" s="750"/>
      <c r="O151" s="750"/>
      <c r="P151" s="750"/>
      <c r="Q151" s="719"/>
      <c r="R151" s="719"/>
      <c r="S151" s="750"/>
      <c r="T151" s="645" t="b">
        <f t="shared" si="47"/>
        <v>1</v>
      </c>
      <c r="U151" s="1016"/>
      <c r="V151" s="1016"/>
      <c r="W151" s="1016"/>
      <c r="X151" s="1382"/>
      <c r="Y151" s="1016"/>
      <c r="Z151" s="1382"/>
      <c r="AA151" s="726"/>
      <c r="AB151" s="388" t="str">
        <f>AB141&amp;".5"</f>
        <v>2.5</v>
      </c>
      <c r="AC151" s="389" t="s">
        <v>861</v>
      </c>
      <c r="AD151" s="388" t="s">
        <v>837</v>
      </c>
      <c r="AE151" s="1079"/>
      <c r="AF151" s="1079"/>
      <c r="AG151" s="1079"/>
      <c r="AH151" s="1079"/>
      <c r="AI151" s="217"/>
      <c r="AJ151" s="1065"/>
      <c r="AK151" s="1065"/>
      <c r="AL151" s="1079"/>
      <c r="AM151" s="1079"/>
      <c r="AN151" s="1079"/>
      <c r="AO151" s="1079"/>
      <c r="AP151" s="1079"/>
      <c r="AQ151" s="1079"/>
      <c r="AR151" s="1079"/>
      <c r="AS151" s="217"/>
      <c r="AT151" s="1065"/>
      <c r="AU151" s="1065"/>
      <c r="AV151" s="1079"/>
      <c r="AW151" s="1079"/>
      <c r="AX151" s="1079"/>
      <c r="AY151" s="1079"/>
      <c r="AZ151" s="1079"/>
      <c r="BA151" s="1079"/>
      <c r="BB151" s="1079"/>
      <c r="BC151" s="1106"/>
      <c r="BD151" s="726"/>
      <c r="BE151" s="726"/>
      <c r="BF151" s="902" t="s">
        <v>883</v>
      </c>
    </row>
    <row r="152" spans="1:58" s="1057" customFormat="1" ht="14.25" customHeight="1">
      <c r="A152" s="769"/>
      <c r="B152" s="718"/>
      <c r="C152" s="1016"/>
      <c r="D152" s="1016"/>
      <c r="E152" s="623">
        <v>15</v>
      </c>
      <c r="F152" s="714" t="str">
        <f t="shared" si="46"/>
        <v>1</v>
      </c>
      <c r="G152" s="750"/>
      <c r="H152" s="750"/>
      <c r="I152" s="750"/>
      <c r="J152" s="750"/>
      <c r="K152" s="750"/>
      <c r="L152" s="750"/>
      <c r="M152" s="750"/>
      <c r="N152" s="750"/>
      <c r="O152" s="750"/>
      <c r="P152" s="750"/>
      <c r="Q152" s="719"/>
      <c r="R152" s="719"/>
      <c r="S152" s="750"/>
      <c r="T152" s="645" t="b">
        <f t="shared" si="47"/>
        <v>1</v>
      </c>
      <c r="U152" s="1016"/>
      <c r="V152" s="1016"/>
      <c r="W152" s="1016"/>
      <c r="X152" s="1382"/>
      <c r="Y152" s="1016"/>
      <c r="Z152" s="1382"/>
      <c r="AA152" s="726"/>
      <c r="AB152" s="388" t="str">
        <f>AB141&amp;".6"</f>
        <v>2.6</v>
      </c>
      <c r="AC152" s="389" t="s">
        <v>864</v>
      </c>
      <c r="AD152" s="388" t="s">
        <v>837</v>
      </c>
      <c r="AE152" s="1079"/>
      <c r="AF152" s="1079"/>
      <c r="AG152" s="1079"/>
      <c r="AH152" s="1079"/>
      <c r="AI152" s="217"/>
      <c r="AJ152" s="1065"/>
      <c r="AK152" s="1065"/>
      <c r="AL152" s="1079"/>
      <c r="AM152" s="1079"/>
      <c r="AN152" s="1079"/>
      <c r="AO152" s="1079"/>
      <c r="AP152" s="1079"/>
      <c r="AQ152" s="1079"/>
      <c r="AR152" s="1079"/>
      <c r="AS152" s="217"/>
      <c r="AT152" s="1065"/>
      <c r="AU152" s="1065"/>
      <c r="AV152" s="1079"/>
      <c r="AW152" s="1079"/>
      <c r="AX152" s="1079"/>
      <c r="AY152" s="1079"/>
      <c r="AZ152" s="1079"/>
      <c r="BA152" s="1079"/>
      <c r="BB152" s="1079"/>
      <c r="BC152" s="1106"/>
      <c r="BD152" s="726"/>
      <c r="BE152" s="726"/>
      <c r="BF152" s="902" t="s">
        <v>884</v>
      </c>
    </row>
    <row r="153" spans="1:58" s="1057" customFormat="1" ht="14.25" customHeight="1">
      <c r="A153" s="769"/>
      <c r="B153" s="718"/>
      <c r="C153" s="1016"/>
      <c r="D153" s="1016"/>
      <c r="E153" s="623">
        <v>15</v>
      </c>
      <c r="F153" s="714" t="str">
        <f t="shared" si="46"/>
        <v>1</v>
      </c>
      <c r="G153" s="750"/>
      <c r="H153" s="750"/>
      <c r="I153" s="750"/>
      <c r="J153" s="750"/>
      <c r="K153" s="750"/>
      <c r="L153" s="750"/>
      <c r="M153" s="750"/>
      <c r="N153" s="750"/>
      <c r="O153" s="750"/>
      <c r="P153" s="750"/>
      <c r="Q153" s="719"/>
      <c r="R153" s="719"/>
      <c r="S153" s="750"/>
      <c r="T153" s="645" t="b">
        <f t="shared" si="47"/>
        <v>1</v>
      </c>
      <c r="U153" s="1016"/>
      <c r="V153" s="1016"/>
      <c r="W153" s="1016"/>
      <c r="X153" s="1382"/>
      <c r="Y153" s="1016"/>
      <c r="Z153" s="1382"/>
      <c r="AA153" s="726"/>
      <c r="AB153" s="388" t="str">
        <f>AB141&amp;".7"</f>
        <v>2.7</v>
      </c>
      <c r="AC153" s="389" t="s">
        <v>867</v>
      </c>
      <c r="AD153" s="388" t="s">
        <v>837</v>
      </c>
      <c r="AE153" s="1079"/>
      <c r="AF153" s="1079"/>
      <c r="AG153" s="1079"/>
      <c r="AH153" s="1079"/>
      <c r="AI153" s="217"/>
      <c r="AJ153" s="1065"/>
      <c r="AK153" s="1065"/>
      <c r="AL153" s="1079"/>
      <c r="AM153" s="1079"/>
      <c r="AN153" s="1079"/>
      <c r="AO153" s="1079"/>
      <c r="AP153" s="1079"/>
      <c r="AQ153" s="1079"/>
      <c r="AR153" s="1079"/>
      <c r="AS153" s="217"/>
      <c r="AT153" s="1065"/>
      <c r="AU153" s="1065"/>
      <c r="AV153" s="1079"/>
      <c r="AW153" s="1079"/>
      <c r="AX153" s="1079"/>
      <c r="AY153" s="1079"/>
      <c r="AZ153" s="1079"/>
      <c r="BA153" s="1079"/>
      <c r="BB153" s="1079"/>
      <c r="BC153" s="1106"/>
      <c r="BD153" s="726"/>
      <c r="BE153" s="726"/>
      <c r="BF153" s="902" t="s">
        <v>885</v>
      </c>
    </row>
    <row r="154" spans="1:58" s="1057" customFormat="1" ht="14.25" customHeight="1">
      <c r="A154" s="769"/>
      <c r="B154" s="718"/>
      <c r="C154" s="1016"/>
      <c r="D154" s="1016"/>
      <c r="E154" s="623">
        <v>15</v>
      </c>
      <c r="F154" s="714" t="str">
        <f t="shared" si="46"/>
        <v>1</v>
      </c>
      <c r="G154" s="750"/>
      <c r="H154" s="750"/>
      <c r="I154" s="750"/>
      <c r="J154" s="750"/>
      <c r="K154" s="750"/>
      <c r="L154" s="750"/>
      <c r="M154" s="750"/>
      <c r="N154" s="750"/>
      <c r="O154" s="750"/>
      <c r="P154" s="750"/>
      <c r="Q154" s="719"/>
      <c r="R154" s="719"/>
      <c r="S154" s="750"/>
      <c r="T154" s="645" t="b">
        <f t="shared" si="47"/>
        <v>1</v>
      </c>
      <c r="U154" s="1016"/>
      <c r="V154" s="1016"/>
      <c r="W154" s="1016"/>
      <c r="X154" s="1382"/>
      <c r="Y154" s="1016"/>
      <c r="Z154" s="1382"/>
      <c r="AA154" s="726"/>
      <c r="AB154" s="388" t="str">
        <f>AB141&amp;".8"</f>
        <v>2.8</v>
      </c>
      <c r="AC154" s="389" t="s">
        <v>870</v>
      </c>
      <c r="AD154" s="388" t="s">
        <v>837</v>
      </c>
      <c r="AE154" s="1079"/>
      <c r="AF154" s="1079"/>
      <c r="AG154" s="1079"/>
      <c r="AH154" s="1079"/>
      <c r="AI154" s="217"/>
      <c r="AJ154" s="1065"/>
      <c r="AK154" s="1065"/>
      <c r="AL154" s="1079"/>
      <c r="AM154" s="1079"/>
      <c r="AN154" s="1079"/>
      <c r="AO154" s="1079"/>
      <c r="AP154" s="1079"/>
      <c r="AQ154" s="1079"/>
      <c r="AR154" s="1079"/>
      <c r="AS154" s="217"/>
      <c r="AT154" s="1065"/>
      <c r="AU154" s="1065"/>
      <c r="AV154" s="1079"/>
      <c r="AW154" s="1079"/>
      <c r="AX154" s="1079"/>
      <c r="AY154" s="1079"/>
      <c r="AZ154" s="1079"/>
      <c r="BA154" s="1079"/>
      <c r="BB154" s="1079"/>
      <c r="BC154" s="1106"/>
      <c r="BD154" s="726"/>
      <c r="BE154" s="726"/>
      <c r="BF154" s="902" t="s">
        <v>886</v>
      </c>
    </row>
    <row r="155" spans="1:58" s="154" customFormat="1" ht="14.25" customHeight="1">
      <c r="E155" s="623">
        <v>15</v>
      </c>
      <c r="F155" s="714" t="str">
        <f t="shared" si="46"/>
        <v>1</v>
      </c>
      <c r="T155" s="645" t="b">
        <f t="shared" si="47"/>
        <v>1</v>
      </c>
      <c r="X155" s="1491"/>
      <c r="Z155" s="1491"/>
      <c r="AB155" s="214">
        <v>3</v>
      </c>
      <c r="AC155" s="215" t="s">
        <v>887</v>
      </c>
      <c r="AD155" s="95" t="s">
        <v>648</v>
      </c>
      <c r="AE155" s="1144">
        <f t="shared" ref="AE155:BB155" si="52">SUM(AE156:AE159)+SUM(AE165:AE168)</f>
        <v>0</v>
      </c>
      <c r="AF155" s="1144">
        <f t="shared" si="52"/>
        <v>0</v>
      </c>
      <c r="AG155" s="1144">
        <f t="shared" si="52"/>
        <v>0</v>
      </c>
      <c r="AH155" s="1144">
        <f t="shared" si="52"/>
        <v>0</v>
      </c>
      <c r="AI155" s="229">
        <f t="shared" si="52"/>
        <v>0</v>
      </c>
      <c r="AJ155" s="1132">
        <f t="shared" si="52"/>
        <v>0</v>
      </c>
      <c r="AK155" s="1132">
        <f t="shared" si="52"/>
        <v>0</v>
      </c>
      <c r="AL155" s="1144">
        <f t="shared" si="52"/>
        <v>0</v>
      </c>
      <c r="AM155" s="1144">
        <f t="shared" si="52"/>
        <v>0</v>
      </c>
      <c r="AN155" s="1144">
        <f t="shared" si="52"/>
        <v>0</v>
      </c>
      <c r="AO155" s="1144">
        <f t="shared" si="52"/>
        <v>0</v>
      </c>
      <c r="AP155" s="1144">
        <f t="shared" si="52"/>
        <v>0</v>
      </c>
      <c r="AQ155" s="1144">
        <f t="shared" si="52"/>
        <v>0</v>
      </c>
      <c r="AR155" s="1144">
        <f t="shared" si="52"/>
        <v>0</v>
      </c>
      <c r="AS155" s="229">
        <f t="shared" si="52"/>
        <v>0</v>
      </c>
      <c r="AT155" s="1132">
        <f t="shared" si="52"/>
        <v>0</v>
      </c>
      <c r="AU155" s="1132">
        <f t="shared" si="52"/>
        <v>0</v>
      </c>
      <c r="AV155" s="1144">
        <f t="shared" si="52"/>
        <v>0</v>
      </c>
      <c r="AW155" s="1144">
        <f t="shared" si="52"/>
        <v>0</v>
      </c>
      <c r="AX155" s="1144">
        <f t="shared" si="52"/>
        <v>0</v>
      </c>
      <c r="AY155" s="1144">
        <f t="shared" si="52"/>
        <v>0</v>
      </c>
      <c r="AZ155" s="1144">
        <f t="shared" si="52"/>
        <v>0</v>
      </c>
      <c r="BA155" s="1144">
        <f t="shared" si="52"/>
        <v>0</v>
      </c>
      <c r="BB155" s="1144">
        <f t="shared" si="52"/>
        <v>0</v>
      </c>
      <c r="BC155" s="1106"/>
      <c r="BF155" s="902" t="s">
        <v>888</v>
      </c>
    </row>
    <row r="156" spans="1:58" s="1057" customFormat="1" ht="14.25" customHeight="1">
      <c r="A156" s="769"/>
      <c r="B156" s="718"/>
      <c r="C156" s="1016"/>
      <c r="D156" s="1016"/>
      <c r="E156" s="623">
        <v>15</v>
      </c>
      <c r="F156" s="714" t="str">
        <f t="shared" si="46"/>
        <v>1</v>
      </c>
      <c r="G156" s="750"/>
      <c r="H156" s="750"/>
      <c r="I156" s="750"/>
      <c r="J156" s="750"/>
      <c r="K156" s="750"/>
      <c r="L156" s="750"/>
      <c r="M156" s="750"/>
      <c r="N156" s="750"/>
      <c r="O156" s="750"/>
      <c r="P156" s="750"/>
      <c r="Q156" s="719"/>
      <c r="R156" s="719"/>
      <c r="S156" s="750"/>
      <c r="T156" s="645" t="b">
        <f t="shared" si="47"/>
        <v>1</v>
      </c>
      <c r="U156" s="1016"/>
      <c r="V156" s="1016"/>
      <c r="W156" s="1016"/>
      <c r="X156" s="1382"/>
      <c r="Y156" s="1016"/>
      <c r="Z156" s="1382"/>
      <c r="AA156" s="726"/>
      <c r="AB156" s="388" t="str">
        <f>AB155&amp;".1"</f>
        <v>3.1</v>
      </c>
      <c r="AC156" s="389" t="s">
        <v>836</v>
      </c>
      <c r="AD156" s="388" t="s">
        <v>837</v>
      </c>
      <c r="AE156" s="1079"/>
      <c r="AF156" s="1079"/>
      <c r="AG156" s="1079"/>
      <c r="AH156" s="1079"/>
      <c r="AI156" s="217"/>
      <c r="AJ156" s="1065"/>
      <c r="AK156" s="1065"/>
      <c r="AL156" s="1079"/>
      <c r="AM156" s="1079"/>
      <c r="AN156" s="1079"/>
      <c r="AO156" s="1079"/>
      <c r="AP156" s="1079"/>
      <c r="AQ156" s="1079"/>
      <c r="AR156" s="1079"/>
      <c r="AS156" s="217"/>
      <c r="AT156" s="1065"/>
      <c r="AU156" s="1065"/>
      <c r="AV156" s="1079"/>
      <c r="AW156" s="1079"/>
      <c r="AX156" s="1079"/>
      <c r="AY156" s="1079"/>
      <c r="AZ156" s="1079"/>
      <c r="BA156" s="1079"/>
      <c r="BB156" s="1079"/>
      <c r="BC156" s="1106"/>
      <c r="BD156" s="726"/>
      <c r="BE156" s="726"/>
      <c r="BF156" s="902" t="s">
        <v>889</v>
      </c>
    </row>
    <row r="157" spans="1:58" s="1057" customFormat="1" ht="14.25" customHeight="1">
      <c r="A157" s="769"/>
      <c r="B157" s="718"/>
      <c r="C157" s="1016"/>
      <c r="D157" s="1016"/>
      <c r="E157" s="623">
        <v>15</v>
      </c>
      <c r="F157" s="714" t="str">
        <f t="shared" si="46"/>
        <v>1</v>
      </c>
      <c r="G157" s="750"/>
      <c r="H157" s="750"/>
      <c r="I157" s="750"/>
      <c r="J157" s="750"/>
      <c r="K157" s="750"/>
      <c r="L157" s="750"/>
      <c r="M157" s="750"/>
      <c r="N157" s="750"/>
      <c r="O157" s="750"/>
      <c r="P157" s="750"/>
      <c r="Q157" s="719"/>
      <c r="R157" s="719"/>
      <c r="S157" s="750"/>
      <c r="T157" s="645" t="b">
        <f t="shared" si="47"/>
        <v>1</v>
      </c>
      <c r="U157" s="1016"/>
      <c r="V157" s="1016"/>
      <c r="W157" s="1016"/>
      <c r="X157" s="1382"/>
      <c r="Y157" s="1016"/>
      <c r="Z157" s="1382"/>
      <c r="AA157" s="726"/>
      <c r="AB157" s="388" t="str">
        <f>AB155&amp;".2"</f>
        <v>3.2</v>
      </c>
      <c r="AC157" s="389" t="s">
        <v>839</v>
      </c>
      <c r="AD157" s="388" t="s">
        <v>837</v>
      </c>
      <c r="AE157" s="1079"/>
      <c r="AF157" s="1079"/>
      <c r="AG157" s="1079"/>
      <c r="AH157" s="1079"/>
      <c r="AI157" s="217"/>
      <c r="AJ157" s="1065"/>
      <c r="AK157" s="1065"/>
      <c r="AL157" s="1079"/>
      <c r="AM157" s="1079"/>
      <c r="AN157" s="1079"/>
      <c r="AO157" s="1079"/>
      <c r="AP157" s="1079"/>
      <c r="AQ157" s="1079"/>
      <c r="AR157" s="1079"/>
      <c r="AS157" s="217"/>
      <c r="AT157" s="1065"/>
      <c r="AU157" s="1065"/>
      <c r="AV157" s="1079"/>
      <c r="AW157" s="1079"/>
      <c r="AX157" s="1079"/>
      <c r="AY157" s="1079"/>
      <c r="AZ157" s="1079"/>
      <c r="BA157" s="1079"/>
      <c r="BB157" s="1079"/>
      <c r="BC157" s="1106"/>
      <c r="BD157" s="726"/>
      <c r="BE157" s="726"/>
      <c r="BF157" s="902" t="s">
        <v>890</v>
      </c>
    </row>
    <row r="158" spans="1:58" s="1057" customFormat="1" ht="14.25" customHeight="1">
      <c r="A158" s="769"/>
      <c r="B158" s="718"/>
      <c r="C158" s="1016"/>
      <c r="D158" s="1016"/>
      <c r="E158" s="623">
        <v>15</v>
      </c>
      <c r="F158" s="714" t="str">
        <f t="shared" si="46"/>
        <v>1</v>
      </c>
      <c r="G158" s="750"/>
      <c r="H158" s="750"/>
      <c r="I158" s="750"/>
      <c r="J158" s="750"/>
      <c r="K158" s="750"/>
      <c r="L158" s="750"/>
      <c r="M158" s="750"/>
      <c r="N158" s="750"/>
      <c r="O158" s="750"/>
      <c r="P158" s="750"/>
      <c r="Q158" s="719"/>
      <c r="R158" s="719"/>
      <c r="S158" s="750"/>
      <c r="T158" s="645" t="b">
        <f t="shared" si="47"/>
        <v>1</v>
      </c>
      <c r="U158" s="1016"/>
      <c r="V158" s="1016"/>
      <c r="W158" s="1016"/>
      <c r="X158" s="1382"/>
      <c r="Y158" s="1016"/>
      <c r="Z158" s="1382"/>
      <c r="AA158" s="726"/>
      <c r="AB158" s="388" t="str">
        <f>AB155&amp;".3"</f>
        <v>3.3</v>
      </c>
      <c r="AC158" s="389" t="s">
        <v>841</v>
      </c>
      <c r="AD158" s="388" t="s">
        <v>837</v>
      </c>
      <c r="AE158" s="1079"/>
      <c r="AF158" s="1079"/>
      <c r="AG158" s="1079"/>
      <c r="AH158" s="1079"/>
      <c r="AI158" s="217"/>
      <c r="AJ158" s="1065"/>
      <c r="AK158" s="1065"/>
      <c r="AL158" s="1079"/>
      <c r="AM158" s="1079"/>
      <c r="AN158" s="1079"/>
      <c r="AO158" s="1079"/>
      <c r="AP158" s="1079"/>
      <c r="AQ158" s="1079"/>
      <c r="AR158" s="1079"/>
      <c r="AS158" s="217"/>
      <c r="AT158" s="1065"/>
      <c r="AU158" s="1065"/>
      <c r="AV158" s="1079"/>
      <c r="AW158" s="1079"/>
      <c r="AX158" s="1079"/>
      <c r="AY158" s="1079"/>
      <c r="AZ158" s="1079"/>
      <c r="BA158" s="1079"/>
      <c r="BB158" s="1079"/>
      <c r="BC158" s="1106"/>
      <c r="BD158" s="726"/>
      <c r="BE158" s="726"/>
      <c r="BF158" s="902" t="s">
        <v>891</v>
      </c>
    </row>
    <row r="159" spans="1:58" s="1057" customFormat="1" ht="14.25" customHeight="1">
      <c r="A159" s="769"/>
      <c r="B159" s="718"/>
      <c r="C159" s="1016"/>
      <c r="D159" s="1016"/>
      <c r="E159" s="623">
        <v>15</v>
      </c>
      <c r="F159" s="714" t="str">
        <f t="shared" ref="F159:F190" si="53">F158</f>
        <v>1</v>
      </c>
      <c r="G159" s="750"/>
      <c r="H159" s="750"/>
      <c r="I159" s="750"/>
      <c r="J159" s="750"/>
      <c r="K159" s="750"/>
      <c r="L159" s="750"/>
      <c r="M159" s="750"/>
      <c r="N159" s="750"/>
      <c r="O159" s="750"/>
      <c r="P159" s="750"/>
      <c r="Q159" s="719"/>
      <c r="R159" s="719"/>
      <c r="S159" s="750"/>
      <c r="T159" s="645" t="b">
        <f t="shared" ref="T159:T190" si="54">T158</f>
        <v>1</v>
      </c>
      <c r="U159" s="1016"/>
      <c r="V159" s="1016"/>
      <c r="W159" s="1016"/>
      <c r="X159" s="1382"/>
      <c r="Y159" s="1016"/>
      <c r="Z159" s="1382"/>
      <c r="AA159" s="726"/>
      <c r="AB159" s="388" t="str">
        <f>AB155&amp;".4"</f>
        <v>3.4</v>
      </c>
      <c r="AC159" s="389" t="s">
        <v>843</v>
      </c>
      <c r="AD159" s="388" t="s">
        <v>837</v>
      </c>
      <c r="AE159" s="1147">
        <f t="shared" ref="AE159:BB159" si="55">SUM(AE160:AE164)</f>
        <v>0</v>
      </c>
      <c r="AF159" s="1147">
        <f t="shared" si="55"/>
        <v>0</v>
      </c>
      <c r="AG159" s="1147">
        <f t="shared" si="55"/>
        <v>0</v>
      </c>
      <c r="AH159" s="1147">
        <f t="shared" si="55"/>
        <v>0</v>
      </c>
      <c r="AI159" s="386">
        <f t="shared" si="55"/>
        <v>0</v>
      </c>
      <c r="AJ159" s="1104">
        <f t="shared" si="55"/>
        <v>0</v>
      </c>
      <c r="AK159" s="1104">
        <f t="shared" si="55"/>
        <v>0</v>
      </c>
      <c r="AL159" s="1147">
        <f t="shared" si="55"/>
        <v>0</v>
      </c>
      <c r="AM159" s="1147">
        <f t="shared" si="55"/>
        <v>0</v>
      </c>
      <c r="AN159" s="1147">
        <f t="shared" si="55"/>
        <v>0</v>
      </c>
      <c r="AO159" s="1147">
        <f t="shared" si="55"/>
        <v>0</v>
      </c>
      <c r="AP159" s="1147">
        <f t="shared" si="55"/>
        <v>0</v>
      </c>
      <c r="AQ159" s="1147">
        <f t="shared" si="55"/>
        <v>0</v>
      </c>
      <c r="AR159" s="1147">
        <f t="shared" si="55"/>
        <v>0</v>
      </c>
      <c r="AS159" s="386">
        <f t="shared" si="55"/>
        <v>0</v>
      </c>
      <c r="AT159" s="1104">
        <f t="shared" si="55"/>
        <v>0</v>
      </c>
      <c r="AU159" s="1104">
        <f t="shared" si="55"/>
        <v>0</v>
      </c>
      <c r="AV159" s="1147">
        <f t="shared" si="55"/>
        <v>0</v>
      </c>
      <c r="AW159" s="1147">
        <f t="shared" si="55"/>
        <v>0</v>
      </c>
      <c r="AX159" s="1147">
        <f t="shared" si="55"/>
        <v>0</v>
      </c>
      <c r="AY159" s="1147">
        <f t="shared" si="55"/>
        <v>0</v>
      </c>
      <c r="AZ159" s="1147">
        <f t="shared" si="55"/>
        <v>0</v>
      </c>
      <c r="BA159" s="1147">
        <f t="shared" si="55"/>
        <v>0</v>
      </c>
      <c r="BB159" s="1147">
        <f t="shared" si="55"/>
        <v>0</v>
      </c>
      <c r="BC159" s="1106"/>
      <c r="BD159" s="726"/>
      <c r="BE159" s="726"/>
      <c r="BF159" s="902" t="s">
        <v>892</v>
      </c>
    </row>
    <row r="160" spans="1:58" s="1057" customFormat="1" ht="14.25" customHeight="1">
      <c r="A160" s="769"/>
      <c r="B160" s="718"/>
      <c r="C160" s="1016"/>
      <c r="D160" s="1016"/>
      <c r="E160" s="623">
        <v>15</v>
      </c>
      <c r="F160" s="714" t="str">
        <f t="shared" si="53"/>
        <v>1</v>
      </c>
      <c r="G160" s="750"/>
      <c r="H160" s="750"/>
      <c r="I160" s="750"/>
      <c r="J160" s="750"/>
      <c r="K160" s="750"/>
      <c r="L160" s="750"/>
      <c r="M160" s="750"/>
      <c r="N160" s="750"/>
      <c r="O160" s="750"/>
      <c r="P160" s="750"/>
      <c r="Q160" s="719"/>
      <c r="R160" s="719"/>
      <c r="S160" s="750"/>
      <c r="T160" s="645" t="b">
        <f t="shared" si="54"/>
        <v>1</v>
      </c>
      <c r="U160" s="1016"/>
      <c r="V160" s="1016"/>
      <c r="W160" s="1016"/>
      <c r="X160" s="1382"/>
      <c r="Y160" s="1016"/>
      <c r="Z160" s="1382"/>
      <c r="AA160" s="726"/>
      <c r="AB160" s="388" t="str">
        <f>AB159&amp;".1"</f>
        <v>3.4.1</v>
      </c>
      <c r="AC160" s="390" t="s">
        <v>846</v>
      </c>
      <c r="AD160" s="388" t="s">
        <v>837</v>
      </c>
      <c r="AE160" s="1079"/>
      <c r="AF160" s="1079"/>
      <c r="AG160" s="1079"/>
      <c r="AH160" s="1079"/>
      <c r="AI160" s="217"/>
      <c r="AJ160" s="1065"/>
      <c r="AK160" s="1065"/>
      <c r="AL160" s="1079"/>
      <c r="AM160" s="1079"/>
      <c r="AN160" s="1079"/>
      <c r="AO160" s="1079"/>
      <c r="AP160" s="1079"/>
      <c r="AQ160" s="1079"/>
      <c r="AR160" s="1079"/>
      <c r="AS160" s="217"/>
      <c r="AT160" s="1065"/>
      <c r="AU160" s="1065"/>
      <c r="AV160" s="1079"/>
      <c r="AW160" s="1079"/>
      <c r="AX160" s="1079"/>
      <c r="AY160" s="1079"/>
      <c r="AZ160" s="1079"/>
      <c r="BA160" s="1079"/>
      <c r="BB160" s="1079"/>
      <c r="BC160" s="1106"/>
      <c r="BD160" s="726"/>
      <c r="BE160" s="726"/>
      <c r="BF160" s="902" t="s">
        <v>893</v>
      </c>
    </row>
    <row r="161" spans="1:58" s="1057" customFormat="1" ht="14.25" customHeight="1">
      <c r="A161" s="769"/>
      <c r="B161" s="718"/>
      <c r="C161" s="1016"/>
      <c r="D161" s="1016"/>
      <c r="E161" s="623">
        <v>15</v>
      </c>
      <c r="F161" s="714" t="str">
        <f t="shared" si="53"/>
        <v>1</v>
      </c>
      <c r="G161" s="750"/>
      <c r="H161" s="750"/>
      <c r="I161" s="750"/>
      <c r="J161" s="750"/>
      <c r="K161" s="750"/>
      <c r="L161" s="750"/>
      <c r="M161" s="750"/>
      <c r="N161" s="750"/>
      <c r="O161" s="750"/>
      <c r="P161" s="750"/>
      <c r="Q161" s="719"/>
      <c r="R161" s="719"/>
      <c r="S161" s="750"/>
      <c r="T161" s="645" t="b">
        <f t="shared" si="54"/>
        <v>1</v>
      </c>
      <c r="U161" s="1016"/>
      <c r="V161" s="1016"/>
      <c r="W161" s="1016"/>
      <c r="X161" s="1382"/>
      <c r="Y161" s="1016"/>
      <c r="Z161" s="1382"/>
      <c r="AA161" s="726"/>
      <c r="AB161" s="388" t="str">
        <f>AB159&amp;".2"</f>
        <v>3.4.2</v>
      </c>
      <c r="AC161" s="390" t="s">
        <v>849</v>
      </c>
      <c r="AD161" s="388" t="s">
        <v>837</v>
      </c>
      <c r="AE161" s="1079"/>
      <c r="AF161" s="1079"/>
      <c r="AG161" s="1079"/>
      <c r="AH161" s="1079"/>
      <c r="AI161" s="217"/>
      <c r="AJ161" s="1065"/>
      <c r="AK161" s="1065"/>
      <c r="AL161" s="1079"/>
      <c r="AM161" s="1079"/>
      <c r="AN161" s="1079"/>
      <c r="AO161" s="1079"/>
      <c r="AP161" s="1079"/>
      <c r="AQ161" s="1079"/>
      <c r="AR161" s="1079"/>
      <c r="AS161" s="217"/>
      <c r="AT161" s="1065"/>
      <c r="AU161" s="1065"/>
      <c r="AV161" s="1079"/>
      <c r="AW161" s="1079"/>
      <c r="AX161" s="1079"/>
      <c r="AY161" s="1079"/>
      <c r="AZ161" s="1079"/>
      <c r="BA161" s="1079"/>
      <c r="BB161" s="1079"/>
      <c r="BC161" s="1106"/>
      <c r="BD161" s="726"/>
      <c r="BE161" s="726"/>
      <c r="BF161" s="902" t="s">
        <v>894</v>
      </c>
    </row>
    <row r="162" spans="1:58" s="1057" customFormat="1" ht="14.25" customHeight="1">
      <c r="A162" s="769"/>
      <c r="B162" s="718"/>
      <c r="C162" s="1016"/>
      <c r="D162" s="1016"/>
      <c r="E162" s="623">
        <v>15</v>
      </c>
      <c r="F162" s="714" t="str">
        <f t="shared" si="53"/>
        <v>1</v>
      </c>
      <c r="G162" s="750"/>
      <c r="H162" s="750"/>
      <c r="I162" s="750"/>
      <c r="J162" s="750"/>
      <c r="K162" s="750"/>
      <c r="L162" s="750"/>
      <c r="M162" s="750"/>
      <c r="N162" s="750"/>
      <c r="O162" s="750"/>
      <c r="P162" s="750"/>
      <c r="Q162" s="719"/>
      <c r="R162" s="719"/>
      <c r="S162" s="750"/>
      <c r="T162" s="645" t="b">
        <f t="shared" si="54"/>
        <v>1</v>
      </c>
      <c r="U162" s="1016"/>
      <c r="V162" s="1016"/>
      <c r="W162" s="1016"/>
      <c r="X162" s="1382"/>
      <c r="Y162" s="1016"/>
      <c r="Z162" s="1382"/>
      <c r="AA162" s="726"/>
      <c r="AB162" s="388" t="str">
        <f>AB159&amp;".3"</f>
        <v>3.4.3</v>
      </c>
      <c r="AC162" s="390" t="s">
        <v>852</v>
      </c>
      <c r="AD162" s="388" t="s">
        <v>837</v>
      </c>
      <c r="AE162" s="1079"/>
      <c r="AF162" s="1079"/>
      <c r="AG162" s="1079"/>
      <c r="AH162" s="1079"/>
      <c r="AI162" s="217"/>
      <c r="AJ162" s="1065"/>
      <c r="AK162" s="1065"/>
      <c r="AL162" s="1079"/>
      <c r="AM162" s="1079"/>
      <c r="AN162" s="1079"/>
      <c r="AO162" s="1079"/>
      <c r="AP162" s="1079"/>
      <c r="AQ162" s="1079"/>
      <c r="AR162" s="1079"/>
      <c r="AS162" s="217"/>
      <c r="AT162" s="1065"/>
      <c r="AU162" s="1065"/>
      <c r="AV162" s="1079"/>
      <c r="AW162" s="1079"/>
      <c r="AX162" s="1079"/>
      <c r="AY162" s="1079"/>
      <c r="AZ162" s="1079"/>
      <c r="BA162" s="1079"/>
      <c r="BB162" s="1079"/>
      <c r="BC162" s="1106"/>
      <c r="BD162" s="726"/>
      <c r="BE162" s="726"/>
      <c r="BF162" s="902" t="s">
        <v>895</v>
      </c>
    </row>
    <row r="163" spans="1:58" s="1057" customFormat="1" ht="14.25" customHeight="1">
      <c r="A163" s="769"/>
      <c r="B163" s="718"/>
      <c r="C163" s="1016"/>
      <c r="D163" s="1016"/>
      <c r="E163" s="623">
        <v>15</v>
      </c>
      <c r="F163" s="714" t="str">
        <f t="shared" si="53"/>
        <v>1</v>
      </c>
      <c r="G163" s="750"/>
      <c r="H163" s="750"/>
      <c r="I163" s="750"/>
      <c r="J163" s="750"/>
      <c r="K163" s="750"/>
      <c r="L163" s="750"/>
      <c r="M163" s="750"/>
      <c r="N163" s="750"/>
      <c r="O163" s="750"/>
      <c r="P163" s="750"/>
      <c r="Q163" s="719"/>
      <c r="R163" s="719"/>
      <c r="S163" s="750"/>
      <c r="T163" s="645" t="b">
        <f t="shared" si="54"/>
        <v>1</v>
      </c>
      <c r="U163" s="1016"/>
      <c r="V163" s="1016"/>
      <c r="W163" s="1016"/>
      <c r="X163" s="1382"/>
      <c r="Y163" s="1016"/>
      <c r="Z163" s="1382"/>
      <c r="AA163" s="726"/>
      <c r="AB163" s="388" t="str">
        <f>AB159&amp;".4"</f>
        <v>3.4.4</v>
      </c>
      <c r="AC163" s="390" t="s">
        <v>855</v>
      </c>
      <c r="AD163" s="388" t="s">
        <v>837</v>
      </c>
      <c r="AE163" s="1079"/>
      <c r="AF163" s="1079"/>
      <c r="AG163" s="1079"/>
      <c r="AH163" s="1079"/>
      <c r="AI163" s="217"/>
      <c r="AJ163" s="1065"/>
      <c r="AK163" s="1065"/>
      <c r="AL163" s="1079"/>
      <c r="AM163" s="1079"/>
      <c r="AN163" s="1079"/>
      <c r="AO163" s="1079"/>
      <c r="AP163" s="1079"/>
      <c r="AQ163" s="1079"/>
      <c r="AR163" s="1079"/>
      <c r="AS163" s="217"/>
      <c r="AT163" s="1065"/>
      <c r="AU163" s="1065"/>
      <c r="AV163" s="1079"/>
      <c r="AW163" s="1079"/>
      <c r="AX163" s="1079"/>
      <c r="AY163" s="1079"/>
      <c r="AZ163" s="1079"/>
      <c r="BA163" s="1079"/>
      <c r="BB163" s="1079"/>
      <c r="BC163" s="1106"/>
      <c r="BD163" s="726"/>
      <c r="BE163" s="726"/>
      <c r="BF163" s="902" t="s">
        <v>896</v>
      </c>
    </row>
    <row r="164" spans="1:58" s="1057" customFormat="1" ht="14.25" customHeight="1">
      <c r="A164" s="769"/>
      <c r="B164" s="718"/>
      <c r="C164" s="1016"/>
      <c r="D164" s="1016"/>
      <c r="E164" s="623">
        <v>15</v>
      </c>
      <c r="F164" s="714" t="str">
        <f t="shared" si="53"/>
        <v>1</v>
      </c>
      <c r="G164" s="750"/>
      <c r="H164" s="750"/>
      <c r="I164" s="750"/>
      <c r="J164" s="750"/>
      <c r="K164" s="750"/>
      <c r="L164" s="750"/>
      <c r="M164" s="750"/>
      <c r="N164" s="750"/>
      <c r="O164" s="750"/>
      <c r="P164" s="750"/>
      <c r="Q164" s="719"/>
      <c r="R164" s="719"/>
      <c r="S164" s="750"/>
      <c r="T164" s="645" t="b">
        <f t="shared" si="54"/>
        <v>1</v>
      </c>
      <c r="U164" s="1016"/>
      <c r="V164" s="1016"/>
      <c r="W164" s="1016"/>
      <c r="X164" s="1382"/>
      <c r="Y164" s="1016"/>
      <c r="Z164" s="1382"/>
      <c r="AA164" s="726"/>
      <c r="AB164" s="388" t="str">
        <f>AB159&amp;".5"</f>
        <v>3.4.5</v>
      </c>
      <c r="AC164" s="390" t="s">
        <v>858</v>
      </c>
      <c r="AD164" s="388" t="s">
        <v>837</v>
      </c>
      <c r="AE164" s="1079"/>
      <c r="AF164" s="1079"/>
      <c r="AG164" s="1079"/>
      <c r="AH164" s="1079"/>
      <c r="AI164" s="217"/>
      <c r="AJ164" s="1065"/>
      <c r="AK164" s="1065"/>
      <c r="AL164" s="1079"/>
      <c r="AM164" s="1079"/>
      <c r="AN164" s="1079"/>
      <c r="AO164" s="1079"/>
      <c r="AP164" s="1079"/>
      <c r="AQ164" s="1079"/>
      <c r="AR164" s="1079"/>
      <c r="AS164" s="217"/>
      <c r="AT164" s="1065"/>
      <c r="AU164" s="1065"/>
      <c r="AV164" s="1079"/>
      <c r="AW164" s="1079"/>
      <c r="AX164" s="1079"/>
      <c r="AY164" s="1079"/>
      <c r="AZ164" s="1079"/>
      <c r="BA164" s="1079"/>
      <c r="BB164" s="1079"/>
      <c r="BC164" s="1106"/>
      <c r="BD164" s="726"/>
      <c r="BE164" s="726"/>
      <c r="BF164" s="902" t="s">
        <v>897</v>
      </c>
    </row>
    <row r="165" spans="1:58" s="1057" customFormat="1" ht="14.25" customHeight="1">
      <c r="A165" s="769"/>
      <c r="B165" s="718"/>
      <c r="C165" s="1016"/>
      <c r="D165" s="1016"/>
      <c r="E165" s="623">
        <v>15</v>
      </c>
      <c r="F165" s="714" t="str">
        <f t="shared" si="53"/>
        <v>1</v>
      </c>
      <c r="G165" s="750"/>
      <c r="H165" s="750"/>
      <c r="I165" s="750"/>
      <c r="J165" s="750"/>
      <c r="K165" s="750"/>
      <c r="L165" s="750"/>
      <c r="M165" s="750"/>
      <c r="N165" s="750"/>
      <c r="O165" s="750"/>
      <c r="P165" s="750"/>
      <c r="Q165" s="719"/>
      <c r="R165" s="719"/>
      <c r="S165" s="750"/>
      <c r="T165" s="645" t="b">
        <f t="shared" si="54"/>
        <v>1</v>
      </c>
      <c r="U165" s="1016"/>
      <c r="V165" s="1016"/>
      <c r="W165" s="1016"/>
      <c r="X165" s="1382"/>
      <c r="Y165" s="1016"/>
      <c r="Z165" s="1382"/>
      <c r="AA165" s="726"/>
      <c r="AB165" s="388" t="str">
        <f>AB155&amp;".5"</f>
        <v>3.5</v>
      </c>
      <c r="AC165" s="389" t="s">
        <v>861</v>
      </c>
      <c r="AD165" s="388" t="s">
        <v>837</v>
      </c>
      <c r="AE165" s="1079"/>
      <c r="AF165" s="1079"/>
      <c r="AG165" s="1079"/>
      <c r="AH165" s="1079"/>
      <c r="AI165" s="217"/>
      <c r="AJ165" s="1065"/>
      <c r="AK165" s="1065"/>
      <c r="AL165" s="1079"/>
      <c r="AM165" s="1079"/>
      <c r="AN165" s="1079"/>
      <c r="AO165" s="1079"/>
      <c r="AP165" s="1079"/>
      <c r="AQ165" s="1079"/>
      <c r="AR165" s="1079"/>
      <c r="AS165" s="217"/>
      <c r="AT165" s="1065"/>
      <c r="AU165" s="1065"/>
      <c r="AV165" s="1079"/>
      <c r="AW165" s="1079"/>
      <c r="AX165" s="1079"/>
      <c r="AY165" s="1079"/>
      <c r="AZ165" s="1079"/>
      <c r="BA165" s="1079"/>
      <c r="BB165" s="1079"/>
      <c r="BC165" s="1106"/>
      <c r="BD165" s="726"/>
      <c r="BE165" s="726"/>
      <c r="BF165" s="902" t="s">
        <v>898</v>
      </c>
    </row>
    <row r="166" spans="1:58" s="1057" customFormat="1" ht="14.25" customHeight="1">
      <c r="A166" s="769"/>
      <c r="B166" s="718"/>
      <c r="C166" s="1016"/>
      <c r="D166" s="1016"/>
      <c r="E166" s="623">
        <v>15</v>
      </c>
      <c r="F166" s="714" t="str">
        <f t="shared" si="53"/>
        <v>1</v>
      </c>
      <c r="G166" s="750"/>
      <c r="H166" s="750"/>
      <c r="I166" s="750"/>
      <c r="J166" s="750"/>
      <c r="K166" s="750"/>
      <c r="L166" s="750"/>
      <c r="M166" s="750"/>
      <c r="N166" s="750"/>
      <c r="O166" s="750"/>
      <c r="P166" s="750"/>
      <c r="Q166" s="719"/>
      <c r="R166" s="719"/>
      <c r="S166" s="750"/>
      <c r="T166" s="645" t="b">
        <f t="shared" si="54"/>
        <v>1</v>
      </c>
      <c r="U166" s="1016"/>
      <c r="V166" s="1016"/>
      <c r="W166" s="1016"/>
      <c r="X166" s="1382"/>
      <c r="Y166" s="1016"/>
      <c r="Z166" s="1382"/>
      <c r="AA166" s="726"/>
      <c r="AB166" s="388" t="str">
        <f>AB155&amp;".6"</f>
        <v>3.6</v>
      </c>
      <c r="AC166" s="389" t="s">
        <v>864</v>
      </c>
      <c r="AD166" s="388" t="s">
        <v>837</v>
      </c>
      <c r="AE166" s="1079"/>
      <c r="AF166" s="1079"/>
      <c r="AG166" s="1079"/>
      <c r="AH166" s="1079"/>
      <c r="AI166" s="217"/>
      <c r="AJ166" s="1065"/>
      <c r="AK166" s="1065"/>
      <c r="AL166" s="1079"/>
      <c r="AM166" s="1079"/>
      <c r="AN166" s="1079"/>
      <c r="AO166" s="1079"/>
      <c r="AP166" s="1079"/>
      <c r="AQ166" s="1079"/>
      <c r="AR166" s="1079"/>
      <c r="AS166" s="217"/>
      <c r="AT166" s="1065"/>
      <c r="AU166" s="1065"/>
      <c r="AV166" s="1079"/>
      <c r="AW166" s="1079"/>
      <c r="AX166" s="1079"/>
      <c r="AY166" s="1079"/>
      <c r="AZ166" s="1079"/>
      <c r="BA166" s="1079"/>
      <c r="BB166" s="1079"/>
      <c r="BC166" s="1106"/>
      <c r="BD166" s="726"/>
      <c r="BE166" s="726"/>
      <c r="BF166" s="902" t="s">
        <v>899</v>
      </c>
    </row>
    <row r="167" spans="1:58" s="1057" customFormat="1" ht="14.25" customHeight="1">
      <c r="A167" s="769"/>
      <c r="B167" s="718"/>
      <c r="C167" s="1016"/>
      <c r="D167" s="1016"/>
      <c r="E167" s="623">
        <v>15</v>
      </c>
      <c r="F167" s="714" t="str">
        <f t="shared" si="53"/>
        <v>1</v>
      </c>
      <c r="G167" s="750"/>
      <c r="H167" s="750"/>
      <c r="I167" s="750"/>
      <c r="J167" s="750"/>
      <c r="K167" s="750"/>
      <c r="L167" s="750"/>
      <c r="M167" s="750"/>
      <c r="N167" s="750"/>
      <c r="O167" s="750"/>
      <c r="P167" s="750"/>
      <c r="Q167" s="719"/>
      <c r="R167" s="719"/>
      <c r="S167" s="750"/>
      <c r="T167" s="645" t="b">
        <f t="shared" si="54"/>
        <v>1</v>
      </c>
      <c r="U167" s="1016"/>
      <c r="V167" s="1016"/>
      <c r="W167" s="1016"/>
      <c r="X167" s="1382"/>
      <c r="Y167" s="1016"/>
      <c r="Z167" s="1382"/>
      <c r="AA167" s="726"/>
      <c r="AB167" s="388" t="str">
        <f>AB155&amp;".7"</f>
        <v>3.7</v>
      </c>
      <c r="AC167" s="389" t="s">
        <v>867</v>
      </c>
      <c r="AD167" s="388" t="s">
        <v>837</v>
      </c>
      <c r="AE167" s="1079"/>
      <c r="AF167" s="1079"/>
      <c r="AG167" s="1079"/>
      <c r="AH167" s="1079"/>
      <c r="AI167" s="217"/>
      <c r="AJ167" s="1065"/>
      <c r="AK167" s="1065"/>
      <c r="AL167" s="1079"/>
      <c r="AM167" s="1079"/>
      <c r="AN167" s="1079"/>
      <c r="AO167" s="1079"/>
      <c r="AP167" s="1079"/>
      <c r="AQ167" s="1079"/>
      <c r="AR167" s="1079"/>
      <c r="AS167" s="217"/>
      <c r="AT167" s="1065"/>
      <c r="AU167" s="1065"/>
      <c r="AV167" s="1079"/>
      <c r="AW167" s="1079"/>
      <c r="AX167" s="1079"/>
      <c r="AY167" s="1079"/>
      <c r="AZ167" s="1079"/>
      <c r="BA167" s="1079"/>
      <c r="BB167" s="1079"/>
      <c r="BC167" s="1106"/>
      <c r="BD167" s="726"/>
      <c r="BE167" s="726"/>
      <c r="BF167" s="902" t="s">
        <v>900</v>
      </c>
    </row>
    <row r="168" spans="1:58" s="1057" customFormat="1" ht="14.25" customHeight="1">
      <c r="A168" s="769"/>
      <c r="B168" s="718"/>
      <c r="C168" s="1016"/>
      <c r="D168" s="1016"/>
      <c r="E168" s="623">
        <v>15</v>
      </c>
      <c r="F168" s="714" t="str">
        <f t="shared" si="53"/>
        <v>1</v>
      </c>
      <c r="G168" s="750"/>
      <c r="H168" s="750"/>
      <c r="I168" s="750"/>
      <c r="J168" s="750"/>
      <c r="K168" s="750"/>
      <c r="L168" s="750"/>
      <c r="M168" s="750"/>
      <c r="N168" s="750"/>
      <c r="O168" s="750"/>
      <c r="P168" s="750"/>
      <c r="Q168" s="719"/>
      <c r="R168" s="719"/>
      <c r="S168" s="750"/>
      <c r="T168" s="645" t="b">
        <f t="shared" si="54"/>
        <v>1</v>
      </c>
      <c r="U168" s="1016"/>
      <c r="V168" s="1016"/>
      <c r="W168" s="1016"/>
      <c r="X168" s="1382"/>
      <c r="Y168" s="1016"/>
      <c r="Z168" s="1382"/>
      <c r="AA168" s="726"/>
      <c r="AB168" s="388" t="str">
        <f>AB155&amp;".8"</f>
        <v>3.8</v>
      </c>
      <c r="AC168" s="389" t="s">
        <v>870</v>
      </c>
      <c r="AD168" s="388" t="s">
        <v>837</v>
      </c>
      <c r="AE168" s="1079"/>
      <c r="AF168" s="1079"/>
      <c r="AG168" s="1079"/>
      <c r="AH168" s="1079"/>
      <c r="AI168" s="217"/>
      <c r="AJ168" s="1065"/>
      <c r="AK168" s="1065"/>
      <c r="AL168" s="1079"/>
      <c r="AM168" s="1079"/>
      <c r="AN168" s="1079"/>
      <c r="AO168" s="1079"/>
      <c r="AP168" s="1079"/>
      <c r="AQ168" s="1079"/>
      <c r="AR168" s="1079"/>
      <c r="AS168" s="217"/>
      <c r="AT168" s="1065"/>
      <c r="AU168" s="1065"/>
      <c r="AV168" s="1079"/>
      <c r="AW168" s="1079"/>
      <c r="AX168" s="1079"/>
      <c r="AY168" s="1079"/>
      <c r="AZ168" s="1079"/>
      <c r="BA168" s="1079"/>
      <c r="BB168" s="1079"/>
      <c r="BC168" s="1106"/>
      <c r="BD168" s="726"/>
      <c r="BE168" s="726"/>
      <c r="BF168" s="902" t="s">
        <v>901</v>
      </c>
    </row>
    <row r="169" spans="1:58" s="154" customFormat="1" ht="14.25" customHeight="1">
      <c r="E169" s="623">
        <v>15</v>
      </c>
      <c r="F169" s="714" t="str">
        <f t="shared" si="53"/>
        <v>1</v>
      </c>
      <c r="T169" s="645" t="b">
        <f t="shared" si="54"/>
        <v>1</v>
      </c>
      <c r="X169" s="1491"/>
      <c r="Z169" s="1491"/>
      <c r="AB169" s="214">
        <v>4</v>
      </c>
      <c r="AC169" s="215" t="s">
        <v>902</v>
      </c>
      <c r="AD169" s="95" t="s">
        <v>648</v>
      </c>
      <c r="AE169" s="1144">
        <f t="shared" ref="AE169:BB169" si="56">SUM(AE170:AE173)+SUM(AE179:AE182)</f>
        <v>0</v>
      </c>
      <c r="AF169" s="1144">
        <f t="shared" si="56"/>
        <v>0</v>
      </c>
      <c r="AG169" s="1144">
        <f t="shared" si="56"/>
        <v>0</v>
      </c>
      <c r="AH169" s="1144">
        <f t="shared" si="56"/>
        <v>0</v>
      </c>
      <c r="AI169" s="229">
        <f t="shared" si="56"/>
        <v>0</v>
      </c>
      <c r="AJ169" s="1132">
        <f t="shared" si="56"/>
        <v>0</v>
      </c>
      <c r="AK169" s="1132">
        <f t="shared" si="56"/>
        <v>0</v>
      </c>
      <c r="AL169" s="1144">
        <f t="shared" si="56"/>
        <v>0</v>
      </c>
      <c r="AM169" s="1144">
        <f t="shared" si="56"/>
        <v>0</v>
      </c>
      <c r="AN169" s="1144">
        <f t="shared" si="56"/>
        <v>0</v>
      </c>
      <c r="AO169" s="1144">
        <f t="shared" si="56"/>
        <v>0</v>
      </c>
      <c r="AP169" s="1144">
        <f t="shared" si="56"/>
        <v>0</v>
      </c>
      <c r="AQ169" s="1144">
        <f t="shared" si="56"/>
        <v>0</v>
      </c>
      <c r="AR169" s="1144">
        <f t="shared" si="56"/>
        <v>0</v>
      </c>
      <c r="AS169" s="229">
        <f t="shared" si="56"/>
        <v>0</v>
      </c>
      <c r="AT169" s="1132">
        <f t="shared" si="56"/>
        <v>0</v>
      </c>
      <c r="AU169" s="1132">
        <f t="shared" si="56"/>
        <v>0</v>
      </c>
      <c r="AV169" s="1144">
        <f t="shared" si="56"/>
        <v>0</v>
      </c>
      <c r="AW169" s="1144">
        <f t="shared" si="56"/>
        <v>0</v>
      </c>
      <c r="AX169" s="1144">
        <f t="shared" si="56"/>
        <v>0</v>
      </c>
      <c r="AY169" s="1144">
        <f t="shared" si="56"/>
        <v>0</v>
      </c>
      <c r="AZ169" s="1144">
        <f t="shared" si="56"/>
        <v>0</v>
      </c>
      <c r="BA169" s="1144">
        <f t="shared" si="56"/>
        <v>0</v>
      </c>
      <c r="BB169" s="1144">
        <f t="shared" si="56"/>
        <v>0</v>
      </c>
      <c r="BC169" s="1106"/>
      <c r="BF169" s="902" t="s">
        <v>903</v>
      </c>
    </row>
    <row r="170" spans="1:58" s="1057" customFormat="1" ht="14.25" customHeight="1">
      <c r="A170" s="769"/>
      <c r="B170" s="718"/>
      <c r="C170" s="1016"/>
      <c r="D170" s="1016"/>
      <c r="E170" s="623">
        <v>15</v>
      </c>
      <c r="F170" s="714" t="str">
        <f t="shared" si="53"/>
        <v>1</v>
      </c>
      <c r="G170" s="750"/>
      <c r="H170" s="750"/>
      <c r="I170" s="750"/>
      <c r="J170" s="750"/>
      <c r="K170" s="750"/>
      <c r="L170" s="750"/>
      <c r="M170" s="750"/>
      <c r="N170" s="750"/>
      <c r="O170" s="750"/>
      <c r="P170" s="750"/>
      <c r="Q170" s="719"/>
      <c r="R170" s="719"/>
      <c r="S170" s="750"/>
      <c r="T170" s="645" t="b">
        <f t="shared" si="54"/>
        <v>1</v>
      </c>
      <c r="U170" s="1016"/>
      <c r="V170" s="1016"/>
      <c r="W170" s="1016"/>
      <c r="X170" s="1382"/>
      <c r="Y170" s="1016"/>
      <c r="Z170" s="1382"/>
      <c r="AA170" s="726"/>
      <c r="AB170" s="388" t="str">
        <f>AB169&amp;".1"</f>
        <v>4.1</v>
      </c>
      <c r="AC170" s="389" t="s">
        <v>836</v>
      </c>
      <c r="AD170" s="388" t="s">
        <v>837</v>
      </c>
      <c r="AE170" s="1079"/>
      <c r="AF170" s="1079"/>
      <c r="AG170" s="1079"/>
      <c r="AH170" s="1079"/>
      <c r="AI170" s="217"/>
      <c r="AJ170" s="1065"/>
      <c r="AK170" s="1065"/>
      <c r="AL170" s="1079"/>
      <c r="AM170" s="1079"/>
      <c r="AN170" s="1079"/>
      <c r="AO170" s="1079"/>
      <c r="AP170" s="1079"/>
      <c r="AQ170" s="1079"/>
      <c r="AR170" s="1079"/>
      <c r="AS170" s="217"/>
      <c r="AT170" s="1065"/>
      <c r="AU170" s="1065"/>
      <c r="AV170" s="1079"/>
      <c r="AW170" s="1079"/>
      <c r="AX170" s="1079"/>
      <c r="AY170" s="1079"/>
      <c r="AZ170" s="1079"/>
      <c r="BA170" s="1079"/>
      <c r="BB170" s="1079"/>
      <c r="BC170" s="1106"/>
      <c r="BD170" s="726"/>
      <c r="BE170" s="726"/>
      <c r="BF170" s="902" t="s">
        <v>904</v>
      </c>
    </row>
    <row r="171" spans="1:58" s="1057" customFormat="1" ht="14.25" customHeight="1">
      <c r="A171" s="769"/>
      <c r="B171" s="718"/>
      <c r="C171" s="1016"/>
      <c r="D171" s="1016"/>
      <c r="E171" s="623">
        <v>15</v>
      </c>
      <c r="F171" s="714" t="str">
        <f t="shared" si="53"/>
        <v>1</v>
      </c>
      <c r="G171" s="750"/>
      <c r="H171" s="750"/>
      <c r="I171" s="750"/>
      <c r="J171" s="750"/>
      <c r="K171" s="750"/>
      <c r="L171" s="750"/>
      <c r="M171" s="750"/>
      <c r="N171" s="750"/>
      <c r="O171" s="750"/>
      <c r="P171" s="750"/>
      <c r="Q171" s="719"/>
      <c r="R171" s="719"/>
      <c r="S171" s="750"/>
      <c r="T171" s="645" t="b">
        <f t="shared" si="54"/>
        <v>1</v>
      </c>
      <c r="U171" s="1016"/>
      <c r="V171" s="1016"/>
      <c r="W171" s="1016"/>
      <c r="X171" s="1382"/>
      <c r="Y171" s="1016"/>
      <c r="Z171" s="1382"/>
      <c r="AA171" s="726"/>
      <c r="AB171" s="388" t="str">
        <f>AB169&amp;".2"</f>
        <v>4.2</v>
      </c>
      <c r="AC171" s="389" t="s">
        <v>839</v>
      </c>
      <c r="AD171" s="388" t="s">
        <v>837</v>
      </c>
      <c r="AE171" s="1079"/>
      <c r="AF171" s="1079"/>
      <c r="AG171" s="1079"/>
      <c r="AH171" s="1079"/>
      <c r="AI171" s="217"/>
      <c r="AJ171" s="1065"/>
      <c r="AK171" s="1065"/>
      <c r="AL171" s="1079"/>
      <c r="AM171" s="1079"/>
      <c r="AN171" s="1079"/>
      <c r="AO171" s="1079"/>
      <c r="AP171" s="1079"/>
      <c r="AQ171" s="1079"/>
      <c r="AR171" s="1079"/>
      <c r="AS171" s="217"/>
      <c r="AT171" s="1065"/>
      <c r="AU171" s="1065"/>
      <c r="AV171" s="1079"/>
      <c r="AW171" s="1079"/>
      <c r="AX171" s="1079"/>
      <c r="AY171" s="1079"/>
      <c r="AZ171" s="1079"/>
      <c r="BA171" s="1079"/>
      <c r="BB171" s="1079"/>
      <c r="BC171" s="1106"/>
      <c r="BD171" s="726"/>
      <c r="BE171" s="726"/>
      <c r="BF171" s="902" t="s">
        <v>905</v>
      </c>
    </row>
    <row r="172" spans="1:58" s="1057" customFormat="1" ht="14.25" customHeight="1">
      <c r="A172" s="769"/>
      <c r="B172" s="718"/>
      <c r="C172" s="1016"/>
      <c r="D172" s="1016"/>
      <c r="E172" s="623">
        <v>15</v>
      </c>
      <c r="F172" s="714" t="str">
        <f t="shared" si="53"/>
        <v>1</v>
      </c>
      <c r="G172" s="750"/>
      <c r="H172" s="750"/>
      <c r="I172" s="750"/>
      <c r="J172" s="750"/>
      <c r="K172" s="750"/>
      <c r="L172" s="750"/>
      <c r="M172" s="750"/>
      <c r="N172" s="750"/>
      <c r="O172" s="750"/>
      <c r="P172" s="750"/>
      <c r="Q172" s="719"/>
      <c r="R172" s="719"/>
      <c r="S172" s="750"/>
      <c r="T172" s="645" t="b">
        <f t="shared" si="54"/>
        <v>1</v>
      </c>
      <c r="U172" s="1016"/>
      <c r="V172" s="1016"/>
      <c r="W172" s="1016"/>
      <c r="X172" s="1382"/>
      <c r="Y172" s="1016"/>
      <c r="Z172" s="1382"/>
      <c r="AA172" s="726"/>
      <c r="AB172" s="388" t="str">
        <f>AB169&amp;".3"</f>
        <v>4.3</v>
      </c>
      <c r="AC172" s="389" t="s">
        <v>841</v>
      </c>
      <c r="AD172" s="388" t="s">
        <v>837</v>
      </c>
      <c r="AE172" s="1079"/>
      <c r="AF172" s="1079"/>
      <c r="AG172" s="1079"/>
      <c r="AH172" s="1079"/>
      <c r="AI172" s="217"/>
      <c r="AJ172" s="1065"/>
      <c r="AK172" s="1065"/>
      <c r="AL172" s="1079"/>
      <c r="AM172" s="1079"/>
      <c r="AN172" s="1079"/>
      <c r="AO172" s="1079"/>
      <c r="AP172" s="1079"/>
      <c r="AQ172" s="1079"/>
      <c r="AR172" s="1079"/>
      <c r="AS172" s="217"/>
      <c r="AT172" s="1065"/>
      <c r="AU172" s="1065"/>
      <c r="AV172" s="1079"/>
      <c r="AW172" s="1079"/>
      <c r="AX172" s="1079"/>
      <c r="AY172" s="1079"/>
      <c r="AZ172" s="1079"/>
      <c r="BA172" s="1079"/>
      <c r="BB172" s="1079"/>
      <c r="BC172" s="1106"/>
      <c r="BD172" s="726"/>
      <c r="BE172" s="726"/>
      <c r="BF172" s="902" t="s">
        <v>906</v>
      </c>
    </row>
    <row r="173" spans="1:58" s="1057" customFormat="1" ht="14.25" customHeight="1">
      <c r="A173" s="769"/>
      <c r="B173" s="718"/>
      <c r="C173" s="1016"/>
      <c r="D173" s="1016"/>
      <c r="E173" s="623">
        <v>15</v>
      </c>
      <c r="F173" s="714" t="str">
        <f t="shared" si="53"/>
        <v>1</v>
      </c>
      <c r="G173" s="750"/>
      <c r="H173" s="750"/>
      <c r="I173" s="750"/>
      <c r="J173" s="750"/>
      <c r="K173" s="750"/>
      <c r="L173" s="750"/>
      <c r="M173" s="750"/>
      <c r="N173" s="750"/>
      <c r="O173" s="750"/>
      <c r="P173" s="750"/>
      <c r="Q173" s="719"/>
      <c r="R173" s="719"/>
      <c r="S173" s="750"/>
      <c r="T173" s="645" t="b">
        <f t="shared" si="54"/>
        <v>1</v>
      </c>
      <c r="U173" s="1016"/>
      <c r="V173" s="1016"/>
      <c r="W173" s="1016"/>
      <c r="X173" s="1382"/>
      <c r="Y173" s="1016"/>
      <c r="Z173" s="1382"/>
      <c r="AA173" s="726"/>
      <c r="AB173" s="388" t="str">
        <f>AB169&amp;".4"</f>
        <v>4.4</v>
      </c>
      <c r="AC173" s="389" t="s">
        <v>843</v>
      </c>
      <c r="AD173" s="388" t="s">
        <v>837</v>
      </c>
      <c r="AE173" s="1147">
        <f t="shared" ref="AE173:BB173" si="57">SUM(AE174:AE178)</f>
        <v>0</v>
      </c>
      <c r="AF173" s="1147">
        <f t="shared" si="57"/>
        <v>0</v>
      </c>
      <c r="AG173" s="1147">
        <f t="shared" si="57"/>
        <v>0</v>
      </c>
      <c r="AH173" s="1147">
        <f t="shared" si="57"/>
        <v>0</v>
      </c>
      <c r="AI173" s="386">
        <f t="shared" si="57"/>
        <v>0</v>
      </c>
      <c r="AJ173" s="1104">
        <f t="shared" si="57"/>
        <v>0</v>
      </c>
      <c r="AK173" s="1104">
        <f t="shared" si="57"/>
        <v>0</v>
      </c>
      <c r="AL173" s="1147">
        <f t="shared" si="57"/>
        <v>0</v>
      </c>
      <c r="AM173" s="1147">
        <f t="shared" si="57"/>
        <v>0</v>
      </c>
      <c r="AN173" s="1147">
        <f t="shared" si="57"/>
        <v>0</v>
      </c>
      <c r="AO173" s="1147">
        <f t="shared" si="57"/>
        <v>0</v>
      </c>
      <c r="AP173" s="1147">
        <f t="shared" si="57"/>
        <v>0</v>
      </c>
      <c r="AQ173" s="1147">
        <f t="shared" si="57"/>
        <v>0</v>
      </c>
      <c r="AR173" s="1147">
        <f t="shared" si="57"/>
        <v>0</v>
      </c>
      <c r="AS173" s="386">
        <f t="shared" si="57"/>
        <v>0</v>
      </c>
      <c r="AT173" s="1104">
        <f t="shared" si="57"/>
        <v>0</v>
      </c>
      <c r="AU173" s="1104">
        <f t="shared" si="57"/>
        <v>0</v>
      </c>
      <c r="AV173" s="1147">
        <f t="shared" si="57"/>
        <v>0</v>
      </c>
      <c r="AW173" s="1147">
        <f t="shared" si="57"/>
        <v>0</v>
      </c>
      <c r="AX173" s="1147">
        <f t="shared" si="57"/>
        <v>0</v>
      </c>
      <c r="AY173" s="1147">
        <f t="shared" si="57"/>
        <v>0</v>
      </c>
      <c r="AZ173" s="1147">
        <f t="shared" si="57"/>
        <v>0</v>
      </c>
      <c r="BA173" s="1147">
        <f t="shared" si="57"/>
        <v>0</v>
      </c>
      <c r="BB173" s="1147">
        <f t="shared" si="57"/>
        <v>0</v>
      </c>
      <c r="BC173" s="1106"/>
      <c r="BD173" s="726"/>
      <c r="BE173" s="726"/>
      <c r="BF173" s="902" t="s">
        <v>907</v>
      </c>
    </row>
    <row r="174" spans="1:58" s="1057" customFormat="1" ht="14.25" customHeight="1">
      <c r="A174" s="769"/>
      <c r="B174" s="718"/>
      <c r="C174" s="1016"/>
      <c r="D174" s="1016"/>
      <c r="E174" s="623">
        <v>15</v>
      </c>
      <c r="F174" s="714" t="str">
        <f t="shared" si="53"/>
        <v>1</v>
      </c>
      <c r="G174" s="750"/>
      <c r="H174" s="750"/>
      <c r="I174" s="750"/>
      <c r="J174" s="750"/>
      <c r="K174" s="750"/>
      <c r="L174" s="750"/>
      <c r="M174" s="750"/>
      <c r="N174" s="750"/>
      <c r="O174" s="750"/>
      <c r="P174" s="750"/>
      <c r="Q174" s="719"/>
      <c r="R174" s="719"/>
      <c r="S174" s="750"/>
      <c r="T174" s="645" t="b">
        <f t="shared" si="54"/>
        <v>1</v>
      </c>
      <c r="U174" s="1016"/>
      <c r="V174" s="1016"/>
      <c r="W174" s="1016"/>
      <c r="X174" s="1382"/>
      <c r="Y174" s="1016"/>
      <c r="Z174" s="1382"/>
      <c r="AA174" s="726"/>
      <c r="AB174" s="388" t="str">
        <f>AB173&amp;".1"</f>
        <v>4.4.1</v>
      </c>
      <c r="AC174" s="390" t="s">
        <v>846</v>
      </c>
      <c r="AD174" s="388" t="s">
        <v>837</v>
      </c>
      <c r="AE174" s="1079"/>
      <c r="AF174" s="1079"/>
      <c r="AG174" s="1079"/>
      <c r="AH174" s="1079"/>
      <c r="AI174" s="217"/>
      <c r="AJ174" s="1065"/>
      <c r="AK174" s="1065"/>
      <c r="AL174" s="1079"/>
      <c r="AM174" s="1079"/>
      <c r="AN174" s="1079"/>
      <c r="AO174" s="1079"/>
      <c r="AP174" s="1079"/>
      <c r="AQ174" s="1079"/>
      <c r="AR174" s="1079"/>
      <c r="AS174" s="217"/>
      <c r="AT174" s="1065"/>
      <c r="AU174" s="1065"/>
      <c r="AV174" s="1079"/>
      <c r="AW174" s="1079"/>
      <c r="AX174" s="1079"/>
      <c r="AY174" s="1079"/>
      <c r="AZ174" s="1079"/>
      <c r="BA174" s="1079"/>
      <c r="BB174" s="1079"/>
      <c r="BC174" s="1106"/>
      <c r="BD174" s="726"/>
      <c r="BE174" s="726"/>
      <c r="BF174" s="902" t="s">
        <v>908</v>
      </c>
    </row>
    <row r="175" spans="1:58" s="1057" customFormat="1" ht="14.25" customHeight="1">
      <c r="A175" s="769"/>
      <c r="B175" s="718"/>
      <c r="C175" s="1016"/>
      <c r="D175" s="1016"/>
      <c r="E175" s="623">
        <v>15</v>
      </c>
      <c r="F175" s="714" t="str">
        <f t="shared" si="53"/>
        <v>1</v>
      </c>
      <c r="G175" s="750"/>
      <c r="H175" s="750"/>
      <c r="I175" s="750"/>
      <c r="J175" s="750"/>
      <c r="K175" s="750"/>
      <c r="L175" s="750"/>
      <c r="M175" s="750"/>
      <c r="N175" s="750"/>
      <c r="O175" s="750"/>
      <c r="P175" s="750"/>
      <c r="Q175" s="719"/>
      <c r="R175" s="719"/>
      <c r="S175" s="750"/>
      <c r="T175" s="645" t="b">
        <f t="shared" si="54"/>
        <v>1</v>
      </c>
      <c r="U175" s="1016"/>
      <c r="V175" s="1016"/>
      <c r="W175" s="1016"/>
      <c r="X175" s="1382"/>
      <c r="Y175" s="1016"/>
      <c r="Z175" s="1382"/>
      <c r="AA175" s="726"/>
      <c r="AB175" s="388" t="str">
        <f>AB173&amp;".2"</f>
        <v>4.4.2</v>
      </c>
      <c r="AC175" s="390" t="s">
        <v>849</v>
      </c>
      <c r="AD175" s="388" t="s">
        <v>837</v>
      </c>
      <c r="AE175" s="1079"/>
      <c r="AF175" s="1079"/>
      <c r="AG175" s="1079"/>
      <c r="AH175" s="1079"/>
      <c r="AI175" s="217"/>
      <c r="AJ175" s="1065"/>
      <c r="AK175" s="1065"/>
      <c r="AL175" s="1079"/>
      <c r="AM175" s="1079"/>
      <c r="AN175" s="1079"/>
      <c r="AO175" s="1079"/>
      <c r="AP175" s="1079"/>
      <c r="AQ175" s="1079"/>
      <c r="AR175" s="1079"/>
      <c r="AS175" s="217"/>
      <c r="AT175" s="1065"/>
      <c r="AU175" s="1065"/>
      <c r="AV175" s="1079"/>
      <c r="AW175" s="1079"/>
      <c r="AX175" s="1079"/>
      <c r="AY175" s="1079"/>
      <c r="AZ175" s="1079"/>
      <c r="BA175" s="1079"/>
      <c r="BB175" s="1079"/>
      <c r="BC175" s="1106"/>
      <c r="BD175" s="726"/>
      <c r="BE175" s="726"/>
      <c r="BF175" s="902" t="s">
        <v>909</v>
      </c>
    </row>
    <row r="176" spans="1:58" s="1057" customFormat="1" ht="14.25" customHeight="1">
      <c r="A176" s="769"/>
      <c r="B176" s="718"/>
      <c r="C176" s="1016"/>
      <c r="D176" s="1016"/>
      <c r="E176" s="623">
        <v>15</v>
      </c>
      <c r="F176" s="714" t="str">
        <f t="shared" si="53"/>
        <v>1</v>
      </c>
      <c r="G176" s="750"/>
      <c r="H176" s="750"/>
      <c r="I176" s="750"/>
      <c r="J176" s="750"/>
      <c r="K176" s="750"/>
      <c r="L176" s="750"/>
      <c r="M176" s="750"/>
      <c r="N176" s="750"/>
      <c r="O176" s="750"/>
      <c r="P176" s="750"/>
      <c r="Q176" s="719"/>
      <c r="R176" s="719"/>
      <c r="S176" s="750"/>
      <c r="T176" s="645" t="b">
        <f t="shared" si="54"/>
        <v>1</v>
      </c>
      <c r="U176" s="1016"/>
      <c r="V176" s="1016"/>
      <c r="W176" s="1016"/>
      <c r="X176" s="1382"/>
      <c r="Y176" s="1016"/>
      <c r="Z176" s="1382"/>
      <c r="AA176" s="726"/>
      <c r="AB176" s="388" t="str">
        <f>AB173&amp;".3"</f>
        <v>4.4.3</v>
      </c>
      <c r="AC176" s="390" t="s">
        <v>852</v>
      </c>
      <c r="AD176" s="388" t="s">
        <v>837</v>
      </c>
      <c r="AE176" s="1079"/>
      <c r="AF176" s="1079"/>
      <c r="AG176" s="1079"/>
      <c r="AH176" s="1079"/>
      <c r="AI176" s="217"/>
      <c r="AJ176" s="1065"/>
      <c r="AK176" s="1065"/>
      <c r="AL176" s="1079"/>
      <c r="AM176" s="1079"/>
      <c r="AN176" s="1079"/>
      <c r="AO176" s="1079"/>
      <c r="AP176" s="1079"/>
      <c r="AQ176" s="1079"/>
      <c r="AR176" s="1079"/>
      <c r="AS176" s="217"/>
      <c r="AT176" s="1065"/>
      <c r="AU176" s="1065"/>
      <c r="AV176" s="1079"/>
      <c r="AW176" s="1079"/>
      <c r="AX176" s="1079"/>
      <c r="AY176" s="1079"/>
      <c r="AZ176" s="1079"/>
      <c r="BA176" s="1079"/>
      <c r="BB176" s="1079"/>
      <c r="BC176" s="1106"/>
      <c r="BD176" s="726"/>
      <c r="BE176" s="726"/>
      <c r="BF176" s="902" t="s">
        <v>910</v>
      </c>
    </row>
    <row r="177" spans="1:58" s="1057" customFormat="1" ht="14.25" customHeight="1">
      <c r="A177" s="769"/>
      <c r="B177" s="718"/>
      <c r="C177" s="1016"/>
      <c r="D177" s="1016"/>
      <c r="E177" s="623">
        <v>15</v>
      </c>
      <c r="F177" s="714" t="str">
        <f t="shared" si="53"/>
        <v>1</v>
      </c>
      <c r="G177" s="750"/>
      <c r="H177" s="750"/>
      <c r="I177" s="750"/>
      <c r="J177" s="750"/>
      <c r="K177" s="750"/>
      <c r="L177" s="750"/>
      <c r="M177" s="750"/>
      <c r="N177" s="750"/>
      <c r="O177" s="750"/>
      <c r="P177" s="750"/>
      <c r="Q177" s="719"/>
      <c r="R177" s="719"/>
      <c r="S177" s="750"/>
      <c r="T177" s="645" t="b">
        <f t="shared" si="54"/>
        <v>1</v>
      </c>
      <c r="U177" s="1016"/>
      <c r="V177" s="1016"/>
      <c r="W177" s="1016"/>
      <c r="X177" s="1382"/>
      <c r="Y177" s="1016"/>
      <c r="Z177" s="1382"/>
      <c r="AA177" s="726"/>
      <c r="AB177" s="388" t="str">
        <f>AB173&amp;".4"</f>
        <v>4.4.4</v>
      </c>
      <c r="AC177" s="390" t="s">
        <v>855</v>
      </c>
      <c r="AD177" s="388" t="s">
        <v>837</v>
      </c>
      <c r="AE177" s="1079"/>
      <c r="AF177" s="1079"/>
      <c r="AG177" s="1079"/>
      <c r="AH177" s="1079"/>
      <c r="AI177" s="217"/>
      <c r="AJ177" s="1065"/>
      <c r="AK177" s="1065"/>
      <c r="AL177" s="1079"/>
      <c r="AM177" s="1079"/>
      <c r="AN177" s="1079"/>
      <c r="AO177" s="1079"/>
      <c r="AP177" s="1079"/>
      <c r="AQ177" s="1079"/>
      <c r="AR177" s="1079"/>
      <c r="AS177" s="217"/>
      <c r="AT177" s="1065"/>
      <c r="AU177" s="1065"/>
      <c r="AV177" s="1079"/>
      <c r="AW177" s="1079"/>
      <c r="AX177" s="1079"/>
      <c r="AY177" s="1079"/>
      <c r="AZ177" s="1079"/>
      <c r="BA177" s="1079"/>
      <c r="BB177" s="1079"/>
      <c r="BC177" s="1106"/>
      <c r="BD177" s="726"/>
      <c r="BE177" s="726"/>
      <c r="BF177" s="902" t="s">
        <v>911</v>
      </c>
    </row>
    <row r="178" spans="1:58" s="1057" customFormat="1" ht="14.25" customHeight="1">
      <c r="A178" s="769"/>
      <c r="B178" s="718"/>
      <c r="C178" s="1016"/>
      <c r="D178" s="1016"/>
      <c r="E178" s="623">
        <v>15</v>
      </c>
      <c r="F178" s="714" t="str">
        <f t="shared" si="53"/>
        <v>1</v>
      </c>
      <c r="G178" s="750"/>
      <c r="H178" s="750"/>
      <c r="I178" s="750"/>
      <c r="J178" s="750"/>
      <c r="K178" s="750"/>
      <c r="L178" s="750"/>
      <c r="M178" s="750"/>
      <c r="N178" s="750"/>
      <c r="O178" s="750"/>
      <c r="P178" s="750"/>
      <c r="Q178" s="719"/>
      <c r="R178" s="719"/>
      <c r="S178" s="750"/>
      <c r="T178" s="645" t="b">
        <f t="shared" si="54"/>
        <v>1</v>
      </c>
      <c r="U178" s="1016"/>
      <c r="V178" s="1016"/>
      <c r="W178" s="1016"/>
      <c r="X178" s="1382"/>
      <c r="Y178" s="1016"/>
      <c r="Z178" s="1382"/>
      <c r="AA178" s="726"/>
      <c r="AB178" s="388" t="str">
        <f>AB173&amp;".5"</f>
        <v>4.4.5</v>
      </c>
      <c r="AC178" s="390" t="s">
        <v>858</v>
      </c>
      <c r="AD178" s="388" t="s">
        <v>837</v>
      </c>
      <c r="AE178" s="1079"/>
      <c r="AF178" s="1079"/>
      <c r="AG178" s="1079"/>
      <c r="AH178" s="1079"/>
      <c r="AI178" s="217"/>
      <c r="AJ178" s="1065"/>
      <c r="AK178" s="1065"/>
      <c r="AL178" s="1079"/>
      <c r="AM178" s="1079"/>
      <c r="AN178" s="1079"/>
      <c r="AO178" s="1079"/>
      <c r="AP178" s="1079"/>
      <c r="AQ178" s="1079"/>
      <c r="AR178" s="1079"/>
      <c r="AS178" s="217"/>
      <c r="AT178" s="1065"/>
      <c r="AU178" s="1065"/>
      <c r="AV178" s="1079"/>
      <c r="AW178" s="1079"/>
      <c r="AX178" s="1079"/>
      <c r="AY178" s="1079"/>
      <c r="AZ178" s="1079"/>
      <c r="BA178" s="1079"/>
      <c r="BB178" s="1079"/>
      <c r="BC178" s="1106"/>
      <c r="BD178" s="726"/>
      <c r="BE178" s="726"/>
      <c r="BF178" s="902" t="s">
        <v>912</v>
      </c>
    </row>
    <row r="179" spans="1:58" s="1057" customFormat="1" ht="14.25" customHeight="1">
      <c r="A179" s="769"/>
      <c r="B179" s="718"/>
      <c r="C179" s="1016"/>
      <c r="D179" s="1016"/>
      <c r="E179" s="623">
        <v>15</v>
      </c>
      <c r="F179" s="714" t="str">
        <f t="shared" si="53"/>
        <v>1</v>
      </c>
      <c r="G179" s="750"/>
      <c r="H179" s="750"/>
      <c r="I179" s="750"/>
      <c r="J179" s="750"/>
      <c r="K179" s="750"/>
      <c r="L179" s="750"/>
      <c r="M179" s="750"/>
      <c r="N179" s="750"/>
      <c r="O179" s="750"/>
      <c r="P179" s="750"/>
      <c r="Q179" s="719"/>
      <c r="R179" s="719"/>
      <c r="S179" s="750"/>
      <c r="T179" s="645" t="b">
        <f t="shared" si="54"/>
        <v>1</v>
      </c>
      <c r="U179" s="1016"/>
      <c r="V179" s="1016"/>
      <c r="W179" s="1016"/>
      <c r="X179" s="1382"/>
      <c r="Y179" s="1016"/>
      <c r="Z179" s="1382"/>
      <c r="AA179" s="726"/>
      <c r="AB179" s="388" t="str">
        <f>AB169&amp;".5"</f>
        <v>4.5</v>
      </c>
      <c r="AC179" s="389" t="s">
        <v>861</v>
      </c>
      <c r="AD179" s="388" t="s">
        <v>837</v>
      </c>
      <c r="AE179" s="1079"/>
      <c r="AF179" s="1079"/>
      <c r="AG179" s="1079"/>
      <c r="AH179" s="1079"/>
      <c r="AI179" s="217"/>
      <c r="AJ179" s="1065"/>
      <c r="AK179" s="1065"/>
      <c r="AL179" s="1079"/>
      <c r="AM179" s="1079"/>
      <c r="AN179" s="1079"/>
      <c r="AO179" s="1079"/>
      <c r="AP179" s="1079"/>
      <c r="AQ179" s="1079"/>
      <c r="AR179" s="1079"/>
      <c r="AS179" s="217"/>
      <c r="AT179" s="1065"/>
      <c r="AU179" s="1065"/>
      <c r="AV179" s="1079"/>
      <c r="AW179" s="1079"/>
      <c r="AX179" s="1079"/>
      <c r="AY179" s="1079"/>
      <c r="AZ179" s="1079"/>
      <c r="BA179" s="1079"/>
      <c r="BB179" s="1079"/>
      <c r="BC179" s="1106"/>
      <c r="BD179" s="726"/>
      <c r="BE179" s="726"/>
      <c r="BF179" s="902" t="s">
        <v>913</v>
      </c>
    </row>
    <row r="180" spans="1:58" s="1057" customFormat="1" ht="14.25" customHeight="1">
      <c r="A180" s="769"/>
      <c r="B180" s="718"/>
      <c r="C180" s="1016"/>
      <c r="D180" s="1016"/>
      <c r="E180" s="623">
        <v>15</v>
      </c>
      <c r="F180" s="714" t="str">
        <f t="shared" si="53"/>
        <v>1</v>
      </c>
      <c r="G180" s="750"/>
      <c r="H180" s="750"/>
      <c r="I180" s="750"/>
      <c r="J180" s="750"/>
      <c r="K180" s="750"/>
      <c r="L180" s="750"/>
      <c r="M180" s="750"/>
      <c r="N180" s="750"/>
      <c r="O180" s="750"/>
      <c r="P180" s="750"/>
      <c r="Q180" s="719"/>
      <c r="R180" s="719"/>
      <c r="S180" s="750"/>
      <c r="T180" s="645" t="b">
        <f t="shared" si="54"/>
        <v>1</v>
      </c>
      <c r="U180" s="1016"/>
      <c r="V180" s="1016"/>
      <c r="W180" s="1016"/>
      <c r="X180" s="1382"/>
      <c r="Y180" s="1016"/>
      <c r="Z180" s="1382"/>
      <c r="AA180" s="726"/>
      <c r="AB180" s="388" t="str">
        <f>AB169&amp;".6"</f>
        <v>4.6</v>
      </c>
      <c r="AC180" s="389" t="s">
        <v>864</v>
      </c>
      <c r="AD180" s="388" t="s">
        <v>837</v>
      </c>
      <c r="AE180" s="1079"/>
      <c r="AF180" s="1079"/>
      <c r="AG180" s="1079"/>
      <c r="AH180" s="1079"/>
      <c r="AI180" s="217"/>
      <c r="AJ180" s="1065"/>
      <c r="AK180" s="1065"/>
      <c r="AL180" s="1079"/>
      <c r="AM180" s="1079"/>
      <c r="AN180" s="1079"/>
      <c r="AO180" s="1079"/>
      <c r="AP180" s="1079"/>
      <c r="AQ180" s="1079"/>
      <c r="AR180" s="1079"/>
      <c r="AS180" s="217"/>
      <c r="AT180" s="1065"/>
      <c r="AU180" s="1065"/>
      <c r="AV180" s="1079"/>
      <c r="AW180" s="1079"/>
      <c r="AX180" s="1079"/>
      <c r="AY180" s="1079"/>
      <c r="AZ180" s="1079"/>
      <c r="BA180" s="1079"/>
      <c r="BB180" s="1079"/>
      <c r="BC180" s="1106"/>
      <c r="BD180" s="726"/>
      <c r="BE180" s="726"/>
      <c r="BF180" s="902" t="s">
        <v>914</v>
      </c>
    </row>
    <row r="181" spans="1:58" s="1057" customFormat="1" ht="14.25" customHeight="1">
      <c r="A181" s="769"/>
      <c r="B181" s="718"/>
      <c r="C181" s="1016"/>
      <c r="D181" s="1016"/>
      <c r="E181" s="623">
        <v>15</v>
      </c>
      <c r="F181" s="714" t="str">
        <f t="shared" si="53"/>
        <v>1</v>
      </c>
      <c r="G181" s="750"/>
      <c r="H181" s="750"/>
      <c r="I181" s="750"/>
      <c r="J181" s="750"/>
      <c r="K181" s="750"/>
      <c r="L181" s="750"/>
      <c r="M181" s="750"/>
      <c r="N181" s="750"/>
      <c r="O181" s="750"/>
      <c r="P181" s="750"/>
      <c r="Q181" s="719"/>
      <c r="R181" s="719"/>
      <c r="S181" s="750"/>
      <c r="T181" s="645" t="b">
        <f t="shared" si="54"/>
        <v>1</v>
      </c>
      <c r="U181" s="1016"/>
      <c r="V181" s="1016"/>
      <c r="W181" s="1016"/>
      <c r="X181" s="1382"/>
      <c r="Y181" s="1016"/>
      <c r="Z181" s="1382"/>
      <c r="AA181" s="726"/>
      <c r="AB181" s="388" t="str">
        <f>AB169&amp;".7"</f>
        <v>4.7</v>
      </c>
      <c r="AC181" s="389" t="s">
        <v>867</v>
      </c>
      <c r="AD181" s="388" t="s">
        <v>837</v>
      </c>
      <c r="AE181" s="1079"/>
      <c r="AF181" s="1079"/>
      <c r="AG181" s="1079"/>
      <c r="AH181" s="1079"/>
      <c r="AI181" s="217"/>
      <c r="AJ181" s="1065"/>
      <c r="AK181" s="1065"/>
      <c r="AL181" s="1079"/>
      <c r="AM181" s="1079"/>
      <c r="AN181" s="1079"/>
      <c r="AO181" s="1079"/>
      <c r="AP181" s="1079"/>
      <c r="AQ181" s="1079"/>
      <c r="AR181" s="1079"/>
      <c r="AS181" s="217"/>
      <c r="AT181" s="1065"/>
      <c r="AU181" s="1065"/>
      <c r="AV181" s="1079"/>
      <c r="AW181" s="1079"/>
      <c r="AX181" s="1079"/>
      <c r="AY181" s="1079"/>
      <c r="AZ181" s="1079"/>
      <c r="BA181" s="1079"/>
      <c r="BB181" s="1079"/>
      <c r="BC181" s="1106"/>
      <c r="BD181" s="726"/>
      <c r="BE181" s="726"/>
      <c r="BF181" s="902" t="s">
        <v>915</v>
      </c>
    </row>
    <row r="182" spans="1:58" s="1057" customFormat="1" ht="14.25" customHeight="1">
      <c r="A182" s="769"/>
      <c r="B182" s="718"/>
      <c r="C182" s="1016"/>
      <c r="D182" s="1016"/>
      <c r="E182" s="623">
        <v>15</v>
      </c>
      <c r="F182" s="714" t="str">
        <f t="shared" si="53"/>
        <v>1</v>
      </c>
      <c r="G182" s="750"/>
      <c r="H182" s="750"/>
      <c r="I182" s="750"/>
      <c r="J182" s="750"/>
      <c r="K182" s="750"/>
      <c r="L182" s="750"/>
      <c r="M182" s="750"/>
      <c r="N182" s="750"/>
      <c r="O182" s="750"/>
      <c r="P182" s="750"/>
      <c r="Q182" s="719"/>
      <c r="R182" s="719"/>
      <c r="S182" s="750"/>
      <c r="T182" s="645" t="b">
        <f t="shared" si="54"/>
        <v>1</v>
      </c>
      <c r="U182" s="1016"/>
      <c r="V182" s="1016"/>
      <c r="W182" s="1016"/>
      <c r="X182" s="1382"/>
      <c r="Y182" s="1016"/>
      <c r="Z182" s="1382"/>
      <c r="AA182" s="726"/>
      <c r="AB182" s="388" t="str">
        <f>AB169&amp;".8"</f>
        <v>4.8</v>
      </c>
      <c r="AC182" s="389" t="s">
        <v>870</v>
      </c>
      <c r="AD182" s="388" t="s">
        <v>837</v>
      </c>
      <c r="AE182" s="1079"/>
      <c r="AF182" s="1079"/>
      <c r="AG182" s="1079"/>
      <c r="AH182" s="1079"/>
      <c r="AI182" s="217"/>
      <c r="AJ182" s="1065"/>
      <c r="AK182" s="1065"/>
      <c r="AL182" s="1079"/>
      <c r="AM182" s="1079"/>
      <c r="AN182" s="1079"/>
      <c r="AO182" s="1079"/>
      <c r="AP182" s="1079"/>
      <c r="AQ182" s="1079"/>
      <c r="AR182" s="1079"/>
      <c r="AS182" s="217"/>
      <c r="AT182" s="1065"/>
      <c r="AU182" s="1065"/>
      <c r="AV182" s="1079"/>
      <c r="AW182" s="1079"/>
      <c r="AX182" s="1079"/>
      <c r="AY182" s="1079"/>
      <c r="AZ182" s="1079"/>
      <c r="BA182" s="1079"/>
      <c r="BB182" s="1079"/>
      <c r="BC182" s="1106"/>
      <c r="BD182" s="726"/>
      <c r="BE182" s="726"/>
      <c r="BF182" s="902" t="s">
        <v>916</v>
      </c>
    </row>
    <row r="183" spans="1:58" s="154" customFormat="1" ht="21.75" customHeight="1">
      <c r="E183" s="623">
        <v>22.8</v>
      </c>
      <c r="F183" s="714" t="str">
        <f t="shared" si="53"/>
        <v>1</v>
      </c>
      <c r="T183" s="645" t="b">
        <f t="shared" si="54"/>
        <v>1</v>
      </c>
      <c r="X183" s="1491"/>
      <c r="Z183" s="1491"/>
      <c r="AB183" s="214">
        <v>5</v>
      </c>
      <c r="AC183" s="215" t="s">
        <v>917</v>
      </c>
      <c r="AD183" s="95" t="s">
        <v>648</v>
      </c>
      <c r="AE183" s="1144">
        <f t="shared" ref="AE183:BB183" si="58">SUM(AE184:AE187)+SUM(AE193:AE196)</f>
        <v>0</v>
      </c>
      <c r="AF183" s="1144">
        <f t="shared" si="58"/>
        <v>0</v>
      </c>
      <c r="AG183" s="1144">
        <f t="shared" si="58"/>
        <v>0</v>
      </c>
      <c r="AH183" s="1144">
        <f t="shared" si="58"/>
        <v>0</v>
      </c>
      <c r="AI183" s="229">
        <f t="shared" si="58"/>
        <v>0</v>
      </c>
      <c r="AJ183" s="1132">
        <f t="shared" si="58"/>
        <v>0</v>
      </c>
      <c r="AK183" s="1132">
        <f t="shared" si="58"/>
        <v>0</v>
      </c>
      <c r="AL183" s="1144">
        <f t="shared" si="58"/>
        <v>0</v>
      </c>
      <c r="AM183" s="1144">
        <f t="shared" si="58"/>
        <v>0</v>
      </c>
      <c r="AN183" s="1144">
        <f t="shared" si="58"/>
        <v>0</v>
      </c>
      <c r="AO183" s="1144">
        <f t="shared" si="58"/>
        <v>0</v>
      </c>
      <c r="AP183" s="1144">
        <f t="shared" si="58"/>
        <v>0</v>
      </c>
      <c r="AQ183" s="1144">
        <f t="shared" si="58"/>
        <v>0</v>
      </c>
      <c r="AR183" s="1144">
        <f t="shared" si="58"/>
        <v>0</v>
      </c>
      <c r="AS183" s="229">
        <f t="shared" si="58"/>
        <v>0</v>
      </c>
      <c r="AT183" s="1132">
        <f t="shared" si="58"/>
        <v>0</v>
      </c>
      <c r="AU183" s="1132">
        <f t="shared" si="58"/>
        <v>0</v>
      </c>
      <c r="AV183" s="1144">
        <f t="shared" si="58"/>
        <v>0</v>
      </c>
      <c r="AW183" s="1144">
        <f t="shared" si="58"/>
        <v>0</v>
      </c>
      <c r="AX183" s="1144">
        <f t="shared" si="58"/>
        <v>0</v>
      </c>
      <c r="AY183" s="1144">
        <f t="shared" si="58"/>
        <v>0</v>
      </c>
      <c r="AZ183" s="1144">
        <f t="shared" si="58"/>
        <v>0</v>
      </c>
      <c r="BA183" s="1144">
        <f t="shared" si="58"/>
        <v>0</v>
      </c>
      <c r="BB183" s="1144">
        <f t="shared" si="58"/>
        <v>0</v>
      </c>
      <c r="BC183" s="1106"/>
      <c r="BF183" s="902" t="s">
        <v>918</v>
      </c>
    </row>
    <row r="184" spans="1:58" s="1057" customFormat="1" ht="14.25" customHeight="1">
      <c r="A184" s="769"/>
      <c r="B184" s="718"/>
      <c r="C184" s="1016"/>
      <c r="D184" s="1016"/>
      <c r="E184" s="623">
        <v>15</v>
      </c>
      <c r="F184" s="714" t="str">
        <f t="shared" si="53"/>
        <v>1</v>
      </c>
      <c r="G184" s="750"/>
      <c r="H184" s="750"/>
      <c r="I184" s="750"/>
      <c r="J184" s="750"/>
      <c r="K184" s="750"/>
      <c r="L184" s="750"/>
      <c r="M184" s="750"/>
      <c r="N184" s="750"/>
      <c r="O184" s="750"/>
      <c r="P184" s="750"/>
      <c r="Q184" s="719"/>
      <c r="R184" s="719"/>
      <c r="S184" s="750"/>
      <c r="T184" s="645" t="b">
        <f t="shared" si="54"/>
        <v>1</v>
      </c>
      <c r="U184" s="1016"/>
      <c r="V184" s="1016"/>
      <c r="W184" s="1016"/>
      <c r="X184" s="1382"/>
      <c r="Y184" s="1016"/>
      <c r="Z184" s="1382"/>
      <c r="AA184" s="726"/>
      <c r="AB184" s="385" t="str">
        <f>AB183&amp;".1"</f>
        <v>5.1</v>
      </c>
      <c r="AC184" s="377" t="s">
        <v>836</v>
      </c>
      <c r="AD184" s="385" t="s">
        <v>837</v>
      </c>
      <c r="AE184" s="1147">
        <f t="shared" ref="AE184:BB184" si="59">(AE128*2+AE142+AE156-AE170)/2</f>
        <v>0</v>
      </c>
      <c r="AF184" s="1147">
        <f t="shared" si="59"/>
        <v>0</v>
      </c>
      <c r="AG184" s="1147">
        <f t="shared" si="59"/>
        <v>0</v>
      </c>
      <c r="AH184" s="1147">
        <f t="shared" si="59"/>
        <v>0</v>
      </c>
      <c r="AI184" s="386">
        <f t="shared" si="59"/>
        <v>0</v>
      </c>
      <c r="AJ184" s="1104">
        <f t="shared" si="59"/>
        <v>0</v>
      </c>
      <c r="AK184" s="1104">
        <f t="shared" si="59"/>
        <v>0</v>
      </c>
      <c r="AL184" s="1147">
        <f t="shared" si="59"/>
        <v>0</v>
      </c>
      <c r="AM184" s="1147">
        <f t="shared" si="59"/>
        <v>0</v>
      </c>
      <c r="AN184" s="1147">
        <f t="shared" si="59"/>
        <v>0</v>
      </c>
      <c r="AO184" s="1147">
        <f t="shared" si="59"/>
        <v>0</v>
      </c>
      <c r="AP184" s="1147">
        <f t="shared" si="59"/>
        <v>0</v>
      </c>
      <c r="AQ184" s="1147">
        <f t="shared" si="59"/>
        <v>0</v>
      </c>
      <c r="AR184" s="1147">
        <f t="shared" si="59"/>
        <v>0</v>
      </c>
      <c r="AS184" s="386">
        <f t="shared" si="59"/>
        <v>0</v>
      </c>
      <c r="AT184" s="1104">
        <f t="shared" si="59"/>
        <v>0</v>
      </c>
      <c r="AU184" s="1104">
        <f t="shared" si="59"/>
        <v>0</v>
      </c>
      <c r="AV184" s="1147">
        <f t="shared" si="59"/>
        <v>0</v>
      </c>
      <c r="AW184" s="1147">
        <f t="shared" si="59"/>
        <v>0</v>
      </c>
      <c r="AX184" s="1147">
        <f t="shared" si="59"/>
        <v>0</v>
      </c>
      <c r="AY184" s="1147">
        <f t="shared" si="59"/>
        <v>0</v>
      </c>
      <c r="AZ184" s="1147">
        <f t="shared" si="59"/>
        <v>0</v>
      </c>
      <c r="BA184" s="1147">
        <f t="shared" si="59"/>
        <v>0</v>
      </c>
      <c r="BB184" s="1147">
        <f t="shared" si="59"/>
        <v>0</v>
      </c>
      <c r="BC184" s="1148"/>
      <c r="BD184" s="726"/>
      <c r="BE184" s="726"/>
      <c r="BF184" s="902" t="s">
        <v>919</v>
      </c>
    </row>
    <row r="185" spans="1:58" s="1057" customFormat="1" ht="14.25" customHeight="1">
      <c r="A185" s="769"/>
      <c r="B185" s="718"/>
      <c r="C185" s="1016"/>
      <c r="D185" s="1016"/>
      <c r="E185" s="623">
        <v>15</v>
      </c>
      <c r="F185" s="714" t="str">
        <f t="shared" si="53"/>
        <v>1</v>
      </c>
      <c r="G185" s="750"/>
      <c r="H185" s="750"/>
      <c r="I185" s="750"/>
      <c r="J185" s="750"/>
      <c r="K185" s="750"/>
      <c r="L185" s="750"/>
      <c r="M185" s="750"/>
      <c r="N185" s="750"/>
      <c r="O185" s="750"/>
      <c r="P185" s="750"/>
      <c r="Q185" s="719"/>
      <c r="R185" s="719"/>
      <c r="S185" s="750"/>
      <c r="T185" s="645" t="b">
        <f t="shared" si="54"/>
        <v>1</v>
      </c>
      <c r="U185" s="1016"/>
      <c r="V185" s="1016"/>
      <c r="W185" s="1016"/>
      <c r="X185" s="1382"/>
      <c r="Y185" s="1016"/>
      <c r="Z185" s="1382"/>
      <c r="AA185" s="726"/>
      <c r="AB185" s="385" t="str">
        <f>AB183&amp;".2"</f>
        <v>5.2</v>
      </c>
      <c r="AC185" s="377" t="s">
        <v>839</v>
      </c>
      <c r="AD185" s="385" t="s">
        <v>837</v>
      </c>
      <c r="AE185" s="1147">
        <f t="shared" ref="AE185:BB185" si="60">(AE129*2+AE143+AE157-AE171)/2</f>
        <v>0</v>
      </c>
      <c r="AF185" s="1147">
        <f t="shared" si="60"/>
        <v>0</v>
      </c>
      <c r="AG185" s="1147">
        <f t="shared" si="60"/>
        <v>0</v>
      </c>
      <c r="AH185" s="1147">
        <f t="shared" si="60"/>
        <v>0</v>
      </c>
      <c r="AI185" s="386">
        <f t="shared" si="60"/>
        <v>0</v>
      </c>
      <c r="AJ185" s="1104">
        <f t="shared" si="60"/>
        <v>0</v>
      </c>
      <c r="AK185" s="1104">
        <f t="shared" si="60"/>
        <v>0</v>
      </c>
      <c r="AL185" s="1147">
        <f t="shared" si="60"/>
        <v>0</v>
      </c>
      <c r="AM185" s="1147">
        <f t="shared" si="60"/>
        <v>0</v>
      </c>
      <c r="AN185" s="1147">
        <f t="shared" si="60"/>
        <v>0</v>
      </c>
      <c r="AO185" s="1147">
        <f t="shared" si="60"/>
        <v>0</v>
      </c>
      <c r="AP185" s="1147">
        <f t="shared" si="60"/>
        <v>0</v>
      </c>
      <c r="AQ185" s="1147">
        <f t="shared" si="60"/>
        <v>0</v>
      </c>
      <c r="AR185" s="1147">
        <f t="shared" si="60"/>
        <v>0</v>
      </c>
      <c r="AS185" s="386">
        <f t="shared" si="60"/>
        <v>0</v>
      </c>
      <c r="AT185" s="1104">
        <f t="shared" si="60"/>
        <v>0</v>
      </c>
      <c r="AU185" s="1104">
        <f t="shared" si="60"/>
        <v>0</v>
      </c>
      <c r="AV185" s="1147">
        <f t="shared" si="60"/>
        <v>0</v>
      </c>
      <c r="AW185" s="1147">
        <f t="shared" si="60"/>
        <v>0</v>
      </c>
      <c r="AX185" s="1147">
        <f t="shared" si="60"/>
        <v>0</v>
      </c>
      <c r="AY185" s="1147">
        <f t="shared" si="60"/>
        <v>0</v>
      </c>
      <c r="AZ185" s="1147">
        <f t="shared" si="60"/>
        <v>0</v>
      </c>
      <c r="BA185" s="1147">
        <f t="shared" si="60"/>
        <v>0</v>
      </c>
      <c r="BB185" s="1147">
        <f t="shared" si="60"/>
        <v>0</v>
      </c>
      <c r="BC185" s="1148"/>
      <c r="BD185" s="726"/>
      <c r="BE185" s="726"/>
      <c r="BF185" s="902" t="s">
        <v>920</v>
      </c>
    </row>
    <row r="186" spans="1:58" s="1057" customFormat="1" ht="14.25" customHeight="1">
      <c r="A186" s="769"/>
      <c r="B186" s="718"/>
      <c r="C186" s="1016"/>
      <c r="D186" s="1016"/>
      <c r="E186" s="623">
        <v>15</v>
      </c>
      <c r="F186" s="714" t="str">
        <f t="shared" si="53"/>
        <v>1</v>
      </c>
      <c r="G186" s="750"/>
      <c r="H186" s="750"/>
      <c r="I186" s="750"/>
      <c r="J186" s="750"/>
      <c r="K186" s="750"/>
      <c r="L186" s="750"/>
      <c r="M186" s="750"/>
      <c r="N186" s="750"/>
      <c r="O186" s="750"/>
      <c r="P186" s="750"/>
      <c r="Q186" s="719"/>
      <c r="R186" s="719"/>
      <c r="S186" s="750"/>
      <c r="T186" s="645" t="b">
        <f t="shared" si="54"/>
        <v>1</v>
      </c>
      <c r="U186" s="1016"/>
      <c r="V186" s="1016"/>
      <c r="W186" s="1016"/>
      <c r="X186" s="1382"/>
      <c r="Y186" s="1016"/>
      <c r="Z186" s="1382"/>
      <c r="AA186" s="726"/>
      <c r="AB186" s="385" t="str">
        <f>AB183&amp;".3"</f>
        <v>5.3</v>
      </c>
      <c r="AC186" s="377" t="s">
        <v>841</v>
      </c>
      <c r="AD186" s="385" t="s">
        <v>837</v>
      </c>
      <c r="AE186" s="1147">
        <f t="shared" ref="AE186:BB186" si="61">(AE130*2+AE144+AE158-AE172)/2</f>
        <v>0</v>
      </c>
      <c r="AF186" s="1147">
        <f t="shared" si="61"/>
        <v>0</v>
      </c>
      <c r="AG186" s="1147">
        <f t="shared" si="61"/>
        <v>0</v>
      </c>
      <c r="AH186" s="1147">
        <f t="shared" si="61"/>
        <v>0</v>
      </c>
      <c r="AI186" s="386">
        <f t="shared" si="61"/>
        <v>0</v>
      </c>
      <c r="AJ186" s="1104">
        <f t="shared" si="61"/>
        <v>0</v>
      </c>
      <c r="AK186" s="1104">
        <f t="shared" si="61"/>
        <v>0</v>
      </c>
      <c r="AL186" s="1147">
        <f t="shared" si="61"/>
        <v>0</v>
      </c>
      <c r="AM186" s="1147">
        <f t="shared" si="61"/>
        <v>0</v>
      </c>
      <c r="AN186" s="1147">
        <f t="shared" si="61"/>
        <v>0</v>
      </c>
      <c r="AO186" s="1147">
        <f t="shared" si="61"/>
        <v>0</v>
      </c>
      <c r="AP186" s="1147">
        <f t="shared" si="61"/>
        <v>0</v>
      </c>
      <c r="AQ186" s="1147">
        <f t="shared" si="61"/>
        <v>0</v>
      </c>
      <c r="AR186" s="1147">
        <f t="shared" si="61"/>
        <v>0</v>
      </c>
      <c r="AS186" s="386">
        <f t="shared" si="61"/>
        <v>0</v>
      </c>
      <c r="AT186" s="1104">
        <f t="shared" si="61"/>
        <v>0</v>
      </c>
      <c r="AU186" s="1104">
        <f t="shared" si="61"/>
        <v>0</v>
      </c>
      <c r="AV186" s="1147">
        <f t="shared" si="61"/>
        <v>0</v>
      </c>
      <c r="AW186" s="1147">
        <f t="shared" si="61"/>
        <v>0</v>
      </c>
      <c r="AX186" s="1147">
        <f t="shared" si="61"/>
        <v>0</v>
      </c>
      <c r="AY186" s="1147">
        <f t="shared" si="61"/>
        <v>0</v>
      </c>
      <c r="AZ186" s="1147">
        <f t="shared" si="61"/>
        <v>0</v>
      </c>
      <c r="BA186" s="1147">
        <f t="shared" si="61"/>
        <v>0</v>
      </c>
      <c r="BB186" s="1147">
        <f t="shared" si="61"/>
        <v>0</v>
      </c>
      <c r="BC186" s="1148"/>
      <c r="BD186" s="726"/>
      <c r="BE186" s="726"/>
      <c r="BF186" s="902" t="s">
        <v>921</v>
      </c>
    </row>
    <row r="187" spans="1:58" s="1057" customFormat="1" ht="14.25" customHeight="1">
      <c r="A187" s="769"/>
      <c r="B187" s="718"/>
      <c r="C187" s="1016"/>
      <c r="D187" s="1016"/>
      <c r="E187" s="623">
        <v>15</v>
      </c>
      <c r="F187" s="714" t="str">
        <f t="shared" si="53"/>
        <v>1</v>
      </c>
      <c r="G187" s="750"/>
      <c r="H187" s="750"/>
      <c r="I187" s="750"/>
      <c r="J187" s="750"/>
      <c r="K187" s="750"/>
      <c r="L187" s="750"/>
      <c r="M187" s="750"/>
      <c r="N187" s="750"/>
      <c r="O187" s="750"/>
      <c r="P187" s="750"/>
      <c r="Q187" s="719"/>
      <c r="R187" s="719"/>
      <c r="S187" s="750"/>
      <c r="T187" s="645" t="b">
        <f t="shared" si="54"/>
        <v>1</v>
      </c>
      <c r="U187" s="1016"/>
      <c r="V187" s="1016"/>
      <c r="W187" s="1016"/>
      <c r="X187" s="1382"/>
      <c r="Y187" s="1016"/>
      <c r="Z187" s="1382"/>
      <c r="AA187" s="726"/>
      <c r="AB187" s="385" t="str">
        <f>AB183&amp;".4"</f>
        <v>5.4</v>
      </c>
      <c r="AC187" s="377" t="s">
        <v>843</v>
      </c>
      <c r="AD187" s="385" t="s">
        <v>837</v>
      </c>
      <c r="AE187" s="1147">
        <f t="shared" ref="AE187:BB187" si="62">SUM(AE188:AE192)</f>
        <v>0</v>
      </c>
      <c r="AF187" s="1147">
        <f t="shared" si="62"/>
        <v>0</v>
      </c>
      <c r="AG187" s="1147">
        <f t="shared" si="62"/>
        <v>0</v>
      </c>
      <c r="AH187" s="1147">
        <f t="shared" si="62"/>
        <v>0</v>
      </c>
      <c r="AI187" s="386">
        <f t="shared" si="62"/>
        <v>0</v>
      </c>
      <c r="AJ187" s="1104">
        <f t="shared" si="62"/>
        <v>0</v>
      </c>
      <c r="AK187" s="1104">
        <f t="shared" si="62"/>
        <v>0</v>
      </c>
      <c r="AL187" s="1147">
        <f t="shared" si="62"/>
        <v>0</v>
      </c>
      <c r="AM187" s="1147">
        <f t="shared" si="62"/>
        <v>0</v>
      </c>
      <c r="AN187" s="1147">
        <f t="shared" si="62"/>
        <v>0</v>
      </c>
      <c r="AO187" s="1147">
        <f t="shared" si="62"/>
        <v>0</v>
      </c>
      <c r="AP187" s="1147">
        <f t="shared" si="62"/>
        <v>0</v>
      </c>
      <c r="AQ187" s="1147">
        <f t="shared" si="62"/>
        <v>0</v>
      </c>
      <c r="AR187" s="1147">
        <f t="shared" si="62"/>
        <v>0</v>
      </c>
      <c r="AS187" s="386">
        <f t="shared" si="62"/>
        <v>0</v>
      </c>
      <c r="AT187" s="1104">
        <f t="shared" si="62"/>
        <v>0</v>
      </c>
      <c r="AU187" s="1104">
        <f t="shared" si="62"/>
        <v>0</v>
      </c>
      <c r="AV187" s="1147">
        <f t="shared" si="62"/>
        <v>0</v>
      </c>
      <c r="AW187" s="1147">
        <f t="shared" si="62"/>
        <v>0</v>
      </c>
      <c r="AX187" s="1147">
        <f t="shared" si="62"/>
        <v>0</v>
      </c>
      <c r="AY187" s="1147">
        <f t="shared" si="62"/>
        <v>0</v>
      </c>
      <c r="AZ187" s="1147">
        <f t="shared" si="62"/>
        <v>0</v>
      </c>
      <c r="BA187" s="1147">
        <f t="shared" si="62"/>
        <v>0</v>
      </c>
      <c r="BB187" s="1147">
        <f t="shared" si="62"/>
        <v>0</v>
      </c>
      <c r="BC187" s="1148"/>
      <c r="BD187" s="726"/>
      <c r="BE187" s="726"/>
      <c r="BF187" s="902" t="s">
        <v>922</v>
      </c>
    </row>
    <row r="188" spans="1:58" s="1057" customFormat="1" ht="14.25" customHeight="1">
      <c r="A188" s="769"/>
      <c r="B188" s="718"/>
      <c r="C188" s="1016"/>
      <c r="D188" s="1016"/>
      <c r="E188" s="623">
        <v>15</v>
      </c>
      <c r="F188" s="714" t="str">
        <f t="shared" si="53"/>
        <v>1</v>
      </c>
      <c r="G188" s="750"/>
      <c r="H188" s="750"/>
      <c r="I188" s="750"/>
      <c r="J188" s="750"/>
      <c r="K188" s="750"/>
      <c r="L188" s="750"/>
      <c r="M188" s="750"/>
      <c r="N188" s="750"/>
      <c r="O188" s="750"/>
      <c r="P188" s="750"/>
      <c r="Q188" s="719"/>
      <c r="R188" s="719"/>
      <c r="S188" s="750"/>
      <c r="T188" s="645" t="b">
        <f t="shared" si="54"/>
        <v>1</v>
      </c>
      <c r="U188" s="1016"/>
      <c r="V188" s="1016"/>
      <c r="W188" s="1016"/>
      <c r="X188" s="1382"/>
      <c r="Y188" s="1016"/>
      <c r="Z188" s="1382"/>
      <c r="AA188" s="726"/>
      <c r="AB188" s="385" t="str">
        <f>AB187&amp;".1"</f>
        <v>5.4.1</v>
      </c>
      <c r="AC188" s="417" t="s">
        <v>846</v>
      </c>
      <c r="AD188" s="385" t="s">
        <v>837</v>
      </c>
      <c r="AE188" s="1147">
        <f t="shared" ref="AE188:BB188" si="63">(AE132*2+AE146+AE160-AE174)/2</f>
        <v>0</v>
      </c>
      <c r="AF188" s="1147">
        <f t="shared" si="63"/>
        <v>0</v>
      </c>
      <c r="AG188" s="1147">
        <f t="shared" si="63"/>
        <v>0</v>
      </c>
      <c r="AH188" s="1147">
        <f t="shared" si="63"/>
        <v>0</v>
      </c>
      <c r="AI188" s="386">
        <f t="shared" si="63"/>
        <v>0</v>
      </c>
      <c r="AJ188" s="1104">
        <f t="shared" si="63"/>
        <v>0</v>
      </c>
      <c r="AK188" s="1104">
        <f t="shared" si="63"/>
        <v>0</v>
      </c>
      <c r="AL188" s="1147">
        <f t="shared" si="63"/>
        <v>0</v>
      </c>
      <c r="AM188" s="1147">
        <f t="shared" si="63"/>
        <v>0</v>
      </c>
      <c r="AN188" s="1147">
        <f t="shared" si="63"/>
        <v>0</v>
      </c>
      <c r="AO188" s="1147">
        <f t="shared" si="63"/>
        <v>0</v>
      </c>
      <c r="AP188" s="1147">
        <f t="shared" si="63"/>
        <v>0</v>
      </c>
      <c r="AQ188" s="1147">
        <f t="shared" si="63"/>
        <v>0</v>
      </c>
      <c r="AR188" s="1147">
        <f t="shared" si="63"/>
        <v>0</v>
      </c>
      <c r="AS188" s="386">
        <f t="shared" si="63"/>
        <v>0</v>
      </c>
      <c r="AT188" s="1104">
        <f t="shared" si="63"/>
        <v>0</v>
      </c>
      <c r="AU188" s="1104">
        <f t="shared" si="63"/>
        <v>0</v>
      </c>
      <c r="AV188" s="1147">
        <f t="shared" si="63"/>
        <v>0</v>
      </c>
      <c r="AW188" s="1147">
        <f t="shared" si="63"/>
        <v>0</v>
      </c>
      <c r="AX188" s="1147">
        <f t="shared" si="63"/>
        <v>0</v>
      </c>
      <c r="AY188" s="1147">
        <f t="shared" si="63"/>
        <v>0</v>
      </c>
      <c r="AZ188" s="1147">
        <f t="shared" si="63"/>
        <v>0</v>
      </c>
      <c r="BA188" s="1147">
        <f t="shared" si="63"/>
        <v>0</v>
      </c>
      <c r="BB188" s="1147">
        <f t="shared" si="63"/>
        <v>0</v>
      </c>
      <c r="BC188" s="1148"/>
      <c r="BD188" s="726"/>
      <c r="BE188" s="726"/>
      <c r="BF188" s="902" t="s">
        <v>923</v>
      </c>
    </row>
    <row r="189" spans="1:58" s="1057" customFormat="1" ht="14.25" customHeight="1">
      <c r="A189" s="769"/>
      <c r="B189" s="718"/>
      <c r="C189" s="1016"/>
      <c r="D189" s="1016"/>
      <c r="E189" s="623">
        <v>15</v>
      </c>
      <c r="F189" s="714" t="str">
        <f t="shared" si="53"/>
        <v>1</v>
      </c>
      <c r="G189" s="750"/>
      <c r="H189" s="750"/>
      <c r="I189" s="750"/>
      <c r="J189" s="750"/>
      <c r="K189" s="750"/>
      <c r="L189" s="750"/>
      <c r="M189" s="750"/>
      <c r="N189" s="750"/>
      <c r="O189" s="750"/>
      <c r="P189" s="750"/>
      <c r="Q189" s="719"/>
      <c r="R189" s="719"/>
      <c r="S189" s="750"/>
      <c r="T189" s="645" t="b">
        <f t="shared" si="54"/>
        <v>1</v>
      </c>
      <c r="U189" s="1016"/>
      <c r="V189" s="1016"/>
      <c r="W189" s="1016"/>
      <c r="X189" s="1382"/>
      <c r="Y189" s="1016"/>
      <c r="Z189" s="1382"/>
      <c r="AA189" s="726"/>
      <c r="AB189" s="385" t="str">
        <f>AB187&amp;".2"</f>
        <v>5.4.2</v>
      </c>
      <c r="AC189" s="417" t="s">
        <v>849</v>
      </c>
      <c r="AD189" s="385" t="s">
        <v>837</v>
      </c>
      <c r="AE189" s="1147">
        <f t="shared" ref="AE189:BB189" si="64">(AE133*2+AE147+AE161-AE175)/2</f>
        <v>0</v>
      </c>
      <c r="AF189" s="1147">
        <f t="shared" si="64"/>
        <v>0</v>
      </c>
      <c r="AG189" s="1147">
        <f t="shared" si="64"/>
        <v>0</v>
      </c>
      <c r="AH189" s="1147">
        <f t="shared" si="64"/>
        <v>0</v>
      </c>
      <c r="AI189" s="386">
        <f t="shared" si="64"/>
        <v>0</v>
      </c>
      <c r="AJ189" s="1104">
        <f t="shared" si="64"/>
        <v>0</v>
      </c>
      <c r="AK189" s="1104">
        <f t="shared" si="64"/>
        <v>0</v>
      </c>
      <c r="AL189" s="1147">
        <f t="shared" si="64"/>
        <v>0</v>
      </c>
      <c r="AM189" s="1147">
        <f t="shared" si="64"/>
        <v>0</v>
      </c>
      <c r="AN189" s="1147">
        <f t="shared" si="64"/>
        <v>0</v>
      </c>
      <c r="AO189" s="1147">
        <f t="shared" si="64"/>
        <v>0</v>
      </c>
      <c r="AP189" s="1147">
        <f t="shared" si="64"/>
        <v>0</v>
      </c>
      <c r="AQ189" s="1147">
        <f t="shared" si="64"/>
        <v>0</v>
      </c>
      <c r="AR189" s="1147">
        <f t="shared" si="64"/>
        <v>0</v>
      </c>
      <c r="AS189" s="386">
        <f t="shared" si="64"/>
        <v>0</v>
      </c>
      <c r="AT189" s="1104">
        <f t="shared" si="64"/>
        <v>0</v>
      </c>
      <c r="AU189" s="1104">
        <f t="shared" si="64"/>
        <v>0</v>
      </c>
      <c r="AV189" s="1147">
        <f t="shared" si="64"/>
        <v>0</v>
      </c>
      <c r="AW189" s="1147">
        <f t="shared" si="64"/>
        <v>0</v>
      </c>
      <c r="AX189" s="1147">
        <f t="shared" si="64"/>
        <v>0</v>
      </c>
      <c r="AY189" s="1147">
        <f t="shared" si="64"/>
        <v>0</v>
      </c>
      <c r="AZ189" s="1147">
        <f t="shared" si="64"/>
        <v>0</v>
      </c>
      <c r="BA189" s="1147">
        <f t="shared" si="64"/>
        <v>0</v>
      </c>
      <c r="BB189" s="1147">
        <f t="shared" si="64"/>
        <v>0</v>
      </c>
      <c r="BC189" s="1148"/>
      <c r="BD189" s="726"/>
      <c r="BE189" s="726"/>
      <c r="BF189" s="902" t="s">
        <v>924</v>
      </c>
    </row>
    <row r="190" spans="1:58" s="1057" customFormat="1" ht="14.25" customHeight="1">
      <c r="A190" s="769"/>
      <c r="B190" s="718"/>
      <c r="C190" s="1016"/>
      <c r="D190" s="1016"/>
      <c r="E190" s="623">
        <v>15</v>
      </c>
      <c r="F190" s="714" t="str">
        <f t="shared" si="53"/>
        <v>1</v>
      </c>
      <c r="G190" s="750"/>
      <c r="H190" s="750"/>
      <c r="I190" s="750"/>
      <c r="J190" s="750"/>
      <c r="K190" s="750"/>
      <c r="L190" s="750"/>
      <c r="M190" s="750"/>
      <c r="N190" s="750"/>
      <c r="O190" s="750"/>
      <c r="P190" s="750"/>
      <c r="Q190" s="719"/>
      <c r="R190" s="719"/>
      <c r="S190" s="750"/>
      <c r="T190" s="645" t="b">
        <f t="shared" si="54"/>
        <v>1</v>
      </c>
      <c r="U190" s="1016"/>
      <c r="V190" s="1016"/>
      <c r="W190" s="1016"/>
      <c r="X190" s="1382"/>
      <c r="Y190" s="1016"/>
      <c r="Z190" s="1382"/>
      <c r="AA190" s="726"/>
      <c r="AB190" s="385" t="str">
        <f>AB187&amp;".3"</f>
        <v>5.4.3</v>
      </c>
      <c r="AC190" s="417" t="s">
        <v>852</v>
      </c>
      <c r="AD190" s="385" t="s">
        <v>837</v>
      </c>
      <c r="AE190" s="1147">
        <f t="shared" ref="AE190:BB190" si="65">(AE134*2+AE148+AE162-AE176)/2</f>
        <v>0</v>
      </c>
      <c r="AF190" s="1147">
        <f t="shared" si="65"/>
        <v>0</v>
      </c>
      <c r="AG190" s="1147">
        <f t="shared" si="65"/>
        <v>0</v>
      </c>
      <c r="AH190" s="1147">
        <f t="shared" si="65"/>
        <v>0</v>
      </c>
      <c r="AI190" s="386">
        <f t="shared" si="65"/>
        <v>0</v>
      </c>
      <c r="AJ190" s="1104">
        <f t="shared" si="65"/>
        <v>0</v>
      </c>
      <c r="AK190" s="1104">
        <f t="shared" si="65"/>
        <v>0</v>
      </c>
      <c r="AL190" s="1147">
        <f t="shared" si="65"/>
        <v>0</v>
      </c>
      <c r="AM190" s="1147">
        <f t="shared" si="65"/>
        <v>0</v>
      </c>
      <c r="AN190" s="1147">
        <f t="shared" si="65"/>
        <v>0</v>
      </c>
      <c r="AO190" s="1147">
        <f t="shared" si="65"/>
        <v>0</v>
      </c>
      <c r="AP190" s="1147">
        <f t="shared" si="65"/>
        <v>0</v>
      </c>
      <c r="AQ190" s="1147">
        <f t="shared" si="65"/>
        <v>0</v>
      </c>
      <c r="AR190" s="1147">
        <f t="shared" si="65"/>
        <v>0</v>
      </c>
      <c r="AS190" s="386">
        <f t="shared" si="65"/>
        <v>0</v>
      </c>
      <c r="AT190" s="1104">
        <f t="shared" si="65"/>
        <v>0</v>
      </c>
      <c r="AU190" s="1104">
        <f t="shared" si="65"/>
        <v>0</v>
      </c>
      <c r="AV190" s="1147">
        <f t="shared" si="65"/>
        <v>0</v>
      </c>
      <c r="AW190" s="1147">
        <f t="shared" si="65"/>
        <v>0</v>
      </c>
      <c r="AX190" s="1147">
        <f t="shared" si="65"/>
        <v>0</v>
      </c>
      <c r="AY190" s="1147">
        <f t="shared" si="65"/>
        <v>0</v>
      </c>
      <c r="AZ190" s="1147">
        <f t="shared" si="65"/>
        <v>0</v>
      </c>
      <c r="BA190" s="1147">
        <f t="shared" si="65"/>
        <v>0</v>
      </c>
      <c r="BB190" s="1147">
        <f t="shared" si="65"/>
        <v>0</v>
      </c>
      <c r="BC190" s="1148"/>
      <c r="BD190" s="726"/>
      <c r="BE190" s="726"/>
      <c r="BF190" s="902" t="s">
        <v>925</v>
      </c>
    </row>
    <row r="191" spans="1:58" s="1057" customFormat="1" ht="14.25" customHeight="1">
      <c r="A191" s="769"/>
      <c r="B191" s="718"/>
      <c r="C191" s="1016"/>
      <c r="D191" s="1016"/>
      <c r="E191" s="623">
        <v>15</v>
      </c>
      <c r="F191" s="714" t="str">
        <f t="shared" ref="F191:F224" si="66">F190</f>
        <v>1</v>
      </c>
      <c r="G191" s="750"/>
      <c r="H191" s="750"/>
      <c r="I191" s="750"/>
      <c r="J191" s="750"/>
      <c r="K191" s="750"/>
      <c r="L191" s="750"/>
      <c r="M191" s="750"/>
      <c r="N191" s="750"/>
      <c r="O191" s="750"/>
      <c r="P191" s="750"/>
      <c r="Q191" s="719"/>
      <c r="R191" s="719"/>
      <c r="S191" s="750"/>
      <c r="T191" s="645" t="b">
        <f t="shared" ref="T191:T224" si="67">T190</f>
        <v>1</v>
      </c>
      <c r="U191" s="1016"/>
      <c r="V191" s="1016"/>
      <c r="W191" s="1016"/>
      <c r="X191" s="1382"/>
      <c r="Y191" s="1016"/>
      <c r="Z191" s="1382"/>
      <c r="AA191" s="726"/>
      <c r="AB191" s="385" t="str">
        <f>AB187&amp;".4"</f>
        <v>5.4.4</v>
      </c>
      <c r="AC191" s="417" t="s">
        <v>855</v>
      </c>
      <c r="AD191" s="385" t="s">
        <v>837</v>
      </c>
      <c r="AE191" s="1147">
        <f t="shared" ref="AE191:BB191" si="68">(AE135*2+AE149+AE163-AE177)/2</f>
        <v>0</v>
      </c>
      <c r="AF191" s="1147">
        <f t="shared" si="68"/>
        <v>0</v>
      </c>
      <c r="AG191" s="1147">
        <f t="shared" si="68"/>
        <v>0</v>
      </c>
      <c r="AH191" s="1147">
        <f t="shared" si="68"/>
        <v>0</v>
      </c>
      <c r="AI191" s="386">
        <f t="shared" si="68"/>
        <v>0</v>
      </c>
      <c r="AJ191" s="1104">
        <f t="shared" si="68"/>
        <v>0</v>
      </c>
      <c r="AK191" s="1104">
        <f t="shared" si="68"/>
        <v>0</v>
      </c>
      <c r="AL191" s="1147">
        <f t="shared" si="68"/>
        <v>0</v>
      </c>
      <c r="AM191" s="1147">
        <f t="shared" si="68"/>
        <v>0</v>
      </c>
      <c r="AN191" s="1147">
        <f t="shared" si="68"/>
        <v>0</v>
      </c>
      <c r="AO191" s="1147">
        <f t="shared" si="68"/>
        <v>0</v>
      </c>
      <c r="AP191" s="1147">
        <f t="shared" si="68"/>
        <v>0</v>
      </c>
      <c r="AQ191" s="1147">
        <f t="shared" si="68"/>
        <v>0</v>
      </c>
      <c r="AR191" s="1147">
        <f t="shared" si="68"/>
        <v>0</v>
      </c>
      <c r="AS191" s="386">
        <f t="shared" si="68"/>
        <v>0</v>
      </c>
      <c r="AT191" s="1104">
        <f t="shared" si="68"/>
        <v>0</v>
      </c>
      <c r="AU191" s="1104">
        <f t="shared" si="68"/>
        <v>0</v>
      </c>
      <c r="AV191" s="1147">
        <f t="shared" si="68"/>
        <v>0</v>
      </c>
      <c r="AW191" s="1147">
        <f t="shared" si="68"/>
        <v>0</v>
      </c>
      <c r="AX191" s="1147">
        <f t="shared" si="68"/>
        <v>0</v>
      </c>
      <c r="AY191" s="1147">
        <f t="shared" si="68"/>
        <v>0</v>
      </c>
      <c r="AZ191" s="1147">
        <f t="shared" si="68"/>
        <v>0</v>
      </c>
      <c r="BA191" s="1147">
        <f t="shared" si="68"/>
        <v>0</v>
      </c>
      <c r="BB191" s="1147">
        <f t="shared" si="68"/>
        <v>0</v>
      </c>
      <c r="BC191" s="1148"/>
      <c r="BD191" s="726"/>
      <c r="BE191" s="726"/>
      <c r="BF191" s="902" t="s">
        <v>926</v>
      </c>
    </row>
    <row r="192" spans="1:58" s="1057" customFormat="1" ht="14.25" customHeight="1">
      <c r="A192" s="769"/>
      <c r="B192" s="718"/>
      <c r="C192" s="1016"/>
      <c r="D192" s="1016"/>
      <c r="E192" s="623">
        <v>15</v>
      </c>
      <c r="F192" s="714" t="str">
        <f t="shared" si="66"/>
        <v>1</v>
      </c>
      <c r="G192" s="750"/>
      <c r="H192" s="750"/>
      <c r="I192" s="750"/>
      <c r="J192" s="750"/>
      <c r="K192" s="750"/>
      <c r="L192" s="750"/>
      <c r="M192" s="750"/>
      <c r="N192" s="750"/>
      <c r="O192" s="750"/>
      <c r="P192" s="750"/>
      <c r="Q192" s="719"/>
      <c r="R192" s="719"/>
      <c r="S192" s="750"/>
      <c r="T192" s="645" t="b">
        <f t="shared" si="67"/>
        <v>1</v>
      </c>
      <c r="U192" s="1016"/>
      <c r="V192" s="1016"/>
      <c r="W192" s="1016"/>
      <c r="X192" s="1382"/>
      <c r="Y192" s="1016"/>
      <c r="Z192" s="1382"/>
      <c r="AA192" s="726"/>
      <c r="AB192" s="385" t="str">
        <f>AB187&amp;".5"</f>
        <v>5.4.5</v>
      </c>
      <c r="AC192" s="417" t="s">
        <v>858</v>
      </c>
      <c r="AD192" s="385" t="s">
        <v>837</v>
      </c>
      <c r="AE192" s="1147">
        <f t="shared" ref="AE192:BB192" si="69">(AE136*2+AE150+AE164-AE178)/2</f>
        <v>0</v>
      </c>
      <c r="AF192" s="1147">
        <f t="shared" si="69"/>
        <v>0</v>
      </c>
      <c r="AG192" s="1147">
        <f t="shared" si="69"/>
        <v>0</v>
      </c>
      <c r="AH192" s="1147">
        <f t="shared" si="69"/>
        <v>0</v>
      </c>
      <c r="AI192" s="386">
        <f t="shared" si="69"/>
        <v>0</v>
      </c>
      <c r="AJ192" s="1104">
        <f t="shared" si="69"/>
        <v>0</v>
      </c>
      <c r="AK192" s="1104">
        <f t="shared" si="69"/>
        <v>0</v>
      </c>
      <c r="AL192" s="1147">
        <f t="shared" si="69"/>
        <v>0</v>
      </c>
      <c r="AM192" s="1147">
        <f t="shared" si="69"/>
        <v>0</v>
      </c>
      <c r="AN192" s="1147">
        <f t="shared" si="69"/>
        <v>0</v>
      </c>
      <c r="AO192" s="1147">
        <f t="shared" si="69"/>
        <v>0</v>
      </c>
      <c r="AP192" s="1147">
        <f t="shared" si="69"/>
        <v>0</v>
      </c>
      <c r="AQ192" s="1147">
        <f t="shared" si="69"/>
        <v>0</v>
      </c>
      <c r="AR192" s="1147">
        <f t="shared" si="69"/>
        <v>0</v>
      </c>
      <c r="AS192" s="386">
        <f t="shared" si="69"/>
        <v>0</v>
      </c>
      <c r="AT192" s="1104">
        <f t="shared" si="69"/>
        <v>0</v>
      </c>
      <c r="AU192" s="1104">
        <f t="shared" si="69"/>
        <v>0</v>
      </c>
      <c r="AV192" s="1147">
        <f t="shared" si="69"/>
        <v>0</v>
      </c>
      <c r="AW192" s="1147">
        <f t="shared" si="69"/>
        <v>0</v>
      </c>
      <c r="AX192" s="1147">
        <f t="shared" si="69"/>
        <v>0</v>
      </c>
      <c r="AY192" s="1147">
        <f t="shared" si="69"/>
        <v>0</v>
      </c>
      <c r="AZ192" s="1147">
        <f t="shared" si="69"/>
        <v>0</v>
      </c>
      <c r="BA192" s="1147">
        <f t="shared" si="69"/>
        <v>0</v>
      </c>
      <c r="BB192" s="1147">
        <f t="shared" si="69"/>
        <v>0</v>
      </c>
      <c r="BC192" s="1148"/>
      <c r="BD192" s="726"/>
      <c r="BE192" s="726"/>
      <c r="BF192" s="902" t="s">
        <v>927</v>
      </c>
    </row>
    <row r="193" spans="1:58" s="1057" customFormat="1" ht="14.25" customHeight="1">
      <c r="A193" s="769"/>
      <c r="B193" s="718"/>
      <c r="C193" s="1016"/>
      <c r="D193" s="1016"/>
      <c r="E193" s="623">
        <v>15</v>
      </c>
      <c r="F193" s="714" t="str">
        <f t="shared" si="66"/>
        <v>1</v>
      </c>
      <c r="G193" s="750"/>
      <c r="H193" s="750"/>
      <c r="I193" s="750"/>
      <c r="J193" s="750"/>
      <c r="K193" s="750"/>
      <c r="L193" s="750"/>
      <c r="M193" s="750"/>
      <c r="N193" s="750"/>
      <c r="O193" s="750"/>
      <c r="P193" s="750"/>
      <c r="Q193" s="719"/>
      <c r="R193" s="719"/>
      <c r="S193" s="750"/>
      <c r="T193" s="645" t="b">
        <f t="shared" si="67"/>
        <v>1</v>
      </c>
      <c r="U193" s="1016"/>
      <c r="V193" s="1016"/>
      <c r="W193" s="1016"/>
      <c r="X193" s="1382"/>
      <c r="Y193" s="1016"/>
      <c r="Z193" s="1382"/>
      <c r="AA193" s="726"/>
      <c r="AB193" s="385" t="str">
        <f>AB183&amp;".5"</f>
        <v>5.5</v>
      </c>
      <c r="AC193" s="377" t="s">
        <v>861</v>
      </c>
      <c r="AD193" s="385" t="s">
        <v>837</v>
      </c>
      <c r="AE193" s="1147">
        <f t="shared" ref="AE193:BB193" si="70">(AE137*2+AE151+AE165-AE179)/2</f>
        <v>0</v>
      </c>
      <c r="AF193" s="1147">
        <f t="shared" si="70"/>
        <v>0</v>
      </c>
      <c r="AG193" s="1147">
        <f t="shared" si="70"/>
        <v>0</v>
      </c>
      <c r="AH193" s="1147">
        <f t="shared" si="70"/>
        <v>0</v>
      </c>
      <c r="AI193" s="386">
        <f t="shared" si="70"/>
        <v>0</v>
      </c>
      <c r="AJ193" s="1104">
        <f t="shared" si="70"/>
        <v>0</v>
      </c>
      <c r="AK193" s="1104">
        <f t="shared" si="70"/>
        <v>0</v>
      </c>
      <c r="AL193" s="1147">
        <f t="shared" si="70"/>
        <v>0</v>
      </c>
      <c r="AM193" s="1147">
        <f t="shared" si="70"/>
        <v>0</v>
      </c>
      <c r="AN193" s="1147">
        <f t="shared" si="70"/>
        <v>0</v>
      </c>
      <c r="AO193" s="1147">
        <f t="shared" si="70"/>
        <v>0</v>
      </c>
      <c r="AP193" s="1147">
        <f t="shared" si="70"/>
        <v>0</v>
      </c>
      <c r="AQ193" s="1147">
        <f t="shared" si="70"/>
        <v>0</v>
      </c>
      <c r="AR193" s="1147">
        <f t="shared" si="70"/>
        <v>0</v>
      </c>
      <c r="AS193" s="386">
        <f t="shared" si="70"/>
        <v>0</v>
      </c>
      <c r="AT193" s="1104">
        <f t="shared" si="70"/>
        <v>0</v>
      </c>
      <c r="AU193" s="1104">
        <f t="shared" si="70"/>
        <v>0</v>
      </c>
      <c r="AV193" s="1147">
        <f t="shared" si="70"/>
        <v>0</v>
      </c>
      <c r="AW193" s="1147">
        <f t="shared" si="70"/>
        <v>0</v>
      </c>
      <c r="AX193" s="1147">
        <f t="shared" si="70"/>
        <v>0</v>
      </c>
      <c r="AY193" s="1147">
        <f t="shared" si="70"/>
        <v>0</v>
      </c>
      <c r="AZ193" s="1147">
        <f t="shared" si="70"/>
        <v>0</v>
      </c>
      <c r="BA193" s="1147">
        <f t="shared" si="70"/>
        <v>0</v>
      </c>
      <c r="BB193" s="1147">
        <f t="shared" si="70"/>
        <v>0</v>
      </c>
      <c r="BC193" s="1148"/>
      <c r="BD193" s="726"/>
      <c r="BE193" s="726"/>
      <c r="BF193" s="902" t="s">
        <v>928</v>
      </c>
    </row>
    <row r="194" spans="1:58" s="1057" customFormat="1" ht="14.25" customHeight="1">
      <c r="A194" s="769"/>
      <c r="B194" s="718"/>
      <c r="C194" s="1016"/>
      <c r="D194" s="1016"/>
      <c r="E194" s="623">
        <v>15</v>
      </c>
      <c r="F194" s="714" t="str">
        <f t="shared" si="66"/>
        <v>1</v>
      </c>
      <c r="G194" s="750"/>
      <c r="H194" s="750"/>
      <c r="I194" s="750"/>
      <c r="J194" s="750"/>
      <c r="K194" s="750"/>
      <c r="L194" s="750"/>
      <c r="M194" s="750"/>
      <c r="N194" s="750"/>
      <c r="O194" s="750"/>
      <c r="P194" s="750"/>
      <c r="Q194" s="719"/>
      <c r="R194" s="719"/>
      <c r="S194" s="750"/>
      <c r="T194" s="645" t="b">
        <f t="shared" si="67"/>
        <v>1</v>
      </c>
      <c r="U194" s="1016"/>
      <c r="V194" s="1016"/>
      <c r="W194" s="1016"/>
      <c r="X194" s="1382"/>
      <c r="Y194" s="1016"/>
      <c r="Z194" s="1382"/>
      <c r="AA194" s="726"/>
      <c r="AB194" s="385" t="str">
        <f>AB183&amp;".6"</f>
        <v>5.6</v>
      </c>
      <c r="AC194" s="377" t="s">
        <v>864</v>
      </c>
      <c r="AD194" s="385" t="s">
        <v>837</v>
      </c>
      <c r="AE194" s="1147">
        <f t="shared" ref="AE194:BB194" si="71">(AE138*2+AE152+AE166-AE180)/2</f>
        <v>0</v>
      </c>
      <c r="AF194" s="1147">
        <f t="shared" si="71"/>
        <v>0</v>
      </c>
      <c r="AG194" s="1147">
        <f t="shared" si="71"/>
        <v>0</v>
      </c>
      <c r="AH194" s="1147">
        <f t="shared" si="71"/>
        <v>0</v>
      </c>
      <c r="AI194" s="386">
        <f t="shared" si="71"/>
        <v>0</v>
      </c>
      <c r="AJ194" s="1104">
        <f t="shared" si="71"/>
        <v>0</v>
      </c>
      <c r="AK194" s="1104">
        <f t="shared" si="71"/>
        <v>0</v>
      </c>
      <c r="AL194" s="1147">
        <f t="shared" si="71"/>
        <v>0</v>
      </c>
      <c r="AM194" s="1147">
        <f t="shared" si="71"/>
        <v>0</v>
      </c>
      <c r="AN194" s="1147">
        <f t="shared" si="71"/>
        <v>0</v>
      </c>
      <c r="AO194" s="1147">
        <f t="shared" si="71"/>
        <v>0</v>
      </c>
      <c r="AP194" s="1147">
        <f t="shared" si="71"/>
        <v>0</v>
      </c>
      <c r="AQ194" s="1147">
        <f t="shared" si="71"/>
        <v>0</v>
      </c>
      <c r="AR194" s="1147">
        <f t="shared" si="71"/>
        <v>0</v>
      </c>
      <c r="AS194" s="386">
        <f t="shared" si="71"/>
        <v>0</v>
      </c>
      <c r="AT194" s="1104">
        <f t="shared" si="71"/>
        <v>0</v>
      </c>
      <c r="AU194" s="1104">
        <f t="shared" si="71"/>
        <v>0</v>
      </c>
      <c r="AV194" s="1147">
        <f t="shared" si="71"/>
        <v>0</v>
      </c>
      <c r="AW194" s="1147">
        <f t="shared" si="71"/>
        <v>0</v>
      </c>
      <c r="AX194" s="1147">
        <f t="shared" si="71"/>
        <v>0</v>
      </c>
      <c r="AY194" s="1147">
        <f t="shared" si="71"/>
        <v>0</v>
      </c>
      <c r="AZ194" s="1147">
        <f t="shared" si="71"/>
        <v>0</v>
      </c>
      <c r="BA194" s="1147">
        <f t="shared" si="71"/>
        <v>0</v>
      </c>
      <c r="BB194" s="1147">
        <f t="shared" si="71"/>
        <v>0</v>
      </c>
      <c r="BC194" s="1148"/>
      <c r="BD194" s="726"/>
      <c r="BE194" s="726"/>
      <c r="BF194" s="902" t="s">
        <v>929</v>
      </c>
    </row>
    <row r="195" spans="1:58" s="1057" customFormat="1" ht="14.25" customHeight="1">
      <c r="A195" s="769"/>
      <c r="B195" s="718"/>
      <c r="C195" s="1016"/>
      <c r="D195" s="1016"/>
      <c r="E195" s="623">
        <v>15</v>
      </c>
      <c r="F195" s="714" t="str">
        <f t="shared" si="66"/>
        <v>1</v>
      </c>
      <c r="G195" s="750"/>
      <c r="H195" s="750"/>
      <c r="I195" s="750"/>
      <c r="J195" s="750"/>
      <c r="K195" s="750"/>
      <c r="L195" s="750"/>
      <c r="M195" s="750"/>
      <c r="N195" s="750"/>
      <c r="O195" s="750"/>
      <c r="P195" s="750"/>
      <c r="Q195" s="719"/>
      <c r="R195" s="719"/>
      <c r="S195" s="750"/>
      <c r="T195" s="645" t="b">
        <f t="shared" si="67"/>
        <v>1</v>
      </c>
      <c r="U195" s="1016"/>
      <c r="V195" s="1016"/>
      <c r="W195" s="1016"/>
      <c r="X195" s="1382"/>
      <c r="Y195" s="1016"/>
      <c r="Z195" s="1382"/>
      <c r="AA195" s="726"/>
      <c r="AB195" s="385" t="str">
        <f>AB183&amp;".7"</f>
        <v>5.7</v>
      </c>
      <c r="AC195" s="377" t="s">
        <v>867</v>
      </c>
      <c r="AD195" s="385" t="s">
        <v>837</v>
      </c>
      <c r="AE195" s="1147">
        <f t="shared" ref="AE195:BB195" si="72">(AE139*2+AE153+AE167-AE181)/2</f>
        <v>0</v>
      </c>
      <c r="AF195" s="1147">
        <f t="shared" si="72"/>
        <v>0</v>
      </c>
      <c r="AG195" s="1147">
        <f t="shared" si="72"/>
        <v>0</v>
      </c>
      <c r="AH195" s="1147">
        <f t="shared" si="72"/>
        <v>0</v>
      </c>
      <c r="AI195" s="386">
        <f t="shared" si="72"/>
        <v>0</v>
      </c>
      <c r="AJ195" s="1104">
        <f t="shared" si="72"/>
        <v>0</v>
      </c>
      <c r="AK195" s="1104">
        <f t="shared" si="72"/>
        <v>0</v>
      </c>
      <c r="AL195" s="1147">
        <f t="shared" si="72"/>
        <v>0</v>
      </c>
      <c r="AM195" s="1147">
        <f t="shared" si="72"/>
        <v>0</v>
      </c>
      <c r="AN195" s="1147">
        <f t="shared" si="72"/>
        <v>0</v>
      </c>
      <c r="AO195" s="1147">
        <f t="shared" si="72"/>
        <v>0</v>
      </c>
      <c r="AP195" s="1147">
        <f t="shared" si="72"/>
        <v>0</v>
      </c>
      <c r="AQ195" s="1147">
        <f t="shared" si="72"/>
        <v>0</v>
      </c>
      <c r="AR195" s="1147">
        <f t="shared" si="72"/>
        <v>0</v>
      </c>
      <c r="AS195" s="386">
        <f t="shared" si="72"/>
        <v>0</v>
      </c>
      <c r="AT195" s="1104">
        <f t="shared" si="72"/>
        <v>0</v>
      </c>
      <c r="AU195" s="1104">
        <f t="shared" si="72"/>
        <v>0</v>
      </c>
      <c r="AV195" s="1147">
        <f t="shared" si="72"/>
        <v>0</v>
      </c>
      <c r="AW195" s="1147">
        <f t="shared" si="72"/>
        <v>0</v>
      </c>
      <c r="AX195" s="1147">
        <f t="shared" si="72"/>
        <v>0</v>
      </c>
      <c r="AY195" s="1147">
        <f t="shared" si="72"/>
        <v>0</v>
      </c>
      <c r="AZ195" s="1147">
        <f t="shared" si="72"/>
        <v>0</v>
      </c>
      <c r="BA195" s="1147">
        <f t="shared" si="72"/>
        <v>0</v>
      </c>
      <c r="BB195" s="1147">
        <f t="shared" si="72"/>
        <v>0</v>
      </c>
      <c r="BC195" s="1148"/>
      <c r="BD195" s="726"/>
      <c r="BE195" s="726"/>
      <c r="BF195" s="902" t="s">
        <v>930</v>
      </c>
    </row>
    <row r="196" spans="1:58" s="1057" customFormat="1" ht="14.25" customHeight="1">
      <c r="A196" s="769"/>
      <c r="B196" s="718"/>
      <c r="C196" s="1016"/>
      <c r="D196" s="1016"/>
      <c r="E196" s="623">
        <v>15</v>
      </c>
      <c r="F196" s="714" t="str">
        <f t="shared" si="66"/>
        <v>1</v>
      </c>
      <c r="G196" s="750"/>
      <c r="H196" s="750"/>
      <c r="I196" s="750"/>
      <c r="J196" s="750"/>
      <c r="K196" s="750"/>
      <c r="L196" s="750"/>
      <c r="M196" s="750"/>
      <c r="N196" s="750"/>
      <c r="O196" s="750"/>
      <c r="P196" s="750"/>
      <c r="Q196" s="719"/>
      <c r="R196" s="719"/>
      <c r="S196" s="750"/>
      <c r="T196" s="645" t="b">
        <f t="shared" si="67"/>
        <v>1</v>
      </c>
      <c r="U196" s="1016"/>
      <c r="V196" s="1016"/>
      <c r="W196" s="1016"/>
      <c r="X196" s="1382"/>
      <c r="Y196" s="1016"/>
      <c r="Z196" s="1382"/>
      <c r="AA196" s="726"/>
      <c r="AB196" s="385" t="str">
        <f>AB183&amp;".8"</f>
        <v>5.8</v>
      </c>
      <c r="AC196" s="377" t="s">
        <v>870</v>
      </c>
      <c r="AD196" s="385" t="s">
        <v>837</v>
      </c>
      <c r="AE196" s="1147">
        <f t="shared" ref="AE196:BB196" si="73">(AE140*2+AE154+AE168-AE182)/2</f>
        <v>0</v>
      </c>
      <c r="AF196" s="1147">
        <f t="shared" si="73"/>
        <v>0</v>
      </c>
      <c r="AG196" s="1147">
        <f t="shared" si="73"/>
        <v>0</v>
      </c>
      <c r="AH196" s="1147">
        <f t="shared" si="73"/>
        <v>0</v>
      </c>
      <c r="AI196" s="386">
        <f t="shared" si="73"/>
        <v>0</v>
      </c>
      <c r="AJ196" s="1104">
        <f t="shared" si="73"/>
        <v>0</v>
      </c>
      <c r="AK196" s="1104">
        <f t="shared" si="73"/>
        <v>0</v>
      </c>
      <c r="AL196" s="1147">
        <f t="shared" si="73"/>
        <v>0</v>
      </c>
      <c r="AM196" s="1147">
        <f t="shared" si="73"/>
        <v>0</v>
      </c>
      <c r="AN196" s="1147">
        <f t="shared" si="73"/>
        <v>0</v>
      </c>
      <c r="AO196" s="1147">
        <f t="shared" si="73"/>
        <v>0</v>
      </c>
      <c r="AP196" s="1147">
        <f t="shared" si="73"/>
        <v>0</v>
      </c>
      <c r="AQ196" s="1147">
        <f t="shared" si="73"/>
        <v>0</v>
      </c>
      <c r="AR196" s="1147">
        <f t="shared" si="73"/>
        <v>0</v>
      </c>
      <c r="AS196" s="386">
        <f t="shared" si="73"/>
        <v>0</v>
      </c>
      <c r="AT196" s="1104">
        <f t="shared" si="73"/>
        <v>0</v>
      </c>
      <c r="AU196" s="1104">
        <f t="shared" si="73"/>
        <v>0</v>
      </c>
      <c r="AV196" s="1147">
        <f t="shared" si="73"/>
        <v>0</v>
      </c>
      <c r="AW196" s="1147">
        <f t="shared" si="73"/>
        <v>0</v>
      </c>
      <c r="AX196" s="1147">
        <f t="shared" si="73"/>
        <v>0</v>
      </c>
      <c r="AY196" s="1147">
        <f t="shared" si="73"/>
        <v>0</v>
      </c>
      <c r="AZ196" s="1147">
        <f t="shared" si="73"/>
        <v>0</v>
      </c>
      <c r="BA196" s="1147">
        <f t="shared" si="73"/>
        <v>0</v>
      </c>
      <c r="BB196" s="1147">
        <f t="shared" si="73"/>
        <v>0</v>
      </c>
      <c r="BC196" s="1148"/>
      <c r="BD196" s="726"/>
      <c r="BE196" s="726"/>
      <c r="BF196" s="902" t="s">
        <v>931</v>
      </c>
    </row>
    <row r="197" spans="1:58" s="154" customFormat="1" ht="21.75" customHeight="1">
      <c r="E197" s="623">
        <v>22.8</v>
      </c>
      <c r="F197" s="714" t="str">
        <f t="shared" si="66"/>
        <v>1</v>
      </c>
      <c r="T197" s="645" t="b">
        <f t="shared" si="67"/>
        <v>1</v>
      </c>
      <c r="X197" s="1491"/>
      <c r="Z197" s="1491"/>
      <c r="AB197" s="214">
        <v>6</v>
      </c>
      <c r="AC197" s="215" t="s">
        <v>932</v>
      </c>
      <c r="AD197" s="388" t="s">
        <v>388</v>
      </c>
      <c r="AE197" s="1144"/>
      <c r="AF197" s="1144"/>
      <c r="AG197" s="1144"/>
      <c r="AH197" s="1144"/>
      <c r="AI197" s="229"/>
      <c r="AJ197" s="1132"/>
      <c r="AK197" s="1132"/>
      <c r="AL197" s="1144"/>
      <c r="AM197" s="1144"/>
      <c r="AN197" s="1144"/>
      <c r="AO197" s="1144"/>
      <c r="AP197" s="1144"/>
      <c r="AQ197" s="1144"/>
      <c r="AR197" s="1144"/>
      <c r="AS197" s="229"/>
      <c r="AT197" s="1132"/>
      <c r="AU197" s="1132"/>
      <c r="AV197" s="1144"/>
      <c r="AW197" s="1144"/>
      <c r="AX197" s="1144"/>
      <c r="AY197" s="1144"/>
      <c r="AZ197" s="1144"/>
      <c r="BA197" s="1144"/>
      <c r="BB197" s="1144"/>
      <c r="BC197" s="1106"/>
      <c r="BF197" s="902" t="s">
        <v>933</v>
      </c>
    </row>
    <row r="198" spans="1:58" s="1057" customFormat="1" ht="14.25" customHeight="1">
      <c r="A198" s="769"/>
      <c r="B198" s="718"/>
      <c r="C198" s="1016"/>
      <c r="D198" s="1016"/>
      <c r="E198" s="623">
        <v>15</v>
      </c>
      <c r="F198" s="714" t="str">
        <f t="shared" si="66"/>
        <v>1</v>
      </c>
      <c r="G198" s="750"/>
      <c r="H198" s="750"/>
      <c r="I198" s="750"/>
      <c r="J198" s="750"/>
      <c r="K198" s="750"/>
      <c r="L198" s="750"/>
      <c r="M198" s="750"/>
      <c r="N198" s="750"/>
      <c r="O198" s="750"/>
      <c r="P198" s="750"/>
      <c r="Q198" s="719"/>
      <c r="R198" s="719"/>
      <c r="S198" s="750"/>
      <c r="T198" s="645" t="b">
        <f t="shared" si="67"/>
        <v>1</v>
      </c>
      <c r="U198" s="1016"/>
      <c r="V198" s="1016"/>
      <c r="W198" s="1016"/>
      <c r="X198" s="1382"/>
      <c r="Y198" s="1016"/>
      <c r="Z198" s="1382"/>
      <c r="AA198" s="726"/>
      <c r="AB198" s="388" t="str">
        <f>AB197&amp;".1"</f>
        <v>6.1</v>
      </c>
      <c r="AC198" s="389" t="s">
        <v>836</v>
      </c>
      <c r="AD198" s="388" t="s">
        <v>388</v>
      </c>
      <c r="AE198" s="1079">
        <f t="shared" ref="AE198:BB198" si="74">IF(AE184=0,0,AE212/AE184*100)</f>
        <v>0</v>
      </c>
      <c r="AF198" s="1079">
        <f t="shared" si="74"/>
        <v>0</v>
      </c>
      <c r="AG198" s="1079">
        <f t="shared" si="74"/>
        <v>0</v>
      </c>
      <c r="AH198" s="1079">
        <f t="shared" si="74"/>
        <v>0</v>
      </c>
      <c r="AI198" s="217">
        <f t="shared" si="74"/>
        <v>0</v>
      </c>
      <c r="AJ198" s="1065">
        <f t="shared" si="74"/>
        <v>0</v>
      </c>
      <c r="AK198" s="1065">
        <f t="shared" si="74"/>
        <v>0</v>
      </c>
      <c r="AL198" s="1079">
        <f t="shared" si="74"/>
        <v>0</v>
      </c>
      <c r="AM198" s="1079">
        <f t="shared" si="74"/>
        <v>0</v>
      </c>
      <c r="AN198" s="1079">
        <f t="shared" si="74"/>
        <v>0</v>
      </c>
      <c r="AO198" s="1079">
        <f t="shared" si="74"/>
        <v>0</v>
      </c>
      <c r="AP198" s="1079">
        <f t="shared" si="74"/>
        <v>0</v>
      </c>
      <c r="AQ198" s="1079">
        <f t="shared" si="74"/>
        <v>0</v>
      </c>
      <c r="AR198" s="1079">
        <f t="shared" si="74"/>
        <v>0</v>
      </c>
      <c r="AS198" s="217">
        <f t="shared" si="74"/>
        <v>0</v>
      </c>
      <c r="AT198" s="1065">
        <f t="shared" si="74"/>
        <v>0</v>
      </c>
      <c r="AU198" s="1065">
        <f t="shared" si="74"/>
        <v>0</v>
      </c>
      <c r="AV198" s="1079">
        <f t="shared" si="74"/>
        <v>0</v>
      </c>
      <c r="AW198" s="1079">
        <f t="shared" si="74"/>
        <v>0</v>
      </c>
      <c r="AX198" s="1079">
        <f t="shared" si="74"/>
        <v>0</v>
      </c>
      <c r="AY198" s="1079">
        <f t="shared" si="74"/>
        <v>0</v>
      </c>
      <c r="AZ198" s="1079">
        <f t="shared" si="74"/>
        <v>0</v>
      </c>
      <c r="BA198" s="1079">
        <f t="shared" si="74"/>
        <v>0</v>
      </c>
      <c r="BB198" s="1079">
        <f t="shared" si="74"/>
        <v>0</v>
      </c>
      <c r="BC198" s="1106"/>
      <c r="BD198" s="726"/>
      <c r="BE198" s="726"/>
      <c r="BF198" s="902" t="s">
        <v>934</v>
      </c>
    </row>
    <row r="199" spans="1:58" s="1057" customFormat="1" ht="14.25" customHeight="1">
      <c r="A199" s="769"/>
      <c r="B199" s="718"/>
      <c r="C199" s="1016"/>
      <c r="D199" s="1016"/>
      <c r="E199" s="623">
        <v>15</v>
      </c>
      <c r="F199" s="714" t="str">
        <f t="shared" si="66"/>
        <v>1</v>
      </c>
      <c r="G199" s="750"/>
      <c r="H199" s="750"/>
      <c r="I199" s="750"/>
      <c r="J199" s="750"/>
      <c r="K199" s="750"/>
      <c r="L199" s="750"/>
      <c r="M199" s="750"/>
      <c r="N199" s="750"/>
      <c r="O199" s="750"/>
      <c r="P199" s="750"/>
      <c r="Q199" s="719"/>
      <c r="R199" s="719"/>
      <c r="S199" s="750"/>
      <c r="T199" s="645" t="b">
        <f t="shared" si="67"/>
        <v>1</v>
      </c>
      <c r="U199" s="1016"/>
      <c r="V199" s="1016"/>
      <c r="W199" s="1016"/>
      <c r="X199" s="1382"/>
      <c r="Y199" s="1016"/>
      <c r="Z199" s="1382"/>
      <c r="AA199" s="726"/>
      <c r="AB199" s="388" t="str">
        <f>AB197&amp;".2"</f>
        <v>6.2</v>
      </c>
      <c r="AC199" s="389" t="s">
        <v>839</v>
      </c>
      <c r="AD199" s="388" t="s">
        <v>388</v>
      </c>
      <c r="AE199" s="1079">
        <f t="shared" ref="AE199:BB199" si="75">IF(AE185=0,0,AE213/AE185*100)</f>
        <v>0</v>
      </c>
      <c r="AF199" s="1079">
        <f t="shared" si="75"/>
        <v>0</v>
      </c>
      <c r="AG199" s="1079">
        <f t="shared" si="75"/>
        <v>0</v>
      </c>
      <c r="AH199" s="1079">
        <f t="shared" si="75"/>
        <v>0</v>
      </c>
      <c r="AI199" s="217">
        <f t="shared" si="75"/>
        <v>0</v>
      </c>
      <c r="AJ199" s="1065">
        <f t="shared" si="75"/>
        <v>0</v>
      </c>
      <c r="AK199" s="1065">
        <f t="shared" si="75"/>
        <v>0</v>
      </c>
      <c r="AL199" s="1079">
        <f t="shared" si="75"/>
        <v>0</v>
      </c>
      <c r="AM199" s="1079">
        <f t="shared" si="75"/>
        <v>0</v>
      </c>
      <c r="AN199" s="1079">
        <f t="shared" si="75"/>
        <v>0</v>
      </c>
      <c r="AO199" s="1079">
        <f t="shared" si="75"/>
        <v>0</v>
      </c>
      <c r="AP199" s="1079">
        <f t="shared" si="75"/>
        <v>0</v>
      </c>
      <c r="AQ199" s="1079">
        <f t="shared" si="75"/>
        <v>0</v>
      </c>
      <c r="AR199" s="1079">
        <f t="shared" si="75"/>
        <v>0</v>
      </c>
      <c r="AS199" s="217">
        <f t="shared" si="75"/>
        <v>0</v>
      </c>
      <c r="AT199" s="1065">
        <f t="shared" si="75"/>
        <v>0</v>
      </c>
      <c r="AU199" s="1065">
        <f t="shared" si="75"/>
        <v>0</v>
      </c>
      <c r="AV199" s="1079">
        <f t="shared" si="75"/>
        <v>0</v>
      </c>
      <c r="AW199" s="1079">
        <f t="shared" si="75"/>
        <v>0</v>
      </c>
      <c r="AX199" s="1079">
        <f t="shared" si="75"/>
        <v>0</v>
      </c>
      <c r="AY199" s="1079">
        <f t="shared" si="75"/>
        <v>0</v>
      </c>
      <c r="AZ199" s="1079">
        <f t="shared" si="75"/>
        <v>0</v>
      </c>
      <c r="BA199" s="1079">
        <f t="shared" si="75"/>
        <v>0</v>
      </c>
      <c r="BB199" s="1079">
        <f t="shared" si="75"/>
        <v>0</v>
      </c>
      <c r="BC199" s="1106"/>
      <c r="BD199" s="726"/>
      <c r="BE199" s="726"/>
      <c r="BF199" s="902" t="s">
        <v>935</v>
      </c>
    </row>
    <row r="200" spans="1:58" s="1057" customFormat="1" ht="14.25" customHeight="1">
      <c r="A200" s="769"/>
      <c r="B200" s="718"/>
      <c r="C200" s="1016"/>
      <c r="D200" s="1016"/>
      <c r="E200" s="623">
        <v>15</v>
      </c>
      <c r="F200" s="714" t="str">
        <f t="shared" si="66"/>
        <v>1</v>
      </c>
      <c r="G200" s="750"/>
      <c r="H200" s="750"/>
      <c r="I200" s="750"/>
      <c r="J200" s="750"/>
      <c r="K200" s="750"/>
      <c r="L200" s="750"/>
      <c r="M200" s="750"/>
      <c r="N200" s="750"/>
      <c r="O200" s="750"/>
      <c r="P200" s="750"/>
      <c r="Q200" s="719"/>
      <c r="R200" s="719"/>
      <c r="S200" s="750"/>
      <c r="T200" s="645" t="b">
        <f t="shared" si="67"/>
        <v>1</v>
      </c>
      <c r="U200" s="1016"/>
      <c r="V200" s="1016"/>
      <c r="W200" s="1016"/>
      <c r="X200" s="1382"/>
      <c r="Y200" s="1016"/>
      <c r="Z200" s="1382"/>
      <c r="AA200" s="726"/>
      <c r="AB200" s="388" t="str">
        <f>AB197&amp;".3"</f>
        <v>6.3</v>
      </c>
      <c r="AC200" s="389" t="s">
        <v>841</v>
      </c>
      <c r="AD200" s="388" t="s">
        <v>388</v>
      </c>
      <c r="AE200" s="1079">
        <f t="shared" ref="AE200:BB200" si="76">IF(AE186=0,0,AE214/AE186*100)</f>
        <v>0</v>
      </c>
      <c r="AF200" s="1079">
        <f t="shared" si="76"/>
        <v>0</v>
      </c>
      <c r="AG200" s="1079">
        <f t="shared" si="76"/>
        <v>0</v>
      </c>
      <c r="AH200" s="1079">
        <f t="shared" si="76"/>
        <v>0</v>
      </c>
      <c r="AI200" s="217">
        <f t="shared" si="76"/>
        <v>0</v>
      </c>
      <c r="AJ200" s="1065">
        <f t="shared" si="76"/>
        <v>0</v>
      </c>
      <c r="AK200" s="1065">
        <f t="shared" si="76"/>
        <v>0</v>
      </c>
      <c r="AL200" s="1079">
        <f t="shared" si="76"/>
        <v>0</v>
      </c>
      <c r="AM200" s="1079">
        <f t="shared" si="76"/>
        <v>0</v>
      </c>
      <c r="AN200" s="1079">
        <f t="shared" si="76"/>
        <v>0</v>
      </c>
      <c r="AO200" s="1079">
        <f t="shared" si="76"/>
        <v>0</v>
      </c>
      <c r="AP200" s="1079">
        <f t="shared" si="76"/>
        <v>0</v>
      </c>
      <c r="AQ200" s="1079">
        <f t="shared" si="76"/>
        <v>0</v>
      </c>
      <c r="AR200" s="1079">
        <f t="shared" si="76"/>
        <v>0</v>
      </c>
      <c r="AS200" s="217">
        <f t="shared" si="76"/>
        <v>0</v>
      </c>
      <c r="AT200" s="1065">
        <f t="shared" si="76"/>
        <v>0</v>
      </c>
      <c r="AU200" s="1065">
        <f t="shared" si="76"/>
        <v>0</v>
      </c>
      <c r="AV200" s="1079">
        <f t="shared" si="76"/>
        <v>0</v>
      </c>
      <c r="AW200" s="1079">
        <f t="shared" si="76"/>
        <v>0</v>
      </c>
      <c r="AX200" s="1079">
        <f t="shared" si="76"/>
        <v>0</v>
      </c>
      <c r="AY200" s="1079">
        <f t="shared" si="76"/>
        <v>0</v>
      </c>
      <c r="AZ200" s="1079">
        <f t="shared" si="76"/>
        <v>0</v>
      </c>
      <c r="BA200" s="1079">
        <f t="shared" si="76"/>
        <v>0</v>
      </c>
      <c r="BB200" s="1079">
        <f t="shared" si="76"/>
        <v>0</v>
      </c>
      <c r="BC200" s="1106"/>
      <c r="BD200" s="726"/>
      <c r="BE200" s="726"/>
      <c r="BF200" s="902" t="s">
        <v>936</v>
      </c>
    </row>
    <row r="201" spans="1:58" s="1057" customFormat="1" ht="14.25" customHeight="1">
      <c r="A201" s="769"/>
      <c r="B201" s="718"/>
      <c r="C201" s="1016"/>
      <c r="D201" s="1016"/>
      <c r="E201" s="623">
        <v>15</v>
      </c>
      <c r="F201" s="714" t="str">
        <f t="shared" si="66"/>
        <v>1</v>
      </c>
      <c r="G201" s="750"/>
      <c r="H201" s="750"/>
      <c r="I201" s="750"/>
      <c r="J201" s="750"/>
      <c r="K201" s="750"/>
      <c r="L201" s="750"/>
      <c r="M201" s="750"/>
      <c r="N201" s="750"/>
      <c r="O201" s="750"/>
      <c r="P201" s="750"/>
      <c r="Q201" s="719"/>
      <c r="R201" s="719"/>
      <c r="S201" s="750"/>
      <c r="T201" s="645" t="b">
        <f t="shared" si="67"/>
        <v>1</v>
      </c>
      <c r="U201" s="1016"/>
      <c r="V201" s="1016"/>
      <c r="W201" s="1016"/>
      <c r="X201" s="1382"/>
      <c r="Y201" s="1016"/>
      <c r="Z201" s="1382"/>
      <c r="AA201" s="726"/>
      <c r="AB201" s="388" t="str">
        <f>AB197&amp;".4"</f>
        <v>6.4</v>
      </c>
      <c r="AC201" s="389" t="s">
        <v>843</v>
      </c>
      <c r="AD201" s="388" t="s">
        <v>388</v>
      </c>
      <c r="AE201" s="1079">
        <f t="shared" ref="AE201:BB201" si="77">IF(AE187=0,0,AE215/AE187*100)</f>
        <v>0</v>
      </c>
      <c r="AF201" s="1079">
        <f t="shared" si="77"/>
        <v>0</v>
      </c>
      <c r="AG201" s="1079">
        <f t="shared" si="77"/>
        <v>0</v>
      </c>
      <c r="AH201" s="1079">
        <f t="shared" si="77"/>
        <v>0</v>
      </c>
      <c r="AI201" s="217">
        <f t="shared" si="77"/>
        <v>0</v>
      </c>
      <c r="AJ201" s="1065">
        <f t="shared" si="77"/>
        <v>0</v>
      </c>
      <c r="AK201" s="1065">
        <f t="shared" si="77"/>
        <v>0</v>
      </c>
      <c r="AL201" s="1079">
        <f t="shared" si="77"/>
        <v>0</v>
      </c>
      <c r="AM201" s="1079">
        <f t="shared" si="77"/>
        <v>0</v>
      </c>
      <c r="AN201" s="1079">
        <f t="shared" si="77"/>
        <v>0</v>
      </c>
      <c r="AO201" s="1079">
        <f t="shared" si="77"/>
        <v>0</v>
      </c>
      <c r="AP201" s="1079">
        <f t="shared" si="77"/>
        <v>0</v>
      </c>
      <c r="AQ201" s="1079">
        <f t="shared" si="77"/>
        <v>0</v>
      </c>
      <c r="AR201" s="1079">
        <f t="shared" si="77"/>
        <v>0</v>
      </c>
      <c r="AS201" s="217">
        <f t="shared" si="77"/>
        <v>0</v>
      </c>
      <c r="AT201" s="1065">
        <f t="shared" si="77"/>
        <v>0</v>
      </c>
      <c r="AU201" s="1065">
        <f t="shared" si="77"/>
        <v>0</v>
      </c>
      <c r="AV201" s="1079">
        <f t="shared" si="77"/>
        <v>0</v>
      </c>
      <c r="AW201" s="1079">
        <f t="shared" si="77"/>
        <v>0</v>
      </c>
      <c r="AX201" s="1079">
        <f t="shared" si="77"/>
        <v>0</v>
      </c>
      <c r="AY201" s="1079">
        <f t="shared" si="77"/>
        <v>0</v>
      </c>
      <c r="AZ201" s="1079">
        <f t="shared" si="77"/>
        <v>0</v>
      </c>
      <c r="BA201" s="1079">
        <f t="shared" si="77"/>
        <v>0</v>
      </c>
      <c r="BB201" s="1079">
        <f t="shared" si="77"/>
        <v>0</v>
      </c>
      <c r="BC201" s="1106"/>
      <c r="BD201" s="726"/>
      <c r="BE201" s="726"/>
      <c r="BF201" s="902" t="s">
        <v>937</v>
      </c>
    </row>
    <row r="202" spans="1:58" s="1057" customFormat="1" ht="14.25" customHeight="1">
      <c r="A202" s="769"/>
      <c r="B202" s="718"/>
      <c r="C202" s="1016"/>
      <c r="D202" s="1016"/>
      <c r="E202" s="623">
        <v>15</v>
      </c>
      <c r="F202" s="714" t="str">
        <f t="shared" si="66"/>
        <v>1</v>
      </c>
      <c r="G202" s="750"/>
      <c r="H202" s="750"/>
      <c r="I202" s="750"/>
      <c r="J202" s="750"/>
      <c r="K202" s="750"/>
      <c r="L202" s="750"/>
      <c r="M202" s="750"/>
      <c r="N202" s="750"/>
      <c r="O202" s="750"/>
      <c r="P202" s="750"/>
      <c r="Q202" s="719"/>
      <c r="R202" s="719"/>
      <c r="S202" s="750"/>
      <c r="T202" s="645" t="b">
        <f t="shared" si="67"/>
        <v>1</v>
      </c>
      <c r="U202" s="1016"/>
      <c r="V202" s="1016"/>
      <c r="W202" s="1016"/>
      <c r="X202" s="1382"/>
      <c r="Y202" s="1016"/>
      <c r="Z202" s="1382"/>
      <c r="AA202" s="726"/>
      <c r="AB202" s="388" t="str">
        <f>AB201&amp;".1"</f>
        <v>6.4.1</v>
      </c>
      <c r="AC202" s="390" t="s">
        <v>846</v>
      </c>
      <c r="AD202" s="388" t="s">
        <v>388</v>
      </c>
      <c r="AE202" s="1079">
        <f t="shared" ref="AE202:BB202" si="78">IF(AE188=0,0,AE216/AE188*100)</f>
        <v>0</v>
      </c>
      <c r="AF202" s="1079">
        <f t="shared" si="78"/>
        <v>0</v>
      </c>
      <c r="AG202" s="1079">
        <f t="shared" si="78"/>
        <v>0</v>
      </c>
      <c r="AH202" s="1079">
        <f t="shared" si="78"/>
        <v>0</v>
      </c>
      <c r="AI202" s="217">
        <f t="shared" si="78"/>
        <v>0</v>
      </c>
      <c r="AJ202" s="1065">
        <f t="shared" si="78"/>
        <v>0</v>
      </c>
      <c r="AK202" s="1065">
        <f t="shared" si="78"/>
        <v>0</v>
      </c>
      <c r="AL202" s="1079">
        <f t="shared" si="78"/>
        <v>0</v>
      </c>
      <c r="AM202" s="1079">
        <f t="shared" si="78"/>
        <v>0</v>
      </c>
      <c r="AN202" s="1079">
        <f t="shared" si="78"/>
        <v>0</v>
      </c>
      <c r="AO202" s="1079">
        <f t="shared" si="78"/>
        <v>0</v>
      </c>
      <c r="AP202" s="1079">
        <f t="shared" si="78"/>
        <v>0</v>
      </c>
      <c r="AQ202" s="1079">
        <f t="shared" si="78"/>
        <v>0</v>
      </c>
      <c r="AR202" s="1079">
        <f t="shared" si="78"/>
        <v>0</v>
      </c>
      <c r="AS202" s="217">
        <f t="shared" si="78"/>
        <v>0</v>
      </c>
      <c r="AT202" s="1065">
        <f t="shared" si="78"/>
        <v>0</v>
      </c>
      <c r="AU202" s="1065">
        <f t="shared" si="78"/>
        <v>0</v>
      </c>
      <c r="AV202" s="1079">
        <f t="shared" si="78"/>
        <v>0</v>
      </c>
      <c r="AW202" s="1079">
        <f t="shared" si="78"/>
        <v>0</v>
      </c>
      <c r="AX202" s="1079">
        <f t="shared" si="78"/>
        <v>0</v>
      </c>
      <c r="AY202" s="1079">
        <f t="shared" si="78"/>
        <v>0</v>
      </c>
      <c r="AZ202" s="1079">
        <f t="shared" si="78"/>
        <v>0</v>
      </c>
      <c r="BA202" s="1079">
        <f t="shared" si="78"/>
        <v>0</v>
      </c>
      <c r="BB202" s="1079">
        <f t="shared" si="78"/>
        <v>0</v>
      </c>
      <c r="BC202" s="1106"/>
      <c r="BD202" s="726"/>
      <c r="BE202" s="726"/>
      <c r="BF202" s="902" t="s">
        <v>938</v>
      </c>
    </row>
    <row r="203" spans="1:58" s="1057" customFormat="1" ht="14.25" customHeight="1">
      <c r="A203" s="769"/>
      <c r="B203" s="718"/>
      <c r="C203" s="1016"/>
      <c r="D203" s="1016"/>
      <c r="E203" s="623">
        <v>15</v>
      </c>
      <c r="F203" s="714" t="str">
        <f t="shared" si="66"/>
        <v>1</v>
      </c>
      <c r="G203" s="750"/>
      <c r="H203" s="750"/>
      <c r="I203" s="750"/>
      <c r="J203" s="750"/>
      <c r="K203" s="750"/>
      <c r="L203" s="750"/>
      <c r="M203" s="750"/>
      <c r="N203" s="750"/>
      <c r="O203" s="750"/>
      <c r="P203" s="750"/>
      <c r="Q203" s="719"/>
      <c r="R203" s="719"/>
      <c r="S203" s="750"/>
      <c r="T203" s="645" t="b">
        <f t="shared" si="67"/>
        <v>1</v>
      </c>
      <c r="U203" s="1016"/>
      <c r="V203" s="1016"/>
      <c r="W203" s="1016"/>
      <c r="X203" s="1382"/>
      <c r="Y203" s="1016"/>
      <c r="Z203" s="1382"/>
      <c r="AA203" s="726"/>
      <c r="AB203" s="388" t="str">
        <f>AB201&amp;".2"</f>
        <v>6.4.2</v>
      </c>
      <c r="AC203" s="390" t="s">
        <v>849</v>
      </c>
      <c r="AD203" s="388" t="s">
        <v>388</v>
      </c>
      <c r="AE203" s="1079">
        <f t="shared" ref="AE203:BB203" si="79">IF(AE189=0,0,AE217/AE189*100)</f>
        <v>0</v>
      </c>
      <c r="AF203" s="1079">
        <f t="shared" si="79"/>
        <v>0</v>
      </c>
      <c r="AG203" s="1079">
        <f t="shared" si="79"/>
        <v>0</v>
      </c>
      <c r="AH203" s="1079">
        <f t="shared" si="79"/>
        <v>0</v>
      </c>
      <c r="AI203" s="217">
        <f t="shared" si="79"/>
        <v>0</v>
      </c>
      <c r="AJ203" s="1065">
        <f t="shared" si="79"/>
        <v>0</v>
      </c>
      <c r="AK203" s="1065">
        <f t="shared" si="79"/>
        <v>0</v>
      </c>
      <c r="AL203" s="1079">
        <f t="shared" si="79"/>
        <v>0</v>
      </c>
      <c r="AM203" s="1079">
        <f t="shared" si="79"/>
        <v>0</v>
      </c>
      <c r="AN203" s="1079">
        <f t="shared" si="79"/>
        <v>0</v>
      </c>
      <c r="AO203" s="1079">
        <f t="shared" si="79"/>
        <v>0</v>
      </c>
      <c r="AP203" s="1079">
        <f t="shared" si="79"/>
        <v>0</v>
      </c>
      <c r="AQ203" s="1079">
        <f t="shared" si="79"/>
        <v>0</v>
      </c>
      <c r="AR203" s="1079">
        <f t="shared" si="79"/>
        <v>0</v>
      </c>
      <c r="AS203" s="217">
        <f t="shared" si="79"/>
        <v>0</v>
      </c>
      <c r="AT203" s="1065">
        <f t="shared" si="79"/>
        <v>0</v>
      </c>
      <c r="AU203" s="1065">
        <f t="shared" si="79"/>
        <v>0</v>
      </c>
      <c r="AV203" s="1079">
        <f t="shared" si="79"/>
        <v>0</v>
      </c>
      <c r="AW203" s="1079">
        <f t="shared" si="79"/>
        <v>0</v>
      </c>
      <c r="AX203" s="1079">
        <f t="shared" si="79"/>
        <v>0</v>
      </c>
      <c r="AY203" s="1079">
        <f t="shared" si="79"/>
        <v>0</v>
      </c>
      <c r="AZ203" s="1079">
        <f t="shared" si="79"/>
        <v>0</v>
      </c>
      <c r="BA203" s="1079">
        <f t="shared" si="79"/>
        <v>0</v>
      </c>
      <c r="BB203" s="1079">
        <f t="shared" si="79"/>
        <v>0</v>
      </c>
      <c r="BC203" s="1106"/>
      <c r="BD203" s="726"/>
      <c r="BE203" s="726"/>
      <c r="BF203" s="902" t="s">
        <v>939</v>
      </c>
    </row>
    <row r="204" spans="1:58" s="1057" customFormat="1" ht="14.25" customHeight="1">
      <c r="A204" s="769"/>
      <c r="B204" s="718"/>
      <c r="C204" s="1016"/>
      <c r="D204" s="1016"/>
      <c r="E204" s="623">
        <v>15</v>
      </c>
      <c r="F204" s="714" t="str">
        <f t="shared" si="66"/>
        <v>1</v>
      </c>
      <c r="G204" s="750"/>
      <c r="H204" s="750"/>
      <c r="I204" s="750"/>
      <c r="J204" s="750"/>
      <c r="K204" s="750"/>
      <c r="L204" s="750"/>
      <c r="M204" s="750"/>
      <c r="N204" s="750"/>
      <c r="O204" s="750"/>
      <c r="P204" s="750"/>
      <c r="Q204" s="719"/>
      <c r="R204" s="719"/>
      <c r="S204" s="750"/>
      <c r="T204" s="645" t="b">
        <f t="shared" si="67"/>
        <v>1</v>
      </c>
      <c r="U204" s="1016"/>
      <c r="V204" s="1016"/>
      <c r="W204" s="1016"/>
      <c r="X204" s="1382"/>
      <c r="Y204" s="1016"/>
      <c r="Z204" s="1382"/>
      <c r="AA204" s="726"/>
      <c r="AB204" s="388" t="str">
        <f>AB201&amp;".3"</f>
        <v>6.4.3</v>
      </c>
      <c r="AC204" s="390" t="s">
        <v>852</v>
      </c>
      <c r="AD204" s="388" t="s">
        <v>388</v>
      </c>
      <c r="AE204" s="1079">
        <f t="shared" ref="AE204:BB204" si="80">IF(AE190=0,0,AE218/AE190*100)</f>
        <v>0</v>
      </c>
      <c r="AF204" s="1079">
        <f t="shared" si="80"/>
        <v>0</v>
      </c>
      <c r="AG204" s="1079">
        <f t="shared" si="80"/>
        <v>0</v>
      </c>
      <c r="AH204" s="1079">
        <f t="shared" si="80"/>
        <v>0</v>
      </c>
      <c r="AI204" s="217">
        <f t="shared" si="80"/>
        <v>0</v>
      </c>
      <c r="AJ204" s="1065">
        <f t="shared" si="80"/>
        <v>0</v>
      </c>
      <c r="AK204" s="1065">
        <f t="shared" si="80"/>
        <v>0</v>
      </c>
      <c r="AL204" s="1079">
        <f t="shared" si="80"/>
        <v>0</v>
      </c>
      <c r="AM204" s="1079">
        <f t="shared" si="80"/>
        <v>0</v>
      </c>
      <c r="AN204" s="1079">
        <f t="shared" si="80"/>
        <v>0</v>
      </c>
      <c r="AO204" s="1079">
        <f t="shared" si="80"/>
        <v>0</v>
      </c>
      <c r="AP204" s="1079">
        <f t="shared" si="80"/>
        <v>0</v>
      </c>
      <c r="AQ204" s="1079">
        <f t="shared" si="80"/>
        <v>0</v>
      </c>
      <c r="AR204" s="1079">
        <f t="shared" si="80"/>
        <v>0</v>
      </c>
      <c r="AS204" s="217">
        <f t="shared" si="80"/>
        <v>0</v>
      </c>
      <c r="AT204" s="1065">
        <f t="shared" si="80"/>
        <v>0</v>
      </c>
      <c r="AU204" s="1065">
        <f t="shared" si="80"/>
        <v>0</v>
      </c>
      <c r="AV204" s="1079">
        <f t="shared" si="80"/>
        <v>0</v>
      </c>
      <c r="AW204" s="1079">
        <f t="shared" si="80"/>
        <v>0</v>
      </c>
      <c r="AX204" s="1079">
        <f t="shared" si="80"/>
        <v>0</v>
      </c>
      <c r="AY204" s="1079">
        <f t="shared" si="80"/>
        <v>0</v>
      </c>
      <c r="AZ204" s="1079">
        <f t="shared" si="80"/>
        <v>0</v>
      </c>
      <c r="BA204" s="1079">
        <f t="shared" si="80"/>
        <v>0</v>
      </c>
      <c r="BB204" s="1079">
        <f t="shared" si="80"/>
        <v>0</v>
      </c>
      <c r="BC204" s="1106"/>
      <c r="BD204" s="726"/>
      <c r="BE204" s="726"/>
      <c r="BF204" s="902" t="s">
        <v>940</v>
      </c>
    </row>
    <row r="205" spans="1:58" s="1057" customFormat="1" ht="14.25" customHeight="1">
      <c r="A205" s="769"/>
      <c r="B205" s="718"/>
      <c r="C205" s="1016"/>
      <c r="D205" s="1016"/>
      <c r="E205" s="623">
        <v>15</v>
      </c>
      <c r="F205" s="714" t="str">
        <f t="shared" si="66"/>
        <v>1</v>
      </c>
      <c r="G205" s="750"/>
      <c r="H205" s="750"/>
      <c r="I205" s="750"/>
      <c r="J205" s="750"/>
      <c r="K205" s="750"/>
      <c r="L205" s="750"/>
      <c r="M205" s="750"/>
      <c r="N205" s="750"/>
      <c r="O205" s="750"/>
      <c r="P205" s="750"/>
      <c r="Q205" s="719"/>
      <c r="R205" s="719"/>
      <c r="S205" s="750"/>
      <c r="T205" s="645" t="b">
        <f t="shared" si="67"/>
        <v>1</v>
      </c>
      <c r="U205" s="1016"/>
      <c r="V205" s="1016"/>
      <c r="W205" s="1016"/>
      <c r="X205" s="1382"/>
      <c r="Y205" s="1016"/>
      <c r="Z205" s="1382"/>
      <c r="AA205" s="726"/>
      <c r="AB205" s="388" t="str">
        <f>AB201&amp;".4"</f>
        <v>6.4.4</v>
      </c>
      <c r="AC205" s="390" t="s">
        <v>855</v>
      </c>
      <c r="AD205" s="388" t="s">
        <v>388</v>
      </c>
      <c r="AE205" s="1079">
        <f t="shared" ref="AE205:BB205" si="81">IF(AE191=0,0,AE219/AE191*100)</f>
        <v>0</v>
      </c>
      <c r="AF205" s="1079">
        <f t="shared" si="81"/>
        <v>0</v>
      </c>
      <c r="AG205" s="1079">
        <f t="shared" si="81"/>
        <v>0</v>
      </c>
      <c r="AH205" s="1079">
        <f t="shared" si="81"/>
        <v>0</v>
      </c>
      <c r="AI205" s="217">
        <f t="shared" si="81"/>
        <v>0</v>
      </c>
      <c r="AJ205" s="1065">
        <f t="shared" si="81"/>
        <v>0</v>
      </c>
      <c r="AK205" s="1065">
        <f t="shared" si="81"/>
        <v>0</v>
      </c>
      <c r="AL205" s="1079">
        <f t="shared" si="81"/>
        <v>0</v>
      </c>
      <c r="AM205" s="1079">
        <f t="shared" si="81"/>
        <v>0</v>
      </c>
      <c r="AN205" s="1079">
        <f t="shared" si="81"/>
        <v>0</v>
      </c>
      <c r="AO205" s="1079">
        <f t="shared" si="81"/>
        <v>0</v>
      </c>
      <c r="AP205" s="1079">
        <f t="shared" si="81"/>
        <v>0</v>
      </c>
      <c r="AQ205" s="1079">
        <f t="shared" si="81"/>
        <v>0</v>
      </c>
      <c r="AR205" s="1079">
        <f t="shared" si="81"/>
        <v>0</v>
      </c>
      <c r="AS205" s="217">
        <f t="shared" si="81"/>
        <v>0</v>
      </c>
      <c r="AT205" s="1065">
        <f t="shared" si="81"/>
        <v>0</v>
      </c>
      <c r="AU205" s="1065">
        <f t="shared" si="81"/>
        <v>0</v>
      </c>
      <c r="AV205" s="1079">
        <f t="shared" si="81"/>
        <v>0</v>
      </c>
      <c r="AW205" s="1079">
        <f t="shared" si="81"/>
        <v>0</v>
      </c>
      <c r="AX205" s="1079">
        <f t="shared" si="81"/>
        <v>0</v>
      </c>
      <c r="AY205" s="1079">
        <f t="shared" si="81"/>
        <v>0</v>
      </c>
      <c r="AZ205" s="1079">
        <f t="shared" si="81"/>
        <v>0</v>
      </c>
      <c r="BA205" s="1079">
        <f t="shared" si="81"/>
        <v>0</v>
      </c>
      <c r="BB205" s="1079">
        <f t="shared" si="81"/>
        <v>0</v>
      </c>
      <c r="BC205" s="1106"/>
      <c r="BD205" s="726"/>
      <c r="BE205" s="726"/>
      <c r="BF205" s="902" t="s">
        <v>941</v>
      </c>
    </row>
    <row r="206" spans="1:58" s="1057" customFormat="1" ht="14.25" customHeight="1">
      <c r="A206" s="769"/>
      <c r="B206" s="718"/>
      <c r="C206" s="1016"/>
      <c r="D206" s="1016"/>
      <c r="E206" s="623">
        <v>15</v>
      </c>
      <c r="F206" s="714" t="str">
        <f t="shared" si="66"/>
        <v>1</v>
      </c>
      <c r="G206" s="750"/>
      <c r="H206" s="750"/>
      <c r="I206" s="750"/>
      <c r="J206" s="750"/>
      <c r="K206" s="750"/>
      <c r="L206" s="750"/>
      <c r="M206" s="750"/>
      <c r="N206" s="750"/>
      <c r="O206" s="750"/>
      <c r="P206" s="750"/>
      <c r="Q206" s="719"/>
      <c r="R206" s="719"/>
      <c r="S206" s="750"/>
      <c r="T206" s="645" t="b">
        <f t="shared" si="67"/>
        <v>1</v>
      </c>
      <c r="U206" s="1016"/>
      <c r="V206" s="1016"/>
      <c r="W206" s="1016"/>
      <c r="X206" s="1382"/>
      <c r="Y206" s="1016"/>
      <c r="Z206" s="1382"/>
      <c r="AA206" s="726"/>
      <c r="AB206" s="388" t="str">
        <f>AB201&amp;".5"</f>
        <v>6.4.5</v>
      </c>
      <c r="AC206" s="390" t="s">
        <v>858</v>
      </c>
      <c r="AD206" s="388" t="s">
        <v>388</v>
      </c>
      <c r="AE206" s="1079">
        <f t="shared" ref="AE206:BB206" si="82">IF(AE192=0,0,AE220/AE192*100)</f>
        <v>0</v>
      </c>
      <c r="AF206" s="1079">
        <f t="shared" si="82"/>
        <v>0</v>
      </c>
      <c r="AG206" s="1079">
        <f t="shared" si="82"/>
        <v>0</v>
      </c>
      <c r="AH206" s="1079">
        <f t="shared" si="82"/>
        <v>0</v>
      </c>
      <c r="AI206" s="217">
        <f t="shared" si="82"/>
        <v>0</v>
      </c>
      <c r="AJ206" s="1065">
        <f t="shared" si="82"/>
        <v>0</v>
      </c>
      <c r="AK206" s="1065">
        <f t="shared" si="82"/>
        <v>0</v>
      </c>
      <c r="AL206" s="1079">
        <f t="shared" si="82"/>
        <v>0</v>
      </c>
      <c r="AM206" s="1079">
        <f t="shared" si="82"/>
        <v>0</v>
      </c>
      <c r="AN206" s="1079">
        <f t="shared" si="82"/>
        <v>0</v>
      </c>
      <c r="AO206" s="1079">
        <f t="shared" si="82"/>
        <v>0</v>
      </c>
      <c r="AP206" s="1079">
        <f t="shared" si="82"/>
        <v>0</v>
      </c>
      <c r="AQ206" s="1079">
        <f t="shared" si="82"/>
        <v>0</v>
      </c>
      <c r="AR206" s="1079">
        <f t="shared" si="82"/>
        <v>0</v>
      </c>
      <c r="AS206" s="217">
        <f t="shared" si="82"/>
        <v>0</v>
      </c>
      <c r="AT206" s="1065">
        <f t="shared" si="82"/>
        <v>0</v>
      </c>
      <c r="AU206" s="1065">
        <f t="shared" si="82"/>
        <v>0</v>
      </c>
      <c r="AV206" s="1079">
        <f t="shared" si="82"/>
        <v>0</v>
      </c>
      <c r="AW206" s="1079">
        <f t="shared" si="82"/>
        <v>0</v>
      </c>
      <c r="AX206" s="1079">
        <f t="shared" si="82"/>
        <v>0</v>
      </c>
      <c r="AY206" s="1079">
        <f t="shared" si="82"/>
        <v>0</v>
      </c>
      <c r="AZ206" s="1079">
        <f t="shared" si="82"/>
        <v>0</v>
      </c>
      <c r="BA206" s="1079">
        <f t="shared" si="82"/>
        <v>0</v>
      </c>
      <c r="BB206" s="1079">
        <f t="shared" si="82"/>
        <v>0</v>
      </c>
      <c r="BC206" s="1106"/>
      <c r="BD206" s="726"/>
      <c r="BE206" s="726"/>
      <c r="BF206" s="902" t="s">
        <v>942</v>
      </c>
    </row>
    <row r="207" spans="1:58" s="1057" customFormat="1" ht="14.25" customHeight="1">
      <c r="A207" s="769"/>
      <c r="B207" s="718"/>
      <c r="C207" s="1016"/>
      <c r="D207" s="1016"/>
      <c r="E207" s="623">
        <v>15</v>
      </c>
      <c r="F207" s="714" t="str">
        <f t="shared" si="66"/>
        <v>1</v>
      </c>
      <c r="G207" s="750"/>
      <c r="H207" s="750"/>
      <c r="I207" s="750"/>
      <c r="J207" s="750"/>
      <c r="K207" s="750"/>
      <c r="L207" s="750"/>
      <c r="M207" s="750"/>
      <c r="N207" s="750"/>
      <c r="O207" s="750"/>
      <c r="P207" s="750"/>
      <c r="Q207" s="719"/>
      <c r="R207" s="719"/>
      <c r="S207" s="750"/>
      <c r="T207" s="645" t="b">
        <f t="shared" si="67"/>
        <v>1</v>
      </c>
      <c r="U207" s="1016"/>
      <c r="V207" s="1016"/>
      <c r="W207" s="1016"/>
      <c r="X207" s="1382"/>
      <c r="Y207" s="1016"/>
      <c r="Z207" s="1382"/>
      <c r="AA207" s="726"/>
      <c r="AB207" s="388" t="str">
        <f>AB197&amp;".5"</f>
        <v>6.5</v>
      </c>
      <c r="AC207" s="389" t="s">
        <v>861</v>
      </c>
      <c r="AD207" s="388" t="s">
        <v>388</v>
      </c>
      <c r="AE207" s="1079">
        <f t="shared" ref="AE207:BB207" si="83">IF(AE193=0,0,AE221/AE193*100)</f>
        <v>0</v>
      </c>
      <c r="AF207" s="1079">
        <f t="shared" si="83"/>
        <v>0</v>
      </c>
      <c r="AG207" s="1079">
        <f t="shared" si="83"/>
        <v>0</v>
      </c>
      <c r="AH207" s="1079">
        <f t="shared" si="83"/>
        <v>0</v>
      </c>
      <c r="AI207" s="217">
        <f t="shared" si="83"/>
        <v>0</v>
      </c>
      <c r="AJ207" s="1065">
        <f t="shared" si="83"/>
        <v>0</v>
      </c>
      <c r="AK207" s="1065">
        <f t="shared" si="83"/>
        <v>0</v>
      </c>
      <c r="AL207" s="1079">
        <f t="shared" si="83"/>
        <v>0</v>
      </c>
      <c r="AM207" s="1079">
        <f t="shared" si="83"/>
        <v>0</v>
      </c>
      <c r="AN207" s="1079">
        <f t="shared" si="83"/>
        <v>0</v>
      </c>
      <c r="AO207" s="1079">
        <f t="shared" si="83"/>
        <v>0</v>
      </c>
      <c r="AP207" s="1079">
        <f t="shared" si="83"/>
        <v>0</v>
      </c>
      <c r="AQ207" s="1079">
        <f t="shared" si="83"/>
        <v>0</v>
      </c>
      <c r="AR207" s="1079">
        <f t="shared" si="83"/>
        <v>0</v>
      </c>
      <c r="AS207" s="217">
        <f t="shared" si="83"/>
        <v>0</v>
      </c>
      <c r="AT207" s="1065">
        <f t="shared" si="83"/>
        <v>0</v>
      </c>
      <c r="AU207" s="1065">
        <f t="shared" si="83"/>
        <v>0</v>
      </c>
      <c r="AV207" s="1079">
        <f t="shared" si="83"/>
        <v>0</v>
      </c>
      <c r="AW207" s="1079">
        <f t="shared" si="83"/>
        <v>0</v>
      </c>
      <c r="AX207" s="1079">
        <f t="shared" si="83"/>
        <v>0</v>
      </c>
      <c r="AY207" s="1079">
        <f t="shared" si="83"/>
        <v>0</v>
      </c>
      <c r="AZ207" s="1079">
        <f t="shared" si="83"/>
        <v>0</v>
      </c>
      <c r="BA207" s="1079">
        <f t="shared" si="83"/>
        <v>0</v>
      </c>
      <c r="BB207" s="1079">
        <f t="shared" si="83"/>
        <v>0</v>
      </c>
      <c r="BC207" s="1106"/>
      <c r="BD207" s="726"/>
      <c r="BE207" s="726"/>
      <c r="BF207" s="902" t="s">
        <v>943</v>
      </c>
    </row>
    <row r="208" spans="1:58" s="1057" customFormat="1" ht="14.25" customHeight="1">
      <c r="A208" s="769"/>
      <c r="B208" s="718"/>
      <c r="C208" s="1016"/>
      <c r="D208" s="1016"/>
      <c r="E208" s="623">
        <v>15</v>
      </c>
      <c r="F208" s="714" t="str">
        <f t="shared" si="66"/>
        <v>1</v>
      </c>
      <c r="G208" s="750"/>
      <c r="H208" s="750"/>
      <c r="I208" s="750"/>
      <c r="J208" s="750"/>
      <c r="K208" s="750"/>
      <c r="L208" s="750"/>
      <c r="M208" s="750"/>
      <c r="N208" s="750"/>
      <c r="O208" s="750"/>
      <c r="P208" s="750"/>
      <c r="Q208" s="719"/>
      <c r="R208" s="719"/>
      <c r="S208" s="750"/>
      <c r="T208" s="645" t="b">
        <f t="shared" si="67"/>
        <v>1</v>
      </c>
      <c r="U208" s="1016"/>
      <c r="V208" s="1016"/>
      <c r="W208" s="1016"/>
      <c r="X208" s="1382"/>
      <c r="Y208" s="1016"/>
      <c r="Z208" s="1382"/>
      <c r="AA208" s="726"/>
      <c r="AB208" s="388" t="str">
        <f>AB197&amp;".6"</f>
        <v>6.6</v>
      </c>
      <c r="AC208" s="389" t="s">
        <v>864</v>
      </c>
      <c r="AD208" s="388" t="s">
        <v>388</v>
      </c>
      <c r="AE208" s="1079">
        <f t="shared" ref="AE208:BB208" si="84">IF(AE194=0,0,AE222/AE194*100)</f>
        <v>0</v>
      </c>
      <c r="AF208" s="1079">
        <f t="shared" si="84"/>
        <v>0</v>
      </c>
      <c r="AG208" s="1079">
        <f t="shared" si="84"/>
        <v>0</v>
      </c>
      <c r="AH208" s="1079">
        <f t="shared" si="84"/>
        <v>0</v>
      </c>
      <c r="AI208" s="217">
        <f t="shared" si="84"/>
        <v>0</v>
      </c>
      <c r="AJ208" s="1065">
        <f t="shared" si="84"/>
        <v>0</v>
      </c>
      <c r="AK208" s="1065">
        <f t="shared" si="84"/>
        <v>0</v>
      </c>
      <c r="AL208" s="1079">
        <f t="shared" si="84"/>
        <v>0</v>
      </c>
      <c r="AM208" s="1079">
        <f t="shared" si="84"/>
        <v>0</v>
      </c>
      <c r="AN208" s="1079">
        <f t="shared" si="84"/>
        <v>0</v>
      </c>
      <c r="AO208" s="1079">
        <f t="shared" si="84"/>
        <v>0</v>
      </c>
      <c r="AP208" s="1079">
        <f t="shared" si="84"/>
        <v>0</v>
      </c>
      <c r="AQ208" s="1079">
        <f t="shared" si="84"/>
        <v>0</v>
      </c>
      <c r="AR208" s="1079">
        <f t="shared" si="84"/>
        <v>0</v>
      </c>
      <c r="AS208" s="217">
        <f t="shared" si="84"/>
        <v>0</v>
      </c>
      <c r="AT208" s="1065">
        <f t="shared" si="84"/>
        <v>0</v>
      </c>
      <c r="AU208" s="1065">
        <f t="shared" si="84"/>
        <v>0</v>
      </c>
      <c r="AV208" s="1079">
        <f t="shared" si="84"/>
        <v>0</v>
      </c>
      <c r="AW208" s="1079">
        <f t="shared" si="84"/>
        <v>0</v>
      </c>
      <c r="AX208" s="1079">
        <f t="shared" si="84"/>
        <v>0</v>
      </c>
      <c r="AY208" s="1079">
        <f t="shared" si="84"/>
        <v>0</v>
      </c>
      <c r="AZ208" s="1079">
        <f t="shared" si="84"/>
        <v>0</v>
      </c>
      <c r="BA208" s="1079">
        <f t="shared" si="84"/>
        <v>0</v>
      </c>
      <c r="BB208" s="1079">
        <f t="shared" si="84"/>
        <v>0</v>
      </c>
      <c r="BC208" s="1106"/>
      <c r="BD208" s="726"/>
      <c r="BE208" s="726"/>
      <c r="BF208" s="902" t="s">
        <v>944</v>
      </c>
    </row>
    <row r="209" spans="1:58" s="1057" customFormat="1" ht="14.25" customHeight="1">
      <c r="A209" s="769"/>
      <c r="B209" s="718"/>
      <c r="C209" s="1016"/>
      <c r="D209" s="1016"/>
      <c r="E209" s="623">
        <v>15</v>
      </c>
      <c r="F209" s="714" t="str">
        <f t="shared" si="66"/>
        <v>1</v>
      </c>
      <c r="G209" s="750"/>
      <c r="H209" s="750"/>
      <c r="I209" s="750"/>
      <c r="J209" s="750"/>
      <c r="K209" s="750"/>
      <c r="L209" s="750"/>
      <c r="M209" s="750"/>
      <c r="N209" s="750"/>
      <c r="O209" s="750"/>
      <c r="P209" s="750"/>
      <c r="Q209" s="719"/>
      <c r="R209" s="719"/>
      <c r="S209" s="750"/>
      <c r="T209" s="645" t="b">
        <f t="shared" si="67"/>
        <v>1</v>
      </c>
      <c r="U209" s="1016"/>
      <c r="V209" s="1016"/>
      <c r="W209" s="1016"/>
      <c r="X209" s="1382"/>
      <c r="Y209" s="1016"/>
      <c r="Z209" s="1382"/>
      <c r="AA209" s="726"/>
      <c r="AB209" s="388" t="str">
        <f>AB197&amp;".7"</f>
        <v>6.7</v>
      </c>
      <c r="AC209" s="389" t="s">
        <v>867</v>
      </c>
      <c r="AD209" s="388" t="s">
        <v>388</v>
      </c>
      <c r="AE209" s="1079">
        <f t="shared" ref="AE209:BB209" si="85">IF(AE195=0,0,AE223/AE195*100)</f>
        <v>0</v>
      </c>
      <c r="AF209" s="1079">
        <f t="shared" si="85"/>
        <v>0</v>
      </c>
      <c r="AG209" s="1079">
        <f t="shared" si="85"/>
        <v>0</v>
      </c>
      <c r="AH209" s="1079">
        <f t="shared" si="85"/>
        <v>0</v>
      </c>
      <c r="AI209" s="217">
        <f t="shared" si="85"/>
        <v>0</v>
      </c>
      <c r="AJ209" s="1065">
        <f t="shared" si="85"/>
        <v>0</v>
      </c>
      <c r="AK209" s="1065">
        <f t="shared" si="85"/>
        <v>0</v>
      </c>
      <c r="AL209" s="1079">
        <f t="shared" si="85"/>
        <v>0</v>
      </c>
      <c r="AM209" s="1079">
        <f t="shared" si="85"/>
        <v>0</v>
      </c>
      <c r="AN209" s="1079">
        <f t="shared" si="85"/>
        <v>0</v>
      </c>
      <c r="AO209" s="1079">
        <f t="shared" si="85"/>
        <v>0</v>
      </c>
      <c r="AP209" s="1079">
        <f t="shared" si="85"/>
        <v>0</v>
      </c>
      <c r="AQ209" s="1079">
        <f t="shared" si="85"/>
        <v>0</v>
      </c>
      <c r="AR209" s="1079">
        <f t="shared" si="85"/>
        <v>0</v>
      </c>
      <c r="AS209" s="217">
        <f t="shared" si="85"/>
        <v>0</v>
      </c>
      <c r="AT209" s="1065">
        <f t="shared" si="85"/>
        <v>0</v>
      </c>
      <c r="AU209" s="1065">
        <f t="shared" si="85"/>
        <v>0</v>
      </c>
      <c r="AV209" s="1079">
        <f t="shared" si="85"/>
        <v>0</v>
      </c>
      <c r="AW209" s="1079">
        <f t="shared" si="85"/>
        <v>0</v>
      </c>
      <c r="AX209" s="1079">
        <f t="shared" si="85"/>
        <v>0</v>
      </c>
      <c r="AY209" s="1079">
        <f t="shared" si="85"/>
        <v>0</v>
      </c>
      <c r="AZ209" s="1079">
        <f t="shared" si="85"/>
        <v>0</v>
      </c>
      <c r="BA209" s="1079">
        <f t="shared" si="85"/>
        <v>0</v>
      </c>
      <c r="BB209" s="1079">
        <f t="shared" si="85"/>
        <v>0</v>
      </c>
      <c r="BC209" s="1106"/>
      <c r="BD209" s="726"/>
      <c r="BE209" s="726"/>
      <c r="BF209" s="902" t="s">
        <v>945</v>
      </c>
    </row>
    <row r="210" spans="1:58" s="1057" customFormat="1" ht="14.25" customHeight="1">
      <c r="A210" s="769"/>
      <c r="B210" s="718"/>
      <c r="C210" s="1016"/>
      <c r="D210" s="1016"/>
      <c r="E210" s="623">
        <v>15</v>
      </c>
      <c r="F210" s="714" t="str">
        <f t="shared" si="66"/>
        <v>1</v>
      </c>
      <c r="G210" s="750"/>
      <c r="H210" s="750"/>
      <c r="I210" s="750"/>
      <c r="J210" s="750"/>
      <c r="K210" s="750"/>
      <c r="L210" s="750"/>
      <c r="M210" s="750"/>
      <c r="N210" s="750"/>
      <c r="O210" s="750"/>
      <c r="P210" s="750"/>
      <c r="Q210" s="719"/>
      <c r="R210" s="719"/>
      <c r="S210" s="750"/>
      <c r="T210" s="645" t="b">
        <f t="shared" si="67"/>
        <v>1</v>
      </c>
      <c r="U210" s="1016"/>
      <c r="V210" s="1016"/>
      <c r="W210" s="1016"/>
      <c r="X210" s="1382"/>
      <c r="Y210" s="1016"/>
      <c r="Z210" s="1382"/>
      <c r="AA210" s="726"/>
      <c r="AB210" s="388" t="str">
        <f>AB197&amp;".8"</f>
        <v>6.8</v>
      </c>
      <c r="AC210" s="389" t="s">
        <v>870</v>
      </c>
      <c r="AD210" s="388" t="s">
        <v>388</v>
      </c>
      <c r="AE210" s="1079">
        <f t="shared" ref="AE210:BB210" si="86">IF(AE196=0,0,AE224/AE196*100)</f>
        <v>0</v>
      </c>
      <c r="AF210" s="1079">
        <f t="shared" si="86"/>
        <v>0</v>
      </c>
      <c r="AG210" s="1079">
        <f t="shared" si="86"/>
        <v>0</v>
      </c>
      <c r="AH210" s="1079">
        <f t="shared" si="86"/>
        <v>0</v>
      </c>
      <c r="AI210" s="217">
        <f t="shared" si="86"/>
        <v>0</v>
      </c>
      <c r="AJ210" s="1065">
        <f t="shared" si="86"/>
        <v>0</v>
      </c>
      <c r="AK210" s="1065">
        <f t="shared" si="86"/>
        <v>0</v>
      </c>
      <c r="AL210" s="1079">
        <f t="shared" si="86"/>
        <v>0</v>
      </c>
      <c r="AM210" s="1079">
        <f t="shared" si="86"/>
        <v>0</v>
      </c>
      <c r="AN210" s="1079">
        <f t="shared" si="86"/>
        <v>0</v>
      </c>
      <c r="AO210" s="1079">
        <f t="shared" si="86"/>
        <v>0</v>
      </c>
      <c r="AP210" s="1079">
        <f t="shared" si="86"/>
        <v>0</v>
      </c>
      <c r="AQ210" s="1079">
        <f t="shared" si="86"/>
        <v>0</v>
      </c>
      <c r="AR210" s="1079">
        <f t="shared" si="86"/>
        <v>0</v>
      </c>
      <c r="AS210" s="217">
        <f t="shared" si="86"/>
        <v>0</v>
      </c>
      <c r="AT210" s="1065">
        <f t="shared" si="86"/>
        <v>0</v>
      </c>
      <c r="AU210" s="1065">
        <f t="shared" si="86"/>
        <v>0</v>
      </c>
      <c r="AV210" s="1079">
        <f t="shared" si="86"/>
        <v>0</v>
      </c>
      <c r="AW210" s="1079">
        <f t="shared" si="86"/>
        <v>0</v>
      </c>
      <c r="AX210" s="1079">
        <f t="shared" si="86"/>
        <v>0</v>
      </c>
      <c r="AY210" s="1079">
        <f t="shared" si="86"/>
        <v>0</v>
      </c>
      <c r="AZ210" s="1079">
        <f t="shared" si="86"/>
        <v>0</v>
      </c>
      <c r="BA210" s="1079">
        <f t="shared" si="86"/>
        <v>0</v>
      </c>
      <c r="BB210" s="1079">
        <f t="shared" si="86"/>
        <v>0</v>
      </c>
      <c r="BC210" s="1106"/>
      <c r="BD210" s="726"/>
      <c r="BE210" s="726"/>
      <c r="BF210" s="902" t="s">
        <v>946</v>
      </c>
    </row>
    <row r="211" spans="1:58" s="154" customFormat="1" ht="14.25" customHeight="1">
      <c r="E211" s="623">
        <v>15</v>
      </c>
      <c r="F211" s="714" t="str">
        <f t="shared" si="66"/>
        <v>1</v>
      </c>
      <c r="G211" s="566" t="s">
        <v>947</v>
      </c>
      <c r="K211" s="150" t="str">
        <f>F211&amp;"komm"</f>
        <v>1komm</v>
      </c>
      <c r="L211" s="151">
        <f>BC211</f>
        <v>0</v>
      </c>
      <c r="T211" s="645" t="b">
        <f t="shared" si="67"/>
        <v>1</v>
      </c>
      <c r="X211" s="1491"/>
      <c r="Z211" s="1491"/>
      <c r="AB211" s="214">
        <v>7</v>
      </c>
      <c r="AC211" s="215" t="s">
        <v>948</v>
      </c>
      <c r="AD211" s="95" t="s">
        <v>648</v>
      </c>
      <c r="AE211" s="1144">
        <f t="shared" ref="AE211:BB211" si="87">SUM(AE212:AE215)+SUM(AE221:AE224)</f>
        <v>0</v>
      </c>
      <c r="AF211" s="1144">
        <f t="shared" si="87"/>
        <v>0</v>
      </c>
      <c r="AG211" s="1144">
        <f t="shared" si="87"/>
        <v>0</v>
      </c>
      <c r="AH211" s="1144">
        <f t="shared" si="87"/>
        <v>0</v>
      </c>
      <c r="AI211" s="229">
        <f t="shared" si="87"/>
        <v>0</v>
      </c>
      <c r="AJ211" s="1132">
        <f t="shared" si="87"/>
        <v>0</v>
      </c>
      <c r="AK211" s="1132">
        <f t="shared" si="87"/>
        <v>0</v>
      </c>
      <c r="AL211" s="1144">
        <f t="shared" si="87"/>
        <v>0</v>
      </c>
      <c r="AM211" s="1144">
        <f t="shared" si="87"/>
        <v>0</v>
      </c>
      <c r="AN211" s="1144">
        <f t="shared" si="87"/>
        <v>0</v>
      </c>
      <c r="AO211" s="1144">
        <f t="shared" si="87"/>
        <v>0</v>
      </c>
      <c r="AP211" s="1144">
        <f t="shared" si="87"/>
        <v>0</v>
      </c>
      <c r="AQ211" s="1144">
        <f t="shared" si="87"/>
        <v>0</v>
      </c>
      <c r="AR211" s="1144">
        <f t="shared" si="87"/>
        <v>0</v>
      </c>
      <c r="AS211" s="229">
        <f t="shared" si="87"/>
        <v>0</v>
      </c>
      <c r="AT211" s="1132">
        <f t="shared" si="87"/>
        <v>0</v>
      </c>
      <c r="AU211" s="1132">
        <f t="shared" si="87"/>
        <v>0</v>
      </c>
      <c r="AV211" s="1144">
        <f t="shared" si="87"/>
        <v>0</v>
      </c>
      <c r="AW211" s="1144">
        <f t="shared" si="87"/>
        <v>0</v>
      </c>
      <c r="AX211" s="1144">
        <f t="shared" si="87"/>
        <v>0</v>
      </c>
      <c r="AY211" s="1144">
        <f t="shared" si="87"/>
        <v>0</v>
      </c>
      <c r="AZ211" s="1144">
        <f t="shared" si="87"/>
        <v>0</v>
      </c>
      <c r="BA211" s="1144">
        <f t="shared" si="87"/>
        <v>0</v>
      </c>
      <c r="BB211" s="1144">
        <f t="shared" si="87"/>
        <v>0</v>
      </c>
      <c r="BC211" s="1106"/>
      <c r="BF211" s="902" t="s">
        <v>949</v>
      </c>
    </row>
    <row r="212" spans="1:58" s="1057" customFormat="1" ht="14.25" customHeight="1">
      <c r="A212" s="769"/>
      <c r="B212" s="718"/>
      <c r="C212" s="1016"/>
      <c r="D212" s="1016"/>
      <c r="E212" s="623">
        <v>15</v>
      </c>
      <c r="F212" s="714" t="str">
        <f t="shared" si="66"/>
        <v>1</v>
      </c>
      <c r="G212" s="750"/>
      <c r="H212" s="750"/>
      <c r="I212" s="750"/>
      <c r="J212" s="750"/>
      <c r="K212" s="750"/>
      <c r="L212" s="750"/>
      <c r="M212" s="750"/>
      <c r="N212" s="750"/>
      <c r="O212" s="750"/>
      <c r="P212" s="750"/>
      <c r="Q212" s="719"/>
      <c r="R212" s="719"/>
      <c r="S212" s="750"/>
      <c r="T212" s="645" t="b">
        <f t="shared" si="67"/>
        <v>1</v>
      </c>
      <c r="U212" s="1016"/>
      <c r="V212" s="1016"/>
      <c r="W212" s="1016"/>
      <c r="X212" s="1382"/>
      <c r="Y212" s="1016"/>
      <c r="Z212" s="1382"/>
      <c r="AA212" s="726"/>
      <c r="AB212" s="388" t="str">
        <f>AB211&amp;".1"</f>
        <v>7.1</v>
      </c>
      <c r="AC212" s="389" t="s">
        <v>836</v>
      </c>
      <c r="AD212" s="388" t="s">
        <v>837</v>
      </c>
      <c r="AE212" s="1079"/>
      <c r="AF212" s="1079"/>
      <c r="AG212" s="1079"/>
      <c r="AH212" s="1079"/>
      <c r="AI212" s="217"/>
      <c r="AJ212" s="1065"/>
      <c r="AK212" s="1065"/>
      <c r="AL212" s="1079"/>
      <c r="AM212" s="1079"/>
      <c r="AN212" s="1079"/>
      <c r="AO212" s="1079"/>
      <c r="AP212" s="1079"/>
      <c r="AQ212" s="1079"/>
      <c r="AR212" s="1079"/>
      <c r="AS212" s="217"/>
      <c r="AT212" s="1065"/>
      <c r="AU212" s="1065"/>
      <c r="AV212" s="1079"/>
      <c r="AW212" s="1079"/>
      <c r="AX212" s="1079"/>
      <c r="AY212" s="1079"/>
      <c r="AZ212" s="1079"/>
      <c r="BA212" s="1079"/>
      <c r="BB212" s="1079"/>
      <c r="BC212" s="1106"/>
      <c r="BD212" s="726"/>
      <c r="BE212" s="726"/>
      <c r="BF212" s="902" t="s">
        <v>950</v>
      </c>
    </row>
    <row r="213" spans="1:58" s="1057" customFormat="1" ht="14.25" customHeight="1">
      <c r="A213" s="769"/>
      <c r="B213" s="718"/>
      <c r="C213" s="1016"/>
      <c r="D213" s="1016"/>
      <c r="E213" s="623">
        <v>15</v>
      </c>
      <c r="F213" s="714" t="str">
        <f t="shared" si="66"/>
        <v>1</v>
      </c>
      <c r="G213" s="750"/>
      <c r="H213" s="750"/>
      <c r="I213" s="750"/>
      <c r="J213" s="750"/>
      <c r="K213" s="750"/>
      <c r="L213" s="750"/>
      <c r="M213" s="750"/>
      <c r="N213" s="750"/>
      <c r="O213" s="750"/>
      <c r="P213" s="750"/>
      <c r="Q213" s="719"/>
      <c r="R213" s="719"/>
      <c r="S213" s="750"/>
      <c r="T213" s="645" t="b">
        <f t="shared" si="67"/>
        <v>1</v>
      </c>
      <c r="U213" s="1016"/>
      <c r="V213" s="1016"/>
      <c r="W213" s="1016"/>
      <c r="X213" s="1382"/>
      <c r="Y213" s="1016"/>
      <c r="Z213" s="1382"/>
      <c r="AA213" s="726"/>
      <c r="AB213" s="388" t="str">
        <f>AB211&amp;".2"</f>
        <v>7.2</v>
      </c>
      <c r="AC213" s="389" t="s">
        <v>839</v>
      </c>
      <c r="AD213" s="388" t="s">
        <v>837</v>
      </c>
      <c r="AE213" s="1079"/>
      <c r="AF213" s="1079"/>
      <c r="AG213" s="1079"/>
      <c r="AH213" s="1079"/>
      <c r="AI213" s="217"/>
      <c r="AJ213" s="1065"/>
      <c r="AK213" s="1065"/>
      <c r="AL213" s="1079"/>
      <c r="AM213" s="1079"/>
      <c r="AN213" s="1079"/>
      <c r="AO213" s="1079"/>
      <c r="AP213" s="1079"/>
      <c r="AQ213" s="1079"/>
      <c r="AR213" s="1079"/>
      <c r="AS213" s="217"/>
      <c r="AT213" s="1065"/>
      <c r="AU213" s="1065"/>
      <c r="AV213" s="1079"/>
      <c r="AW213" s="1079"/>
      <c r="AX213" s="1079"/>
      <c r="AY213" s="1079"/>
      <c r="AZ213" s="1079"/>
      <c r="BA213" s="1079"/>
      <c r="BB213" s="1079"/>
      <c r="BC213" s="1106"/>
      <c r="BD213" s="726"/>
      <c r="BE213" s="726"/>
      <c r="BF213" s="902" t="s">
        <v>951</v>
      </c>
    </row>
    <row r="214" spans="1:58" s="1057" customFormat="1" ht="14.25" customHeight="1">
      <c r="A214" s="769"/>
      <c r="B214" s="718"/>
      <c r="C214" s="1016"/>
      <c r="D214" s="1016"/>
      <c r="E214" s="623">
        <v>15</v>
      </c>
      <c r="F214" s="714" t="str">
        <f t="shared" si="66"/>
        <v>1</v>
      </c>
      <c r="G214" s="750"/>
      <c r="H214" s="750"/>
      <c r="I214" s="750"/>
      <c r="J214" s="750"/>
      <c r="K214" s="750"/>
      <c r="L214" s="750"/>
      <c r="M214" s="750"/>
      <c r="N214" s="750"/>
      <c r="O214" s="750"/>
      <c r="P214" s="750"/>
      <c r="Q214" s="719"/>
      <c r="R214" s="719"/>
      <c r="S214" s="750"/>
      <c r="T214" s="645" t="b">
        <f t="shared" si="67"/>
        <v>1</v>
      </c>
      <c r="U214" s="1016"/>
      <c r="V214" s="1016"/>
      <c r="W214" s="1016"/>
      <c r="X214" s="1382"/>
      <c r="Y214" s="1016"/>
      <c r="Z214" s="1382"/>
      <c r="AA214" s="726"/>
      <c r="AB214" s="388" t="str">
        <f>AB211&amp;".3"</f>
        <v>7.3</v>
      </c>
      <c r="AC214" s="389" t="s">
        <v>841</v>
      </c>
      <c r="AD214" s="388" t="s">
        <v>837</v>
      </c>
      <c r="AE214" s="1079"/>
      <c r="AF214" s="1079"/>
      <c r="AG214" s="1079"/>
      <c r="AH214" s="1079"/>
      <c r="AI214" s="217"/>
      <c r="AJ214" s="1065"/>
      <c r="AK214" s="1065"/>
      <c r="AL214" s="1079"/>
      <c r="AM214" s="1079"/>
      <c r="AN214" s="1079"/>
      <c r="AO214" s="1079"/>
      <c r="AP214" s="1079"/>
      <c r="AQ214" s="1079"/>
      <c r="AR214" s="1079"/>
      <c r="AS214" s="217"/>
      <c r="AT214" s="1065"/>
      <c r="AU214" s="1065"/>
      <c r="AV214" s="1079"/>
      <c r="AW214" s="1079"/>
      <c r="AX214" s="1079"/>
      <c r="AY214" s="1079"/>
      <c r="AZ214" s="1079"/>
      <c r="BA214" s="1079"/>
      <c r="BB214" s="1079"/>
      <c r="BC214" s="1106"/>
      <c r="BD214" s="726"/>
      <c r="BE214" s="726"/>
      <c r="BF214" s="902" t="s">
        <v>952</v>
      </c>
    </row>
    <row r="215" spans="1:58" s="1057" customFormat="1" ht="14.25" customHeight="1">
      <c r="A215" s="769"/>
      <c r="B215" s="718"/>
      <c r="C215" s="1016"/>
      <c r="D215" s="1016"/>
      <c r="E215" s="623">
        <v>15</v>
      </c>
      <c r="F215" s="714" t="str">
        <f t="shared" si="66"/>
        <v>1</v>
      </c>
      <c r="G215" s="750"/>
      <c r="H215" s="750"/>
      <c r="I215" s="750"/>
      <c r="J215" s="750"/>
      <c r="K215" s="750"/>
      <c r="L215" s="750"/>
      <c r="M215" s="750"/>
      <c r="N215" s="750"/>
      <c r="O215" s="750"/>
      <c r="P215" s="750"/>
      <c r="Q215" s="719"/>
      <c r="R215" s="719"/>
      <c r="S215" s="750"/>
      <c r="T215" s="645" t="b">
        <f t="shared" si="67"/>
        <v>1</v>
      </c>
      <c r="U215" s="1016"/>
      <c r="V215" s="1016"/>
      <c r="W215" s="1016"/>
      <c r="X215" s="1382"/>
      <c r="Y215" s="1016"/>
      <c r="Z215" s="1382"/>
      <c r="AA215" s="726"/>
      <c r="AB215" s="388" t="str">
        <f>AB211&amp;".4"</f>
        <v>7.4</v>
      </c>
      <c r="AC215" s="389" t="s">
        <v>843</v>
      </c>
      <c r="AD215" s="388" t="s">
        <v>837</v>
      </c>
      <c r="AE215" s="1147">
        <f t="shared" ref="AE215:BB215" si="88">SUM(AE216:AE220)</f>
        <v>0</v>
      </c>
      <c r="AF215" s="1147">
        <f t="shared" si="88"/>
        <v>0</v>
      </c>
      <c r="AG215" s="1147">
        <f t="shared" si="88"/>
        <v>0</v>
      </c>
      <c r="AH215" s="1147">
        <f t="shared" si="88"/>
        <v>0</v>
      </c>
      <c r="AI215" s="386">
        <f t="shared" si="88"/>
        <v>0</v>
      </c>
      <c r="AJ215" s="1104">
        <f t="shared" si="88"/>
        <v>0</v>
      </c>
      <c r="AK215" s="1104">
        <f t="shared" si="88"/>
        <v>0</v>
      </c>
      <c r="AL215" s="1147">
        <f t="shared" si="88"/>
        <v>0</v>
      </c>
      <c r="AM215" s="1147">
        <f t="shared" si="88"/>
        <v>0</v>
      </c>
      <c r="AN215" s="1147">
        <f t="shared" si="88"/>
        <v>0</v>
      </c>
      <c r="AO215" s="1147">
        <f t="shared" si="88"/>
        <v>0</v>
      </c>
      <c r="AP215" s="1147">
        <f t="shared" si="88"/>
        <v>0</v>
      </c>
      <c r="AQ215" s="1147">
        <f t="shared" si="88"/>
        <v>0</v>
      </c>
      <c r="AR215" s="1147">
        <f t="shared" si="88"/>
        <v>0</v>
      </c>
      <c r="AS215" s="386">
        <f t="shared" si="88"/>
        <v>0</v>
      </c>
      <c r="AT215" s="1104">
        <f t="shared" si="88"/>
        <v>0</v>
      </c>
      <c r="AU215" s="1104">
        <f t="shared" si="88"/>
        <v>0</v>
      </c>
      <c r="AV215" s="1147">
        <f t="shared" si="88"/>
        <v>0</v>
      </c>
      <c r="AW215" s="1147">
        <f t="shared" si="88"/>
        <v>0</v>
      </c>
      <c r="AX215" s="1147">
        <f t="shared" si="88"/>
        <v>0</v>
      </c>
      <c r="AY215" s="1147">
        <f t="shared" si="88"/>
        <v>0</v>
      </c>
      <c r="AZ215" s="1147">
        <f t="shared" si="88"/>
        <v>0</v>
      </c>
      <c r="BA215" s="1147">
        <f t="shared" si="88"/>
        <v>0</v>
      </c>
      <c r="BB215" s="1147">
        <f t="shared" si="88"/>
        <v>0</v>
      </c>
      <c r="BC215" s="1106"/>
      <c r="BD215" s="726"/>
      <c r="BE215" s="726"/>
      <c r="BF215" s="902" t="s">
        <v>953</v>
      </c>
    </row>
    <row r="216" spans="1:58" s="1057" customFormat="1" ht="14.25" customHeight="1">
      <c r="A216" s="769"/>
      <c r="B216" s="718"/>
      <c r="C216" s="1016"/>
      <c r="D216" s="1016"/>
      <c r="E216" s="623">
        <v>15</v>
      </c>
      <c r="F216" s="714" t="str">
        <f t="shared" si="66"/>
        <v>1</v>
      </c>
      <c r="G216" s="750"/>
      <c r="H216" s="750"/>
      <c r="I216" s="750"/>
      <c r="J216" s="750"/>
      <c r="K216" s="750"/>
      <c r="L216" s="750"/>
      <c r="M216" s="750"/>
      <c r="N216" s="750"/>
      <c r="O216" s="750"/>
      <c r="P216" s="750"/>
      <c r="Q216" s="719"/>
      <c r="R216" s="719"/>
      <c r="S216" s="750"/>
      <c r="T216" s="645" t="b">
        <f t="shared" si="67"/>
        <v>1</v>
      </c>
      <c r="U216" s="1016"/>
      <c r="V216" s="1016"/>
      <c r="W216" s="1016"/>
      <c r="X216" s="1382"/>
      <c r="Y216" s="1016"/>
      <c r="Z216" s="1382"/>
      <c r="AA216" s="726"/>
      <c r="AB216" s="388" t="str">
        <f>AB215&amp;".1"</f>
        <v>7.4.1</v>
      </c>
      <c r="AC216" s="390" t="s">
        <v>846</v>
      </c>
      <c r="AD216" s="388" t="s">
        <v>837</v>
      </c>
      <c r="AE216" s="1079"/>
      <c r="AF216" s="1079"/>
      <c r="AG216" s="1079"/>
      <c r="AH216" s="1079"/>
      <c r="AI216" s="217"/>
      <c r="AJ216" s="1065"/>
      <c r="AK216" s="1065"/>
      <c r="AL216" s="1079"/>
      <c r="AM216" s="1079"/>
      <c r="AN216" s="1079"/>
      <c r="AO216" s="1079"/>
      <c r="AP216" s="1079"/>
      <c r="AQ216" s="1079"/>
      <c r="AR216" s="1079"/>
      <c r="AS216" s="217"/>
      <c r="AT216" s="1065"/>
      <c r="AU216" s="1065"/>
      <c r="AV216" s="1079"/>
      <c r="AW216" s="1079"/>
      <c r="AX216" s="1079"/>
      <c r="AY216" s="1079"/>
      <c r="AZ216" s="1079"/>
      <c r="BA216" s="1079"/>
      <c r="BB216" s="1079"/>
      <c r="BC216" s="1106"/>
      <c r="BD216" s="726"/>
      <c r="BE216" s="726"/>
      <c r="BF216" s="902" t="s">
        <v>954</v>
      </c>
    </row>
    <row r="217" spans="1:58" s="1057" customFormat="1" ht="14.25" customHeight="1">
      <c r="A217" s="769"/>
      <c r="B217" s="718"/>
      <c r="C217" s="1016"/>
      <c r="D217" s="1016"/>
      <c r="E217" s="623">
        <v>15</v>
      </c>
      <c r="F217" s="714" t="str">
        <f t="shared" si="66"/>
        <v>1</v>
      </c>
      <c r="G217" s="750"/>
      <c r="H217" s="750"/>
      <c r="I217" s="750"/>
      <c r="J217" s="750"/>
      <c r="K217" s="750"/>
      <c r="L217" s="750"/>
      <c r="M217" s="750"/>
      <c r="N217" s="750"/>
      <c r="O217" s="750"/>
      <c r="P217" s="750"/>
      <c r="Q217" s="719"/>
      <c r="R217" s="719"/>
      <c r="S217" s="750"/>
      <c r="T217" s="645" t="b">
        <f t="shared" si="67"/>
        <v>1</v>
      </c>
      <c r="U217" s="1016"/>
      <c r="V217" s="1016"/>
      <c r="W217" s="1016"/>
      <c r="X217" s="1382"/>
      <c r="Y217" s="1016"/>
      <c r="Z217" s="1382"/>
      <c r="AA217" s="726"/>
      <c r="AB217" s="388" t="str">
        <f>AB215&amp;".2"</f>
        <v>7.4.2</v>
      </c>
      <c r="AC217" s="390" t="s">
        <v>849</v>
      </c>
      <c r="AD217" s="388" t="s">
        <v>837</v>
      </c>
      <c r="AE217" s="1079"/>
      <c r="AF217" s="1079"/>
      <c r="AG217" s="1079"/>
      <c r="AH217" s="1079"/>
      <c r="AI217" s="217"/>
      <c r="AJ217" s="1065"/>
      <c r="AK217" s="1065"/>
      <c r="AL217" s="1079"/>
      <c r="AM217" s="1079"/>
      <c r="AN217" s="1079"/>
      <c r="AO217" s="1079"/>
      <c r="AP217" s="1079"/>
      <c r="AQ217" s="1079"/>
      <c r="AR217" s="1079"/>
      <c r="AS217" s="217"/>
      <c r="AT217" s="1065"/>
      <c r="AU217" s="1065"/>
      <c r="AV217" s="1079"/>
      <c r="AW217" s="1079"/>
      <c r="AX217" s="1079"/>
      <c r="AY217" s="1079"/>
      <c r="AZ217" s="1079"/>
      <c r="BA217" s="1079"/>
      <c r="BB217" s="1079"/>
      <c r="BC217" s="1106"/>
      <c r="BD217" s="726"/>
      <c r="BE217" s="726"/>
      <c r="BF217" s="902" t="s">
        <v>955</v>
      </c>
    </row>
    <row r="218" spans="1:58" s="1057" customFormat="1" ht="14.25" customHeight="1">
      <c r="A218" s="769"/>
      <c r="B218" s="718"/>
      <c r="C218" s="1016"/>
      <c r="D218" s="1016"/>
      <c r="E218" s="623">
        <v>15</v>
      </c>
      <c r="F218" s="714" t="str">
        <f t="shared" si="66"/>
        <v>1</v>
      </c>
      <c r="G218" s="750"/>
      <c r="H218" s="750"/>
      <c r="I218" s="750"/>
      <c r="J218" s="750"/>
      <c r="K218" s="750"/>
      <c r="L218" s="750"/>
      <c r="M218" s="750"/>
      <c r="N218" s="750"/>
      <c r="O218" s="750"/>
      <c r="P218" s="750"/>
      <c r="Q218" s="719"/>
      <c r="R218" s="719"/>
      <c r="S218" s="750"/>
      <c r="T218" s="645" t="b">
        <f t="shared" si="67"/>
        <v>1</v>
      </c>
      <c r="U218" s="1016"/>
      <c r="V218" s="1016"/>
      <c r="W218" s="1016"/>
      <c r="X218" s="1382"/>
      <c r="Y218" s="1016"/>
      <c r="Z218" s="1382"/>
      <c r="AA218" s="726"/>
      <c r="AB218" s="388" t="str">
        <f>AB215&amp;".3"</f>
        <v>7.4.3</v>
      </c>
      <c r="AC218" s="390" t="s">
        <v>852</v>
      </c>
      <c r="AD218" s="388" t="s">
        <v>837</v>
      </c>
      <c r="AE218" s="1079"/>
      <c r="AF218" s="1079"/>
      <c r="AG218" s="1079"/>
      <c r="AH218" s="1079"/>
      <c r="AI218" s="217"/>
      <c r="AJ218" s="1065"/>
      <c r="AK218" s="1065"/>
      <c r="AL218" s="1079"/>
      <c r="AM218" s="1079"/>
      <c r="AN218" s="1079"/>
      <c r="AO218" s="1079"/>
      <c r="AP218" s="1079"/>
      <c r="AQ218" s="1079"/>
      <c r="AR218" s="1079"/>
      <c r="AS218" s="217"/>
      <c r="AT218" s="1065"/>
      <c r="AU218" s="1065"/>
      <c r="AV218" s="1079"/>
      <c r="AW218" s="1079"/>
      <c r="AX218" s="1079"/>
      <c r="AY218" s="1079"/>
      <c r="AZ218" s="1079"/>
      <c r="BA218" s="1079"/>
      <c r="BB218" s="1079"/>
      <c r="BC218" s="1106"/>
      <c r="BD218" s="726"/>
      <c r="BE218" s="726"/>
      <c r="BF218" s="902" t="s">
        <v>956</v>
      </c>
    </row>
    <row r="219" spans="1:58" s="1057" customFormat="1" ht="14.25" customHeight="1">
      <c r="A219" s="769"/>
      <c r="B219" s="718"/>
      <c r="C219" s="1016"/>
      <c r="D219" s="1016"/>
      <c r="E219" s="623">
        <v>15</v>
      </c>
      <c r="F219" s="714" t="str">
        <f t="shared" si="66"/>
        <v>1</v>
      </c>
      <c r="G219" s="750"/>
      <c r="H219" s="750"/>
      <c r="I219" s="750"/>
      <c r="J219" s="750"/>
      <c r="K219" s="750"/>
      <c r="L219" s="750"/>
      <c r="M219" s="750"/>
      <c r="N219" s="750"/>
      <c r="O219" s="750"/>
      <c r="P219" s="750"/>
      <c r="Q219" s="719"/>
      <c r="R219" s="719"/>
      <c r="S219" s="750"/>
      <c r="T219" s="645" t="b">
        <f t="shared" si="67"/>
        <v>1</v>
      </c>
      <c r="U219" s="1016"/>
      <c r="V219" s="1016"/>
      <c r="W219" s="1016"/>
      <c r="X219" s="1382"/>
      <c r="Y219" s="1016"/>
      <c r="Z219" s="1382"/>
      <c r="AA219" s="726"/>
      <c r="AB219" s="388" t="str">
        <f>AB215&amp;".4"</f>
        <v>7.4.4</v>
      </c>
      <c r="AC219" s="390" t="s">
        <v>855</v>
      </c>
      <c r="AD219" s="388" t="s">
        <v>837</v>
      </c>
      <c r="AE219" s="1079"/>
      <c r="AF219" s="1079"/>
      <c r="AG219" s="1079"/>
      <c r="AH219" s="1079"/>
      <c r="AI219" s="217"/>
      <c r="AJ219" s="1065"/>
      <c r="AK219" s="1065"/>
      <c r="AL219" s="1079"/>
      <c r="AM219" s="1079"/>
      <c r="AN219" s="1079"/>
      <c r="AO219" s="1079"/>
      <c r="AP219" s="1079"/>
      <c r="AQ219" s="1079"/>
      <c r="AR219" s="1079"/>
      <c r="AS219" s="217"/>
      <c r="AT219" s="1065"/>
      <c r="AU219" s="1065"/>
      <c r="AV219" s="1079"/>
      <c r="AW219" s="1079"/>
      <c r="AX219" s="1079"/>
      <c r="AY219" s="1079"/>
      <c r="AZ219" s="1079"/>
      <c r="BA219" s="1079"/>
      <c r="BB219" s="1079"/>
      <c r="BC219" s="1106"/>
      <c r="BD219" s="726"/>
      <c r="BE219" s="726"/>
      <c r="BF219" s="902" t="s">
        <v>957</v>
      </c>
    </row>
    <row r="220" spans="1:58" s="1057" customFormat="1" ht="14.25" customHeight="1">
      <c r="A220" s="769"/>
      <c r="B220" s="718"/>
      <c r="C220" s="1016"/>
      <c r="D220" s="1016"/>
      <c r="E220" s="623">
        <v>15</v>
      </c>
      <c r="F220" s="714" t="str">
        <f t="shared" si="66"/>
        <v>1</v>
      </c>
      <c r="G220" s="750"/>
      <c r="H220" s="750"/>
      <c r="I220" s="750"/>
      <c r="J220" s="750"/>
      <c r="K220" s="750"/>
      <c r="L220" s="750"/>
      <c r="M220" s="750"/>
      <c r="N220" s="750"/>
      <c r="O220" s="750"/>
      <c r="P220" s="750"/>
      <c r="Q220" s="719"/>
      <c r="R220" s="719"/>
      <c r="S220" s="750"/>
      <c r="T220" s="645" t="b">
        <f t="shared" si="67"/>
        <v>1</v>
      </c>
      <c r="U220" s="1016"/>
      <c r="V220" s="1016"/>
      <c r="W220" s="1016"/>
      <c r="X220" s="1382"/>
      <c r="Y220" s="1016"/>
      <c r="Z220" s="1382"/>
      <c r="AA220" s="726"/>
      <c r="AB220" s="388" t="str">
        <f>AB215&amp;".5"</f>
        <v>7.4.5</v>
      </c>
      <c r="AC220" s="390" t="s">
        <v>858</v>
      </c>
      <c r="AD220" s="388" t="s">
        <v>837</v>
      </c>
      <c r="AE220" s="1079"/>
      <c r="AF220" s="1079"/>
      <c r="AG220" s="1079"/>
      <c r="AH220" s="1079"/>
      <c r="AI220" s="217"/>
      <c r="AJ220" s="1065"/>
      <c r="AK220" s="1065"/>
      <c r="AL220" s="1079"/>
      <c r="AM220" s="1079"/>
      <c r="AN220" s="1079"/>
      <c r="AO220" s="1079"/>
      <c r="AP220" s="1079"/>
      <c r="AQ220" s="1079"/>
      <c r="AR220" s="1079"/>
      <c r="AS220" s="217"/>
      <c r="AT220" s="1065"/>
      <c r="AU220" s="1065"/>
      <c r="AV220" s="1079"/>
      <c r="AW220" s="1079"/>
      <c r="AX220" s="1079"/>
      <c r="AY220" s="1079"/>
      <c r="AZ220" s="1079"/>
      <c r="BA220" s="1079"/>
      <c r="BB220" s="1079"/>
      <c r="BC220" s="1106"/>
      <c r="BD220" s="726"/>
      <c r="BE220" s="726"/>
      <c r="BF220" s="902" t="s">
        <v>958</v>
      </c>
    </row>
    <row r="221" spans="1:58" s="1057" customFormat="1" ht="14.25" customHeight="1">
      <c r="A221" s="769"/>
      <c r="B221" s="718"/>
      <c r="C221" s="1016"/>
      <c r="D221" s="1016"/>
      <c r="E221" s="623">
        <v>15</v>
      </c>
      <c r="F221" s="714" t="str">
        <f t="shared" si="66"/>
        <v>1</v>
      </c>
      <c r="G221" s="750"/>
      <c r="H221" s="750"/>
      <c r="I221" s="750"/>
      <c r="J221" s="750"/>
      <c r="K221" s="750"/>
      <c r="L221" s="750"/>
      <c r="M221" s="750"/>
      <c r="N221" s="750"/>
      <c r="O221" s="750"/>
      <c r="P221" s="750"/>
      <c r="Q221" s="719"/>
      <c r="R221" s="719"/>
      <c r="S221" s="750"/>
      <c r="T221" s="645" t="b">
        <f t="shared" si="67"/>
        <v>1</v>
      </c>
      <c r="U221" s="1016"/>
      <c r="V221" s="1016"/>
      <c r="W221" s="1016"/>
      <c r="X221" s="1382"/>
      <c r="Y221" s="1016"/>
      <c r="Z221" s="1382"/>
      <c r="AA221" s="726"/>
      <c r="AB221" s="388" t="str">
        <f>AB211&amp;".5"</f>
        <v>7.5</v>
      </c>
      <c r="AC221" s="389" t="s">
        <v>861</v>
      </c>
      <c r="AD221" s="388" t="s">
        <v>837</v>
      </c>
      <c r="AE221" s="1079"/>
      <c r="AF221" s="1079"/>
      <c r="AG221" s="1079"/>
      <c r="AH221" s="1079"/>
      <c r="AI221" s="217"/>
      <c r="AJ221" s="1065"/>
      <c r="AK221" s="1065"/>
      <c r="AL221" s="1079"/>
      <c r="AM221" s="1079"/>
      <c r="AN221" s="1079"/>
      <c r="AO221" s="1079"/>
      <c r="AP221" s="1079"/>
      <c r="AQ221" s="1079"/>
      <c r="AR221" s="1079"/>
      <c r="AS221" s="217"/>
      <c r="AT221" s="1065"/>
      <c r="AU221" s="1065"/>
      <c r="AV221" s="1079"/>
      <c r="AW221" s="1079"/>
      <c r="AX221" s="1079"/>
      <c r="AY221" s="1079"/>
      <c r="AZ221" s="1079"/>
      <c r="BA221" s="1079"/>
      <c r="BB221" s="1079"/>
      <c r="BC221" s="1106"/>
      <c r="BD221" s="726"/>
      <c r="BE221" s="726"/>
      <c r="BF221" s="902" t="s">
        <v>959</v>
      </c>
    </row>
    <row r="222" spans="1:58" s="1057" customFormat="1" ht="14.25" customHeight="1">
      <c r="A222" s="769"/>
      <c r="B222" s="718"/>
      <c r="C222" s="1016"/>
      <c r="D222" s="1016"/>
      <c r="E222" s="623">
        <v>15</v>
      </c>
      <c r="F222" s="714" t="str">
        <f t="shared" si="66"/>
        <v>1</v>
      </c>
      <c r="G222" s="750"/>
      <c r="H222" s="750"/>
      <c r="I222" s="750"/>
      <c r="J222" s="750"/>
      <c r="K222" s="750"/>
      <c r="L222" s="750"/>
      <c r="M222" s="750"/>
      <c r="N222" s="750"/>
      <c r="O222" s="750"/>
      <c r="P222" s="750"/>
      <c r="Q222" s="719"/>
      <c r="R222" s="719"/>
      <c r="S222" s="750"/>
      <c r="T222" s="645" t="b">
        <f t="shared" si="67"/>
        <v>1</v>
      </c>
      <c r="U222" s="1016"/>
      <c r="V222" s="1016"/>
      <c r="W222" s="1016"/>
      <c r="X222" s="1382"/>
      <c r="Y222" s="1016"/>
      <c r="Z222" s="1382"/>
      <c r="AA222" s="726"/>
      <c r="AB222" s="388" t="str">
        <f>AB211&amp;".6"</f>
        <v>7.6</v>
      </c>
      <c r="AC222" s="389" t="s">
        <v>864</v>
      </c>
      <c r="AD222" s="388" t="s">
        <v>837</v>
      </c>
      <c r="AE222" s="1079"/>
      <c r="AF222" s="1079"/>
      <c r="AG222" s="1079"/>
      <c r="AH222" s="1079"/>
      <c r="AI222" s="217"/>
      <c r="AJ222" s="1065"/>
      <c r="AK222" s="1065"/>
      <c r="AL222" s="1079"/>
      <c r="AM222" s="1079"/>
      <c r="AN222" s="1079"/>
      <c r="AO222" s="1079"/>
      <c r="AP222" s="1079"/>
      <c r="AQ222" s="1079"/>
      <c r="AR222" s="1079"/>
      <c r="AS222" s="217"/>
      <c r="AT222" s="1065"/>
      <c r="AU222" s="1065"/>
      <c r="AV222" s="1079"/>
      <c r="AW222" s="1079"/>
      <c r="AX222" s="1079"/>
      <c r="AY222" s="1079"/>
      <c r="AZ222" s="1079"/>
      <c r="BA222" s="1079"/>
      <c r="BB222" s="1079"/>
      <c r="BC222" s="1106"/>
      <c r="BD222" s="726"/>
      <c r="BE222" s="726"/>
      <c r="BF222" s="902" t="s">
        <v>960</v>
      </c>
    </row>
    <row r="223" spans="1:58" s="1057" customFormat="1" ht="14.25" customHeight="1">
      <c r="A223" s="769"/>
      <c r="B223" s="718"/>
      <c r="C223" s="1016"/>
      <c r="D223" s="1016"/>
      <c r="E223" s="623">
        <v>15</v>
      </c>
      <c r="F223" s="714" t="str">
        <f t="shared" si="66"/>
        <v>1</v>
      </c>
      <c r="G223" s="750"/>
      <c r="H223" s="750"/>
      <c r="I223" s="750"/>
      <c r="J223" s="750"/>
      <c r="K223" s="750"/>
      <c r="L223" s="750"/>
      <c r="M223" s="750"/>
      <c r="N223" s="750"/>
      <c r="O223" s="750"/>
      <c r="P223" s="750"/>
      <c r="Q223" s="719"/>
      <c r="R223" s="719"/>
      <c r="S223" s="750"/>
      <c r="T223" s="645" t="b">
        <f t="shared" si="67"/>
        <v>1</v>
      </c>
      <c r="U223" s="1016"/>
      <c r="V223" s="1016"/>
      <c r="W223" s="1016"/>
      <c r="X223" s="1382"/>
      <c r="Y223" s="1016"/>
      <c r="Z223" s="1382"/>
      <c r="AA223" s="726"/>
      <c r="AB223" s="388" t="str">
        <f>AB211&amp;".7"</f>
        <v>7.7</v>
      </c>
      <c r="AC223" s="389" t="s">
        <v>867</v>
      </c>
      <c r="AD223" s="388" t="s">
        <v>837</v>
      </c>
      <c r="AE223" s="1079"/>
      <c r="AF223" s="1079"/>
      <c r="AG223" s="1079"/>
      <c r="AH223" s="1079"/>
      <c r="AI223" s="217"/>
      <c r="AJ223" s="1065"/>
      <c r="AK223" s="1065"/>
      <c r="AL223" s="1079"/>
      <c r="AM223" s="1079"/>
      <c r="AN223" s="1079"/>
      <c r="AO223" s="1079"/>
      <c r="AP223" s="1079"/>
      <c r="AQ223" s="1079"/>
      <c r="AR223" s="1079"/>
      <c r="AS223" s="217"/>
      <c r="AT223" s="1065"/>
      <c r="AU223" s="1065"/>
      <c r="AV223" s="1079"/>
      <c r="AW223" s="1079"/>
      <c r="AX223" s="1079"/>
      <c r="AY223" s="1079"/>
      <c r="AZ223" s="1079"/>
      <c r="BA223" s="1079"/>
      <c r="BB223" s="1079"/>
      <c r="BC223" s="1106"/>
      <c r="BD223" s="726"/>
      <c r="BE223" s="726"/>
      <c r="BF223" s="902" t="s">
        <v>961</v>
      </c>
    </row>
    <row r="224" spans="1:58" s="1057" customFormat="1" ht="14.25" customHeight="1">
      <c r="A224" s="769"/>
      <c r="B224" s="718"/>
      <c r="C224" s="1016"/>
      <c r="D224" s="1016"/>
      <c r="E224" s="623">
        <v>15</v>
      </c>
      <c r="F224" s="714" t="str">
        <f t="shared" si="66"/>
        <v>1</v>
      </c>
      <c r="G224" s="750"/>
      <c r="H224" s="750"/>
      <c r="I224" s="750"/>
      <c r="J224" s="750"/>
      <c r="K224" s="750"/>
      <c r="L224" s="750"/>
      <c r="M224" s="750"/>
      <c r="N224" s="750"/>
      <c r="O224" s="750"/>
      <c r="P224" s="750"/>
      <c r="Q224" s="719"/>
      <c r="R224" s="719"/>
      <c r="S224" s="750"/>
      <c r="T224" s="645" t="b">
        <f t="shared" si="67"/>
        <v>1</v>
      </c>
      <c r="U224" s="1016"/>
      <c r="V224" s="1016"/>
      <c r="W224" s="1016"/>
      <c r="X224" s="1382"/>
      <c r="Y224" s="1016"/>
      <c r="Z224" s="1382"/>
      <c r="AA224" s="726"/>
      <c r="AB224" s="388" t="str">
        <f>AB211&amp;".8"</f>
        <v>7.8</v>
      </c>
      <c r="AC224" s="389" t="s">
        <v>870</v>
      </c>
      <c r="AD224" s="388" t="s">
        <v>837</v>
      </c>
      <c r="AE224" s="1079"/>
      <c r="AF224" s="1079"/>
      <c r="AG224" s="1079"/>
      <c r="AH224" s="1079"/>
      <c r="AI224" s="217"/>
      <c r="AJ224" s="1065"/>
      <c r="AK224" s="1065"/>
      <c r="AL224" s="1079"/>
      <c r="AM224" s="1079"/>
      <c r="AN224" s="1079"/>
      <c r="AO224" s="1079"/>
      <c r="AP224" s="1079"/>
      <c r="AQ224" s="1079"/>
      <c r="AR224" s="1079"/>
      <c r="AS224" s="217"/>
      <c r="AT224" s="1065"/>
      <c r="AU224" s="1065"/>
      <c r="AV224" s="1079"/>
      <c r="AW224" s="1079"/>
      <c r="AX224" s="1079"/>
      <c r="AY224" s="1079"/>
      <c r="AZ224" s="1079"/>
      <c r="BA224" s="1079"/>
      <c r="BB224" s="1079"/>
      <c r="BC224" s="1106"/>
      <c r="BD224" s="726"/>
      <c r="BE224" s="726"/>
      <c r="BF224" s="902" t="s">
        <v>962</v>
      </c>
    </row>
    <row r="225" spans="1:58" ht="11.1" customHeight="1">
      <c r="E225" s="623">
        <v>11.4</v>
      </c>
      <c r="U225" s="116" t="s">
        <v>172</v>
      </c>
      <c r="V225" s="109" t="s">
        <v>963</v>
      </c>
      <c r="AD225" s="124"/>
      <c r="AE225" s="124"/>
      <c r="AF225" s="124"/>
      <c r="AG225" s="124"/>
      <c r="AH225" s="124"/>
      <c r="AI225" s="124"/>
      <c r="AJ225" s="124"/>
      <c r="AK225" s="124"/>
      <c r="AL225" s="124"/>
      <c r="AM225" s="124"/>
      <c r="AN225" s="124"/>
      <c r="AO225" s="124"/>
      <c r="AP225" s="124"/>
      <c r="AQ225" s="124"/>
      <c r="AR225" s="124"/>
      <c r="AS225" s="124"/>
      <c r="AT225" s="124"/>
      <c r="AU225" s="124"/>
      <c r="AV225" s="124"/>
      <c r="AW225" s="124"/>
      <c r="AX225" s="124"/>
      <c r="AY225" s="124"/>
      <c r="AZ225" s="124"/>
      <c r="BA225" s="124"/>
      <c r="BB225" s="124"/>
    </row>
    <row r="226" spans="1:58" ht="11.25" hidden="1" customHeight="1">
      <c r="E226" s="623">
        <v>0</v>
      </c>
      <c r="AB226" s="116"/>
      <c r="AC226" s="155"/>
      <c r="AD226" s="116"/>
      <c r="AE226" s="156"/>
      <c r="AF226" s="156"/>
      <c r="AG226" s="156"/>
      <c r="AH226" s="156"/>
      <c r="AI226" s="156"/>
      <c r="AJ226" s="156"/>
      <c r="AK226" s="156"/>
      <c r="AL226" s="156"/>
      <c r="AM226" s="156"/>
      <c r="AN226" s="156"/>
      <c r="AO226" s="156"/>
      <c r="AP226" s="156"/>
      <c r="AQ226" s="156"/>
      <c r="AR226" s="156"/>
    </row>
    <row r="227" spans="1:58" s="394" customFormat="1" ht="14.65" customHeight="1">
      <c r="A227" s="988"/>
      <c r="B227" s="614"/>
      <c r="C227" s="113"/>
      <c r="D227" s="113"/>
      <c r="E227" s="623">
        <v>15</v>
      </c>
      <c r="F227" s="113"/>
      <c r="Q227" s="566"/>
      <c r="R227" s="566"/>
      <c r="T227" s="113"/>
      <c r="U227" s="113"/>
      <c r="V227" s="113"/>
      <c r="W227" s="113"/>
      <c r="X227" s="113"/>
      <c r="Y227" s="113"/>
      <c r="Z227" s="113"/>
      <c r="AB227" s="1476" t="s">
        <v>557</v>
      </c>
      <c r="AC227" s="1476"/>
      <c r="AD227" s="1476"/>
      <c r="AE227" s="1476"/>
      <c r="AF227" s="1476"/>
      <c r="AG227" s="1476"/>
      <c r="AH227" s="1476"/>
      <c r="AI227" s="1477"/>
      <c r="AJ227" s="1477"/>
      <c r="AK227" s="1477"/>
      <c r="AL227" s="1477"/>
      <c r="AM227" s="1477"/>
      <c r="AN227" s="1477"/>
      <c r="AO227" s="1477"/>
      <c r="AP227" s="1477"/>
      <c r="AQ227" s="1477"/>
      <c r="AR227" s="1477"/>
      <c r="AS227" s="1477"/>
      <c r="AT227" s="1477"/>
      <c r="AU227" s="1477"/>
      <c r="AV227" s="1477"/>
      <c r="AW227" s="1477"/>
      <c r="AX227" s="1477"/>
      <c r="AY227" s="1477"/>
      <c r="AZ227" s="1477"/>
      <c r="BA227" s="1477"/>
      <c r="BB227" s="1477"/>
      <c r="BC227" s="1477"/>
      <c r="BF227" s="912"/>
    </row>
    <row r="228" spans="1:58" s="394" customFormat="1" ht="14.65" customHeight="1">
      <c r="A228" s="988"/>
      <c r="B228" s="614"/>
      <c r="C228" s="113"/>
      <c r="D228" s="113"/>
      <c r="E228" s="623">
        <v>15</v>
      </c>
      <c r="F228" s="113"/>
      <c r="Q228" s="566"/>
      <c r="R228" s="566"/>
      <c r="T228" s="113"/>
      <c r="U228" s="113"/>
      <c r="V228" s="113"/>
      <c r="W228" s="113"/>
      <c r="X228" s="113"/>
      <c r="Y228" s="113"/>
      <c r="Z228" s="113"/>
      <c r="AA228" s="713"/>
      <c r="AB228" s="1478"/>
      <c r="AC228" s="1478"/>
      <c r="AD228" s="1478"/>
      <c r="AE228" s="1478"/>
      <c r="AF228" s="1478"/>
      <c r="AG228" s="1478"/>
      <c r="AH228" s="1478"/>
      <c r="AI228" s="1479"/>
      <c r="AJ228" s="1480"/>
      <c r="AK228" s="1480"/>
      <c r="AL228" s="1480"/>
      <c r="AM228" s="1480"/>
      <c r="AN228" s="1480"/>
      <c r="AO228" s="1480"/>
      <c r="AP228" s="1480"/>
      <c r="AQ228" s="1480"/>
      <c r="AR228" s="1480"/>
      <c r="AS228" s="1479"/>
      <c r="AT228" s="1480"/>
      <c r="AU228" s="1480"/>
      <c r="AV228" s="1480"/>
      <c r="AW228" s="1480"/>
      <c r="AX228" s="1480"/>
      <c r="AY228" s="1480"/>
      <c r="AZ228" s="1480"/>
      <c r="BA228" s="1480"/>
      <c r="BB228" s="1480"/>
      <c r="BC228" s="1479"/>
      <c r="BF228" s="912"/>
    </row>
    <row r="229" spans="1:58" s="394" customFormat="1" ht="14.65" hidden="1" customHeight="1">
      <c r="A229" s="988"/>
      <c r="B229" s="614"/>
      <c r="C229" s="113"/>
      <c r="D229" s="113"/>
      <c r="E229" s="623">
        <v>15</v>
      </c>
      <c r="F229" s="113"/>
      <c r="Q229" s="566"/>
      <c r="R229" s="566"/>
      <c r="T229" s="634" t="b">
        <f>ROW(W229)&gt;ROW(W$229)</f>
        <v>0</v>
      </c>
      <c r="U229" s="113"/>
      <c r="V229" s="116"/>
      <c r="W229" s="113" t="s">
        <v>170</v>
      </c>
      <c r="X229" s="113"/>
      <c r="Y229" s="113"/>
      <c r="Z229" s="113"/>
      <c r="AA229" s="709" t="s">
        <v>157</v>
      </c>
      <c r="AB229" s="1484"/>
      <c r="AC229" s="1484"/>
      <c r="AD229" s="1484"/>
      <c r="AE229" s="1484"/>
      <c r="AF229" s="1484"/>
      <c r="AG229" s="1484"/>
      <c r="AH229" s="1484"/>
      <c r="AI229" s="1479"/>
      <c r="AJ229" s="1480"/>
      <c r="AK229" s="1480"/>
      <c r="AL229" s="1480"/>
      <c r="AM229" s="1480"/>
      <c r="AN229" s="1480"/>
      <c r="AO229" s="1480"/>
      <c r="AP229" s="1480"/>
      <c r="AQ229" s="1480"/>
      <c r="AR229" s="1480"/>
      <c r="AS229" s="1479"/>
      <c r="AT229" s="1480"/>
      <c r="AU229" s="1480"/>
      <c r="AV229" s="1480"/>
      <c r="AW229" s="1480"/>
      <c r="AX229" s="1480"/>
      <c r="AY229" s="1480"/>
      <c r="AZ229" s="1480"/>
      <c r="BA229" s="1480"/>
      <c r="BB229" s="1480"/>
      <c r="BC229" s="1480"/>
      <c r="BF229" s="912"/>
    </row>
    <row r="230" spans="1:58" s="394" customFormat="1" ht="14.65" customHeight="1">
      <c r="A230" s="988"/>
      <c r="B230" s="614"/>
      <c r="C230" s="113"/>
      <c r="D230" s="113"/>
      <c r="E230" s="623">
        <v>15</v>
      </c>
      <c r="F230" s="113"/>
      <c r="Q230" s="566"/>
      <c r="R230" s="566"/>
      <c r="T230" s="113"/>
      <c r="U230" s="113"/>
      <c r="V230" s="113"/>
      <c r="W230" s="109" t="s">
        <v>171</v>
      </c>
      <c r="X230" s="113"/>
      <c r="Y230" s="113"/>
      <c r="Z230" s="113"/>
      <c r="AB230" s="1420" t="s">
        <v>558</v>
      </c>
      <c r="AC230" s="1421"/>
      <c r="AD230" s="299"/>
      <c r="AE230" s="299"/>
      <c r="AF230" s="300"/>
      <c r="AG230" s="300"/>
      <c r="AH230" s="300"/>
      <c r="AI230" s="300"/>
      <c r="AJ230" s="300"/>
      <c r="AK230" s="300"/>
      <c r="AL230" s="300"/>
      <c r="AM230" s="300"/>
      <c r="AN230" s="300"/>
      <c r="AO230" s="300"/>
      <c r="AP230" s="300"/>
      <c r="AQ230" s="300"/>
      <c r="AR230" s="300"/>
      <c r="AS230" s="300"/>
      <c r="AT230" s="300"/>
      <c r="AU230" s="300"/>
      <c r="AV230" s="300"/>
      <c r="AW230" s="300"/>
      <c r="AX230" s="300"/>
      <c r="AY230" s="300"/>
      <c r="AZ230" s="300"/>
      <c r="BA230" s="300"/>
      <c r="BB230" s="300"/>
      <c r="BC230" s="301"/>
      <c r="BF230" s="912"/>
    </row>
    <row r="231" spans="1:58" ht="11.25" customHeight="1">
      <c r="BD231" s="124"/>
    </row>
  </sheetData>
  <sheetProtection formatColumns="0" formatRows="0" insertRows="0" deleteColumns="0" deleteRows="0" sort="0" autoFilter="0"/>
  <mergeCells count="13">
    <mergeCell ref="Z27:Z125"/>
    <mergeCell ref="X27:X125"/>
    <mergeCell ref="AB229:BC229"/>
    <mergeCell ref="AB230:AC230"/>
    <mergeCell ref="AB228:BC228"/>
    <mergeCell ref="AB227:BC227"/>
    <mergeCell ref="Z126:Z224"/>
    <mergeCell ref="X126:X224"/>
    <mergeCell ref="AB23:BB23"/>
    <mergeCell ref="AB24:AB25"/>
    <mergeCell ref="AC24:AC25"/>
    <mergeCell ref="AD24:AD25"/>
    <mergeCell ref="BC24:BC25"/>
  </mergeCells>
  <dataValidations count="1">
    <dataValidation type="decimal" allowBlank="1" showErrorMessage="1" errorTitle="Ошибка" error="Допускается ввод только неотрицательных чисел!" sqref="AE61:BB69 BB117:BB125 BB128:BB130 BB132:BB140 BB142:BB144 BB146:BB154 BB156:BB158 BB160:BB168 BB170:BB172 BB174:BB182 BB198:BB210 BB212:BB214 BB216:BB224 BA117:BA125 BA128:BA130 BA132:BA140 BA142:BA144 BA146:BA154 BA156:BA158 BA160:BA168 BA170:BA172 BA174:BA182 BA198:BA210 BA212:BA214 BA216:BA224 AZ117:AZ125 AZ128:AZ130 AZ132:AZ140 AZ142:AZ144 AZ146:AZ154 AZ156:AZ158 AZ160:AZ168 AZ170:AZ172 AZ174:AZ182 AZ198:AZ210 AZ212:AZ214 AZ216:AZ224 AY117:AY125 AY128:AY130 AY132:AY140 AY142:AY144 AY146:AY154 AY156:AY158 AY160:AY168 AY170:AY172 AY174:AY182 AY198:AY210 AY212:AY214 AY216:AY224 AX117:AX125 AX128:AX130 AX132:AX140 AX142:AX144 AX146:AX154 AX156:AX158 AX160:AX168 AX170:AX172 AX174:AX182 AX198:AX210 AX212:AX214 AX216:AX224 AW117:AW125 AW128:AW130 AW132:AW140 AW142:AW144 AW146:AW154 AW156:AW158 AW160:AW168 AW170:AW172 AW174:AW182 AW198:AW210 AW212:AW214 AW216:AW224 AV117:AV125 AV128:AV130 AV132:AV140 AV142:AV144 AV146:AV154 AV156:AV158 AV160:AV168 AV170:AV172 AV174:AV182 AV198:AV210 AV212:AV214 AV216:AV224 AU117:AU125 AU128:AU130 AU132:AU140 AU142:AU144 AU146:AU154 AU156:AU158 AU160:AU168 AU170:AU172 AU174:AU182 AU198:AU210 AU212:AU214 AU216:AU224 AT117:AT125 AT128:AT130 AT132:AT140 AT142:AT144 AT146:AT154 AT156:AT158 AT160:AT168 AT170:AT172 AT174:AT182 AT198:AT210 AT212:AT214 AT216:AT224 AS117:AS125 AS128:AS130 AS132:AS140 AS142:AS144 AS146:AS154 AS156:AS158 AS160:AS168 AS170:AS172 AS174:AS182 AS198:AS210 AS212:AS214 AS216:AS224 AR117:AR125 AR128:AR130 AR132:AR140 AR142:AR144 AR146:AR154 AR156:AR158 AR160:AR168 AR170:AR172 AR174:AR182 AR198:AR210 AR212:AR214 AR216:AR224 AQ117:AQ125 AQ128:AQ130 AQ132:AQ140 AQ142:AQ144 AQ146:AQ154 AQ156:AQ158 AQ160:AQ168 AQ170:AQ172 AQ174:AQ182 AQ198:AQ210 AQ212:AQ214 AQ216:AQ224 AP117:AP125 AP128:AP130 AP132:AP140 AP142:AP144 AP146:AP154 AP156:AP158 AP160:AP168 AP170:AP172 AP174:AP182 AP198:AP210 AP212:AP214 AP216:AP224 AO117:AO125 AO128:AO130 AO132:AO140 AO142:AO144 AO146:AO154 AO156:AO158 AO160:AO168 AO170:AO172 AO174:AO182 AO198:AO210 AO212:AO214 AO216:AO224 AN117:AN125 AN128:AN130 AN132:AN140 AN142:AN144 AN146:AN154 AN156:AN158 AN160:AN168 AN170:AN172 AN174:AN182 AN198:AN210 AN212:AN214 AN216:AN224 AM117:AM125 AM128:AM130 AM132:AM140 AM142:AM144 AM146:AM154 AM156:AM158 AM160:AM168 AM170:AM172 AM174:AM182 AM198:AM210 AM212:AM214 AM216:AM224 AL117:AL125 AL128:AL130 AL132:AL140 AL142:AL144 AL146:AL154 AL156:AL158 AL160:AL168 AL170:AL172 AL174:AL182 AL198:AL210 AL212:AL214 AL216:AL224 AK117:AK125 AK128:AK130 AK132:AK140 AK142:AK144 AK146:AK154 AK156:AK158 AK160:AK168 AK170:AK172 AK174:AK182 AK198:AK210 AK212:AK214 AK216:AK224 AJ117:AJ125 AJ128:AJ130 AJ132:AJ140 AJ142:AJ144 AJ146:AJ154 AJ156:AJ158 AJ160:AJ168 AJ170:AJ172 AJ174:AJ182 AJ198:AJ210 AJ212:AJ214 AJ216:AJ224 AI117:AI125 AI128:AI130 AI132:AI140 AI142:AI144 AI146:AI154 AI156:AI158 AI160:AI168 AI170:AI172 AI174:AI182 AI198:AI210 AI212:AI214 AI216:AI224 AH117:AH125 AH128:AH130 AH132:AH140 AH142:AH144 AH146:AH154 AH156:AH158 AH160:AH168 AH170:AH172 AH174:AH182 AH198:AH210 AH212:AH214 AH216:AH224 AG117:AG125 AG128:AG130 AG132:AG140 AG142:AG144 AG146:AG154 AG156:AG158 AG160:AG168 AG170:AG172 AG174:AG182 AG198:AG210 AG212:AG214 AG216:AG224 AF117:AF125 AF128:AF130 AF132:AF140 AF142:AF144 AF146:AF154 AF156:AF158 AF160:AF168 AF170:AF172 AF174:AF182 AF198:AF210 AF212:AF214 AF216:AF224 AE117:AE125 AE128:AE130 AE132:AE140 AE142:AE144 AE146:AE154 AE156:AE158 AE160:AE168 AE170:AE172 AE174:AE182 AE198:AE210 AE212:AE214 AE216:AE224 AE57:BB59 AE47:BB55 AE113:BB115 AE29:BB31 AE33:BB41 AE75:BB83 AE43:BB45 AE99:BB111 AE71:BB73">
      <formula1>0</formula1>
      <formula2>9.99999999999999E+23</formula2>
    </dataValidation>
  </dataValidations>
  <pageMargins left="0.35" right="0.35" top="0.4" bottom="0.4" header="0.31" footer="0.31"/>
  <pageSetup paperSize="9" scale="63" fitToHeight="0"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pageSetUpPr fitToPage="1"/>
  </sheetPr>
  <dimension ref="A1:BF56"/>
  <sheetViews>
    <sheetView showGridLines="0" workbookViewId="0">
      <pane xSplit="30" ySplit="26" topLeftCell="AE39" activePane="bottomRight" state="frozen"/>
      <selection pane="topRight" activeCell="AE1" sqref="AE1"/>
      <selection pane="bottomLeft" activeCell="A27" sqref="A27"/>
      <selection pane="bottomRight" activeCell="AA21" sqref="AA21"/>
    </sheetView>
  </sheetViews>
  <sheetFormatPr defaultColWidth="9.140625" defaultRowHeight="11.25" customHeight="1"/>
  <cols>
    <col min="1" max="1" width="3.5703125" style="988" hidden="1" customWidth="1"/>
    <col min="2" max="2" width="8.5703125" style="718" hidden="1" customWidth="1"/>
    <col min="3" max="4" width="3.5703125" style="1012" hidden="1" customWidth="1"/>
    <col min="5" max="5" width="8.42578125" style="717" hidden="1" customWidth="1"/>
    <col min="6" max="6" width="3.5703125" style="1012" hidden="1" customWidth="1"/>
    <col min="7" max="16" width="3.5703125" style="394" hidden="1" customWidth="1"/>
    <col min="17" max="18" width="3.5703125" style="719" hidden="1" customWidth="1"/>
    <col min="19" max="19" width="3.5703125" style="394" hidden="1" customWidth="1"/>
    <col min="20" max="20" width="9.42578125" style="1012" hidden="1" customWidth="1"/>
    <col min="21" max="21" width="6" style="1012" hidden="1" customWidth="1"/>
    <col min="22" max="23" width="6.28515625" style="1012" hidden="1" customWidth="1"/>
    <col min="24" max="25" width="5.7109375" style="1012" hidden="1" customWidth="1"/>
    <col min="26" max="26" width="5.42578125" style="1012" hidden="1" customWidth="1"/>
    <col min="27" max="27" width="3" style="157" customWidth="1"/>
    <col min="28" max="28" width="5.28515625" style="157" customWidth="1"/>
    <col min="29" max="29" width="58" style="157" customWidth="1"/>
    <col min="30" max="30" width="12.140625" style="157" customWidth="1"/>
    <col min="31" max="31" width="13.140625" style="158" customWidth="1"/>
    <col min="32" max="35" width="13.140625" style="157" customWidth="1"/>
    <col min="36" max="44" width="13.140625" style="157" hidden="1" customWidth="1"/>
    <col min="45" max="45" width="13.140625" style="157" customWidth="1"/>
    <col min="46" max="54" width="13.140625" style="157" hidden="1" customWidth="1"/>
    <col min="55" max="55" width="20.140625" style="157" customWidth="1"/>
    <col min="56" max="56" width="3" style="157" customWidth="1"/>
    <col min="57" max="57" width="9.140625" style="157" hidden="1"/>
    <col min="58" max="58" width="9.140625" style="930" hidden="1"/>
  </cols>
  <sheetData>
    <row r="1" spans="1:58" s="1012" customFormat="1" ht="12" hidden="1" customHeight="1">
      <c r="A1" s="986"/>
      <c r="B1" s="718"/>
      <c r="E1" s="718"/>
      <c r="F1" s="992" t="s">
        <v>77</v>
      </c>
      <c r="G1" s="394"/>
      <c r="H1" s="394"/>
      <c r="I1" s="394"/>
      <c r="J1" s="394"/>
      <c r="K1" s="394"/>
      <c r="L1" s="394"/>
      <c r="M1" s="394"/>
      <c r="N1" s="394"/>
      <c r="O1" s="394"/>
      <c r="P1" s="394"/>
      <c r="Q1" s="719"/>
      <c r="R1" s="719"/>
      <c r="S1" s="394"/>
      <c r="T1" s="634" t="s">
        <v>78</v>
      </c>
      <c r="U1" s="634" t="s">
        <v>83</v>
      </c>
      <c r="V1" s="634" t="s">
        <v>79</v>
      </c>
      <c r="W1" s="634" t="s">
        <v>80</v>
      </c>
      <c r="X1" s="634" t="s">
        <v>81</v>
      </c>
      <c r="Y1" s="645" t="s">
        <v>274</v>
      </c>
      <c r="Z1" s="634" t="s">
        <v>85</v>
      </c>
      <c r="AA1" s="645" t="s">
        <v>82</v>
      </c>
      <c r="AB1" s="645" t="s">
        <v>84</v>
      </c>
      <c r="BF1" s="930" t="s">
        <v>275</v>
      </c>
    </row>
    <row r="2" spans="1:58" s="718" customFormat="1" ht="12" hidden="1" customHeight="1">
      <c r="A2" s="987"/>
      <c r="B2" s="720" t="s">
        <v>15</v>
      </c>
      <c r="G2" s="753"/>
      <c r="H2" s="753"/>
      <c r="I2" s="753"/>
      <c r="J2" s="753"/>
      <c r="K2" s="753"/>
      <c r="L2" s="753"/>
      <c r="M2" s="753"/>
      <c r="N2" s="753"/>
      <c r="O2" s="753"/>
      <c r="P2" s="753"/>
      <c r="Q2" s="753"/>
      <c r="R2" s="753"/>
      <c r="S2" s="753"/>
      <c r="AI2" s="635" t="b">
        <f t="shared" ref="AI2:BB2" si="0">AI6&lt;=last_year_vis</f>
        <v>1</v>
      </c>
      <c r="AJ2" s="635" t="b">
        <f t="shared" si="0"/>
        <v>0</v>
      </c>
      <c r="AK2" s="635" t="b">
        <f t="shared" si="0"/>
        <v>0</v>
      </c>
      <c r="AL2" s="635" t="b">
        <f t="shared" si="0"/>
        <v>0</v>
      </c>
      <c r="AM2" s="635" t="b">
        <f t="shared" si="0"/>
        <v>0</v>
      </c>
      <c r="AN2" s="635" t="b">
        <f t="shared" si="0"/>
        <v>0</v>
      </c>
      <c r="AO2" s="635" t="b">
        <f t="shared" si="0"/>
        <v>0</v>
      </c>
      <c r="AP2" s="635" t="b">
        <f t="shared" si="0"/>
        <v>0</v>
      </c>
      <c r="AQ2" s="635" t="b">
        <f t="shared" si="0"/>
        <v>0</v>
      </c>
      <c r="AR2" s="635" t="b">
        <f t="shared" si="0"/>
        <v>0</v>
      </c>
      <c r="AS2" s="635" t="b">
        <f t="shared" si="0"/>
        <v>1</v>
      </c>
      <c r="AT2" s="635" t="b">
        <f t="shared" si="0"/>
        <v>0</v>
      </c>
      <c r="AU2" s="635" t="b">
        <f t="shared" si="0"/>
        <v>0</v>
      </c>
      <c r="AV2" s="635" t="b">
        <f t="shared" si="0"/>
        <v>0</v>
      </c>
      <c r="AW2" s="635" t="b">
        <f t="shared" si="0"/>
        <v>0</v>
      </c>
      <c r="AX2" s="635" t="b">
        <f t="shared" si="0"/>
        <v>0</v>
      </c>
      <c r="AY2" s="635" t="b">
        <f t="shared" si="0"/>
        <v>0</v>
      </c>
      <c r="AZ2" s="635" t="b">
        <f t="shared" si="0"/>
        <v>0</v>
      </c>
      <c r="BA2" s="635" t="b">
        <f t="shared" si="0"/>
        <v>0</v>
      </c>
      <c r="BB2" s="635" t="b">
        <f t="shared" si="0"/>
        <v>0</v>
      </c>
      <c r="BF2" s="933"/>
    </row>
    <row r="3" spans="1:58" s="1012" customFormat="1" ht="12" hidden="1" customHeight="1">
      <c r="A3" s="986"/>
      <c r="B3" s="718"/>
      <c r="E3" s="718"/>
      <c r="G3" s="394"/>
      <c r="H3" s="394"/>
      <c r="I3" s="394"/>
      <c r="J3" s="394"/>
      <c r="K3" s="394"/>
      <c r="L3" s="394"/>
      <c r="M3" s="394"/>
      <c r="N3" s="394"/>
      <c r="O3" s="394"/>
      <c r="P3" s="394"/>
      <c r="Q3" s="719"/>
      <c r="R3" s="719"/>
      <c r="S3" s="394"/>
      <c r="BF3" s="930"/>
    </row>
    <row r="4" spans="1:58" s="1012" customFormat="1" ht="12" hidden="1" customHeight="1">
      <c r="A4" s="986"/>
      <c r="B4" s="718"/>
      <c r="E4" s="718"/>
      <c r="G4" s="394"/>
      <c r="H4" s="394"/>
      <c r="I4" s="394"/>
      <c r="J4" s="394"/>
      <c r="K4" s="394"/>
      <c r="L4" s="394"/>
      <c r="M4" s="394"/>
      <c r="N4" s="394"/>
      <c r="O4" s="394"/>
      <c r="P4" s="394"/>
      <c r="Q4" s="719"/>
      <c r="R4" s="719"/>
      <c r="S4" s="394"/>
      <c r="BF4" s="930"/>
    </row>
    <row r="5" spans="1:58" s="717" customFormat="1" ht="12" hidden="1" customHeight="1">
      <c r="A5" s="987"/>
      <c r="B5" s="718"/>
      <c r="C5" s="718"/>
      <c r="D5" s="718"/>
      <c r="E5" s="717" t="s">
        <v>16</v>
      </c>
      <c r="G5" s="754"/>
      <c r="H5" s="754"/>
      <c r="I5" s="754"/>
      <c r="J5" s="754"/>
      <c r="K5" s="754"/>
      <c r="L5" s="754"/>
      <c r="M5" s="754"/>
      <c r="N5" s="754"/>
      <c r="O5" s="754"/>
      <c r="P5" s="754"/>
      <c r="Q5" s="754"/>
      <c r="R5" s="754"/>
      <c r="S5" s="754"/>
      <c r="AA5" s="717">
        <v>3</v>
      </c>
      <c r="AB5" s="717">
        <v>5.25</v>
      </c>
      <c r="AC5" s="717">
        <v>58</v>
      </c>
      <c r="AD5" s="717">
        <v>12.13</v>
      </c>
      <c r="AE5" s="717">
        <v>13.13</v>
      </c>
      <c r="AF5" s="717">
        <v>13.13</v>
      </c>
      <c r="AG5" s="717">
        <v>13.13</v>
      </c>
      <c r="AH5" s="717">
        <v>13.13</v>
      </c>
      <c r="AI5" s="717">
        <v>13.13</v>
      </c>
      <c r="AJ5" s="717">
        <v>13.13</v>
      </c>
      <c r="AK5" s="717">
        <v>13.13</v>
      </c>
      <c r="AL5" s="717">
        <v>13.13</v>
      </c>
      <c r="AM5" s="717">
        <v>13.13</v>
      </c>
      <c r="AN5" s="717">
        <v>13.13</v>
      </c>
      <c r="AO5" s="717">
        <v>13.13</v>
      </c>
      <c r="AP5" s="717">
        <v>13.13</v>
      </c>
      <c r="AQ5" s="717">
        <v>13.13</v>
      </c>
      <c r="AR5" s="717">
        <v>13.13</v>
      </c>
      <c r="AS5" s="717">
        <v>13.13</v>
      </c>
      <c r="AT5" s="717">
        <v>13.13</v>
      </c>
      <c r="AU5" s="717">
        <v>13.13</v>
      </c>
      <c r="AV5" s="717">
        <v>13.13</v>
      </c>
      <c r="AW5" s="717">
        <v>13.13</v>
      </c>
      <c r="AX5" s="717">
        <v>13.13</v>
      </c>
      <c r="AY5" s="717">
        <v>13.13</v>
      </c>
      <c r="AZ5" s="717">
        <v>13.13</v>
      </c>
      <c r="BA5" s="717">
        <v>13.13</v>
      </c>
      <c r="BB5" s="717">
        <v>13.13</v>
      </c>
      <c r="BC5" s="717">
        <v>20.13</v>
      </c>
      <c r="BD5" s="717">
        <v>3</v>
      </c>
      <c r="BF5" s="933"/>
    </row>
    <row r="6" spans="1:58" s="1012" customFormat="1" ht="12" hidden="1" customHeight="1">
      <c r="A6" s="986"/>
      <c r="B6" s="718"/>
      <c r="E6" s="717"/>
      <c r="G6" s="394"/>
      <c r="H6" s="394"/>
      <c r="I6" s="394"/>
      <c r="J6" s="394"/>
      <c r="K6" s="394"/>
      <c r="L6" s="394"/>
      <c r="M6" s="394"/>
      <c r="N6" s="394"/>
      <c r="O6" s="394"/>
      <c r="P6" s="394"/>
      <c r="Q6" s="719"/>
      <c r="R6" s="719"/>
      <c r="S6" s="394"/>
      <c r="AE6" s="748">
        <f>god-2</f>
        <v>2024</v>
      </c>
      <c r="AF6" s="748">
        <f>god-2</f>
        <v>2024</v>
      </c>
      <c r="AG6" s="748">
        <f>god-2</f>
        <v>2024</v>
      </c>
      <c r="AH6" s="748">
        <f>god-1</f>
        <v>2025</v>
      </c>
      <c r="AI6" s="113">
        <f>god</f>
        <v>2026</v>
      </c>
      <c r="AJ6" s="113">
        <f>god+1</f>
        <v>2027</v>
      </c>
      <c r="AK6" s="113">
        <f>god+2</f>
        <v>2028</v>
      </c>
      <c r="AL6" s="113">
        <f>god+3</f>
        <v>2029</v>
      </c>
      <c r="AM6" s="113">
        <f>god+4</f>
        <v>2030</v>
      </c>
      <c r="AN6" s="113">
        <f>god+5</f>
        <v>2031</v>
      </c>
      <c r="AO6" s="113">
        <f>god+6</f>
        <v>2032</v>
      </c>
      <c r="AP6" s="113">
        <f>god+7</f>
        <v>2033</v>
      </c>
      <c r="AQ6" s="113">
        <f>god+8</f>
        <v>2034</v>
      </c>
      <c r="AR6" s="113">
        <f>god+9</f>
        <v>2035</v>
      </c>
      <c r="AS6" s="113">
        <f>god</f>
        <v>2026</v>
      </c>
      <c r="AT6" s="113">
        <f>god+1</f>
        <v>2027</v>
      </c>
      <c r="AU6" s="113">
        <f>god+2</f>
        <v>2028</v>
      </c>
      <c r="AV6" s="113">
        <f>god+3</f>
        <v>2029</v>
      </c>
      <c r="AW6" s="113">
        <f>god+4</f>
        <v>2030</v>
      </c>
      <c r="AX6" s="113">
        <f>god+5</f>
        <v>2031</v>
      </c>
      <c r="AY6" s="113">
        <f>god+6</f>
        <v>2032</v>
      </c>
      <c r="AZ6" s="113">
        <f>god+7</f>
        <v>2033</v>
      </c>
      <c r="BA6" s="113">
        <f>god+8</f>
        <v>2034</v>
      </c>
      <c r="BB6" s="113">
        <f>god+9</f>
        <v>2035</v>
      </c>
      <c r="BF6" s="930"/>
    </row>
    <row r="7" spans="1:58" s="394" customFormat="1" ht="12" hidden="1" customHeight="1">
      <c r="A7" s="986"/>
      <c r="B7" s="718"/>
      <c r="C7" s="748"/>
      <c r="D7" s="748"/>
      <c r="E7" s="717"/>
      <c r="Q7" s="719"/>
      <c r="R7" s="719"/>
      <c r="AE7" s="394" t="str">
        <f t="shared" ref="AE7:BB7" si="1">AE25</f>
        <v>Принято органом регулирования</v>
      </c>
      <c r="AF7" s="394" t="str">
        <f t="shared" si="1"/>
        <v>Факт по данным организации</v>
      </c>
      <c r="AG7" s="394" t="str">
        <f t="shared" si="1"/>
        <v>Факт, принятый органом регулирования</v>
      </c>
      <c r="AH7" s="394" t="str">
        <f t="shared" si="1"/>
        <v>Принято органом регулирования</v>
      </c>
      <c r="AI7" s="394" t="str">
        <f t="shared" si="1"/>
        <v>Предложение организации</v>
      </c>
      <c r="AJ7" s="394" t="str">
        <f t="shared" si="1"/>
        <v>Предложение организации</v>
      </c>
      <c r="AK7" s="394" t="str">
        <f t="shared" si="1"/>
        <v>Предложение организации</v>
      </c>
      <c r="AL7" s="394" t="str">
        <f t="shared" si="1"/>
        <v>Предложение организации</v>
      </c>
      <c r="AM7" s="394" t="str">
        <f t="shared" si="1"/>
        <v>Предложение организации</v>
      </c>
      <c r="AN7" s="394" t="str">
        <f t="shared" si="1"/>
        <v>Предложение организации</v>
      </c>
      <c r="AO7" s="394" t="str">
        <f t="shared" si="1"/>
        <v>Предложение организации</v>
      </c>
      <c r="AP7" s="394" t="str">
        <f t="shared" si="1"/>
        <v>Предложение организации</v>
      </c>
      <c r="AQ7" s="394" t="str">
        <f t="shared" si="1"/>
        <v>Предложение организации</v>
      </c>
      <c r="AR7" s="394" t="str">
        <f t="shared" si="1"/>
        <v>Предложение организации</v>
      </c>
      <c r="AS7" s="394" t="str">
        <f t="shared" si="1"/>
        <v>Принято органом регулирования</v>
      </c>
      <c r="AT7" s="394" t="str">
        <f t="shared" si="1"/>
        <v>Принято органом регулирования</v>
      </c>
      <c r="AU7" s="394" t="str">
        <f t="shared" si="1"/>
        <v>Принято органом регулирования</v>
      </c>
      <c r="AV7" s="394" t="str">
        <f t="shared" si="1"/>
        <v>Принято органом регулирования</v>
      </c>
      <c r="AW7" s="394" t="str">
        <f t="shared" si="1"/>
        <v>Принято органом регулирования</v>
      </c>
      <c r="AX7" s="394" t="str">
        <f t="shared" si="1"/>
        <v>Принято органом регулирования</v>
      </c>
      <c r="AY7" s="394" t="str">
        <f t="shared" si="1"/>
        <v>Принято органом регулирования</v>
      </c>
      <c r="AZ7" s="394" t="str">
        <f t="shared" si="1"/>
        <v>Принято органом регулирования</v>
      </c>
      <c r="BA7" s="394" t="str">
        <f t="shared" si="1"/>
        <v>Принято органом регулирования</v>
      </c>
      <c r="BB7" s="394" t="str">
        <f t="shared" si="1"/>
        <v>Принято органом регулирования</v>
      </c>
      <c r="BF7" s="930"/>
    </row>
    <row r="8" spans="1:58" s="394" customFormat="1" ht="12" hidden="1" customHeight="1">
      <c r="A8" s="986"/>
      <c r="B8" s="718"/>
      <c r="C8" s="748"/>
      <c r="D8" s="748"/>
      <c r="E8" s="717"/>
      <c r="Q8" s="719"/>
      <c r="R8" s="719"/>
      <c r="BF8" s="930"/>
    </row>
    <row r="9" spans="1:58" s="928" customFormat="1" ht="12" hidden="1" customHeight="1">
      <c r="A9" s="926" t="s">
        <v>327</v>
      </c>
      <c r="B9" s="927"/>
      <c r="E9" s="927"/>
      <c r="Q9" s="929"/>
      <c r="R9" s="929"/>
      <c r="AE9" s="928">
        <f>god-2</f>
        <v>2024</v>
      </c>
      <c r="AF9" s="928">
        <f>god-2</f>
        <v>2024</v>
      </c>
      <c r="AG9" s="928">
        <f>god-2</f>
        <v>2024</v>
      </c>
      <c r="AH9" s="928">
        <f>god-1</f>
        <v>2025</v>
      </c>
      <c r="AI9" s="928">
        <f>god</f>
        <v>2026</v>
      </c>
      <c r="AJ9" s="928">
        <f>god+1</f>
        <v>2027</v>
      </c>
      <c r="AK9" s="928">
        <f>god+2</f>
        <v>2028</v>
      </c>
      <c r="AL9" s="928">
        <f>god+3</f>
        <v>2029</v>
      </c>
      <c r="AM9" s="928">
        <f>god+4</f>
        <v>2030</v>
      </c>
      <c r="AN9" s="928">
        <f>god+5</f>
        <v>2031</v>
      </c>
      <c r="AO9" s="928">
        <f>god+6</f>
        <v>2032</v>
      </c>
      <c r="AP9" s="928">
        <f>god+7</f>
        <v>2033</v>
      </c>
      <c r="AQ9" s="928">
        <f>god+8</f>
        <v>2034</v>
      </c>
      <c r="AR9" s="928">
        <f>god+9</f>
        <v>2035</v>
      </c>
      <c r="AS9" s="928">
        <f>god</f>
        <v>2026</v>
      </c>
      <c r="AT9" s="928">
        <f>god+1</f>
        <v>2027</v>
      </c>
      <c r="AU9" s="928">
        <f>god+2</f>
        <v>2028</v>
      </c>
      <c r="AV9" s="928">
        <f>god+3</f>
        <v>2029</v>
      </c>
      <c r="AW9" s="928">
        <f>god+4</f>
        <v>2030</v>
      </c>
      <c r="AX9" s="928">
        <f>god+5</f>
        <v>2031</v>
      </c>
      <c r="AY9" s="928">
        <f>god+6</f>
        <v>2032</v>
      </c>
      <c r="AZ9" s="928">
        <f>god+7</f>
        <v>2033</v>
      </c>
      <c r="BA9" s="928">
        <f>god+8</f>
        <v>2034</v>
      </c>
      <c r="BB9" s="928">
        <f>god+9</f>
        <v>2035</v>
      </c>
      <c r="BF9" s="930"/>
    </row>
    <row r="10" spans="1:58" s="928" customFormat="1" ht="12" hidden="1" customHeight="1">
      <c r="A10" s="926" t="s">
        <v>328</v>
      </c>
      <c r="B10" s="927"/>
      <c r="E10" s="927"/>
      <c r="Q10" s="929"/>
      <c r="R10" s="929"/>
      <c r="AE10" s="928" t="str">
        <f t="shared" ref="AE10:BB10" si="2">AE25</f>
        <v>Принято органом регулирования</v>
      </c>
      <c r="AF10" s="928" t="str">
        <f t="shared" si="2"/>
        <v>Факт по данным организации</v>
      </c>
      <c r="AG10" s="928" t="str">
        <f t="shared" si="2"/>
        <v>Факт, принятый органом регулирования</v>
      </c>
      <c r="AH10" s="928" t="str">
        <f t="shared" si="2"/>
        <v>Принято органом регулирования</v>
      </c>
      <c r="AI10" s="928" t="str">
        <f t="shared" si="2"/>
        <v>Предложение организации</v>
      </c>
      <c r="AJ10" s="928" t="str">
        <f t="shared" si="2"/>
        <v>Предложение организации</v>
      </c>
      <c r="AK10" s="928" t="str">
        <f t="shared" si="2"/>
        <v>Предложение организации</v>
      </c>
      <c r="AL10" s="928" t="str">
        <f t="shared" si="2"/>
        <v>Предложение организации</v>
      </c>
      <c r="AM10" s="928" t="str">
        <f t="shared" si="2"/>
        <v>Предложение организации</v>
      </c>
      <c r="AN10" s="928" t="str">
        <f t="shared" si="2"/>
        <v>Предложение организации</v>
      </c>
      <c r="AO10" s="928" t="str">
        <f t="shared" si="2"/>
        <v>Предложение организации</v>
      </c>
      <c r="AP10" s="928" t="str">
        <f t="shared" si="2"/>
        <v>Предложение организации</v>
      </c>
      <c r="AQ10" s="928" t="str">
        <f t="shared" si="2"/>
        <v>Предложение организации</v>
      </c>
      <c r="AR10" s="928" t="str">
        <f t="shared" si="2"/>
        <v>Предложение организации</v>
      </c>
      <c r="AS10" s="928" t="str">
        <f t="shared" si="2"/>
        <v>Принято органом регулирования</v>
      </c>
      <c r="AT10" s="928" t="str">
        <f t="shared" si="2"/>
        <v>Принято органом регулирования</v>
      </c>
      <c r="AU10" s="928" t="str">
        <f t="shared" si="2"/>
        <v>Принято органом регулирования</v>
      </c>
      <c r="AV10" s="928" t="str">
        <f t="shared" si="2"/>
        <v>Принято органом регулирования</v>
      </c>
      <c r="AW10" s="928" t="str">
        <f t="shared" si="2"/>
        <v>Принято органом регулирования</v>
      </c>
      <c r="AX10" s="928" t="str">
        <f t="shared" si="2"/>
        <v>Принято органом регулирования</v>
      </c>
      <c r="AY10" s="928" t="str">
        <f t="shared" si="2"/>
        <v>Принято органом регулирования</v>
      </c>
      <c r="AZ10" s="928" t="str">
        <f t="shared" si="2"/>
        <v>Принято органом регулирования</v>
      </c>
      <c r="BA10" s="928" t="str">
        <f t="shared" si="2"/>
        <v>Принято органом регулирования</v>
      </c>
      <c r="BB10" s="928" t="str">
        <f t="shared" si="2"/>
        <v>Принято органом регулирования</v>
      </c>
      <c r="BF10" s="930"/>
    </row>
    <row r="11" spans="1:58" s="928" customFormat="1" ht="12" hidden="1" customHeight="1">
      <c r="A11" s="926" t="s">
        <v>329</v>
      </c>
      <c r="B11" s="927"/>
      <c r="E11" s="927"/>
      <c r="G11" s="931"/>
      <c r="H11" s="931"/>
      <c r="I11" s="931"/>
      <c r="J11" s="931"/>
      <c r="K11" s="931"/>
      <c r="L11" s="931"/>
      <c r="M11" s="931"/>
      <c r="N11" s="931"/>
      <c r="O11" s="931"/>
      <c r="P11" s="931"/>
      <c r="Q11" s="932"/>
      <c r="R11" s="932"/>
      <c r="S11" s="931"/>
      <c r="BC11" s="928" t="str">
        <f>BC24</f>
        <v>Ссылка на правовую норму (основание для принятия показателя в расчет тарифа)</v>
      </c>
      <c r="BF11" s="930"/>
    </row>
    <row r="12" spans="1:58" s="1012" customFormat="1" ht="12" hidden="1" customHeight="1">
      <c r="A12" s="986"/>
      <c r="B12" s="718"/>
      <c r="E12" s="717"/>
      <c r="G12" s="394"/>
      <c r="H12" s="394"/>
      <c r="I12" s="394"/>
      <c r="J12" s="394"/>
      <c r="K12" s="394"/>
      <c r="L12" s="394"/>
      <c r="M12" s="394"/>
      <c r="N12" s="394"/>
      <c r="O12" s="394"/>
      <c r="P12" s="394"/>
      <c r="Q12" s="719"/>
      <c r="R12" s="719"/>
      <c r="S12" s="394"/>
      <c r="BF12" s="930"/>
    </row>
    <row r="13" spans="1:58" s="1012" customFormat="1" ht="12" hidden="1" customHeight="1">
      <c r="A13" s="986"/>
      <c r="B13" s="718"/>
      <c r="E13" s="717"/>
      <c r="G13" s="394"/>
      <c r="H13" s="394"/>
      <c r="I13" s="394"/>
      <c r="J13" s="394"/>
      <c r="K13" s="394"/>
      <c r="L13" s="394"/>
      <c r="M13" s="394"/>
      <c r="N13" s="394"/>
      <c r="O13" s="394"/>
      <c r="P13" s="394"/>
      <c r="Q13" s="719"/>
      <c r="R13" s="719"/>
      <c r="S13" s="394"/>
      <c r="AI13" s="113"/>
      <c r="AJ13" s="113"/>
      <c r="AK13" s="113"/>
      <c r="AL13" s="113"/>
      <c r="AM13" s="113"/>
      <c r="AN13" s="113"/>
      <c r="AO13" s="113"/>
      <c r="AP13" s="113"/>
      <c r="AQ13" s="113"/>
      <c r="AR13" s="113"/>
      <c r="AS13" s="113"/>
      <c r="AT13" s="113"/>
      <c r="AU13" s="113"/>
      <c r="AV13" s="113"/>
      <c r="AW13" s="113"/>
      <c r="AX13" s="113"/>
      <c r="AY13" s="113"/>
      <c r="AZ13" s="113"/>
      <c r="BA13" s="113"/>
      <c r="BB13" s="113"/>
      <c r="BF13" s="930"/>
    </row>
    <row r="14" spans="1:58" s="1012" customFormat="1" ht="12" hidden="1" customHeight="1">
      <c r="A14" s="986"/>
      <c r="B14" s="718"/>
      <c r="E14" s="717"/>
      <c r="G14" s="394"/>
      <c r="H14" s="394"/>
      <c r="I14" s="394"/>
      <c r="J14" s="394"/>
      <c r="K14" s="394"/>
      <c r="L14" s="394"/>
      <c r="M14" s="394"/>
      <c r="N14" s="394"/>
      <c r="O14" s="394"/>
      <c r="P14" s="394"/>
      <c r="Q14" s="719"/>
      <c r="R14" s="719"/>
      <c r="S14" s="394"/>
      <c r="AI14" s="113"/>
      <c r="AJ14" s="113"/>
      <c r="AK14" s="113"/>
      <c r="AL14" s="113"/>
      <c r="AM14" s="113"/>
      <c r="AN14" s="113"/>
      <c r="AO14" s="113"/>
      <c r="AP14" s="113"/>
      <c r="AQ14" s="113"/>
      <c r="AR14" s="113"/>
      <c r="AS14" s="113"/>
      <c r="AT14" s="113"/>
      <c r="AU14" s="113"/>
      <c r="AV14" s="113"/>
      <c r="AW14" s="113"/>
      <c r="AX14" s="113"/>
      <c r="AY14" s="113"/>
      <c r="AZ14" s="113"/>
      <c r="BA14" s="113"/>
      <c r="BB14" s="113"/>
      <c r="BF14" s="930"/>
    </row>
    <row r="15" spans="1:58" s="1012" customFormat="1" ht="12" hidden="1" customHeight="1">
      <c r="A15" s="986"/>
      <c r="B15" s="718"/>
      <c r="E15" s="717"/>
      <c r="G15" s="394"/>
      <c r="H15" s="394"/>
      <c r="I15" s="394"/>
      <c r="J15" s="394"/>
      <c r="K15" s="394"/>
      <c r="L15" s="394"/>
      <c r="M15" s="394"/>
      <c r="N15" s="394"/>
      <c r="O15" s="394"/>
      <c r="P15" s="394"/>
      <c r="Q15" s="719"/>
      <c r="R15" s="719"/>
      <c r="S15" s="394"/>
      <c r="AI15" s="113"/>
      <c r="AJ15" s="113"/>
      <c r="AK15" s="113"/>
      <c r="AL15" s="113"/>
      <c r="AM15" s="113"/>
      <c r="AN15" s="113"/>
      <c r="AO15" s="113"/>
      <c r="AP15" s="113"/>
      <c r="AQ15" s="113"/>
      <c r="AR15" s="113"/>
      <c r="AS15" s="113"/>
      <c r="AT15" s="113"/>
      <c r="AU15" s="113"/>
      <c r="AV15" s="113"/>
      <c r="AW15" s="113"/>
      <c r="AX15" s="113"/>
      <c r="AY15" s="113"/>
      <c r="AZ15" s="113"/>
      <c r="BA15" s="113"/>
      <c r="BB15" s="113"/>
      <c r="BF15" s="930"/>
    </row>
    <row r="16" spans="1:58" s="1012" customFormat="1" ht="12" hidden="1" customHeight="1">
      <c r="A16" s="986"/>
      <c r="B16" s="718"/>
      <c r="E16" s="717"/>
      <c r="G16" s="394"/>
      <c r="H16" s="394"/>
      <c r="I16" s="394"/>
      <c r="J16" s="394"/>
      <c r="K16" s="394"/>
      <c r="L16" s="394"/>
      <c r="M16" s="394"/>
      <c r="N16" s="394"/>
      <c r="O16" s="394"/>
      <c r="P16" s="394"/>
      <c r="Q16" s="719"/>
      <c r="R16" s="719"/>
      <c r="S16" s="394"/>
      <c r="AI16" s="113"/>
      <c r="AJ16" s="113"/>
      <c r="AK16" s="113"/>
      <c r="AL16" s="113"/>
      <c r="AM16" s="113"/>
      <c r="AN16" s="113"/>
      <c r="AO16" s="113"/>
      <c r="AP16" s="113"/>
      <c r="AQ16" s="113"/>
      <c r="AR16" s="113"/>
      <c r="AS16" s="113"/>
      <c r="AT16" s="113"/>
      <c r="AU16" s="113"/>
      <c r="AV16" s="113"/>
      <c r="AW16" s="113"/>
      <c r="AX16" s="113"/>
      <c r="AY16" s="113"/>
      <c r="AZ16" s="113"/>
      <c r="BA16" s="113"/>
      <c r="BB16" s="113"/>
      <c r="BF16" s="930"/>
    </row>
    <row r="17" spans="1:58" s="1012" customFormat="1" ht="12" hidden="1" customHeight="1">
      <c r="A17" s="986"/>
      <c r="B17" s="718"/>
      <c r="E17" s="717"/>
      <c r="G17" s="394"/>
      <c r="H17" s="394"/>
      <c r="I17" s="394"/>
      <c r="J17" s="394"/>
      <c r="K17" s="394"/>
      <c r="L17" s="394"/>
      <c r="M17" s="394"/>
      <c r="N17" s="394"/>
      <c r="O17" s="394"/>
      <c r="P17" s="394"/>
      <c r="Q17" s="719"/>
      <c r="R17" s="719"/>
      <c r="S17" s="394"/>
      <c r="AX17" s="113"/>
      <c r="AY17" s="113"/>
      <c r="AZ17" s="113"/>
      <c r="BA17" s="113"/>
      <c r="BB17" s="113"/>
      <c r="BF17" s="930"/>
    </row>
    <row r="18" spans="1:58" s="1012" customFormat="1" ht="12" hidden="1" customHeight="1">
      <c r="A18" s="986"/>
      <c r="B18" s="718"/>
      <c r="E18" s="717"/>
      <c r="G18" s="394"/>
      <c r="H18" s="394"/>
      <c r="I18" s="394"/>
      <c r="J18" s="394"/>
      <c r="K18" s="394"/>
      <c r="L18" s="394"/>
      <c r="M18" s="394"/>
      <c r="N18" s="394"/>
      <c r="O18" s="394"/>
      <c r="P18" s="394"/>
      <c r="Q18" s="719"/>
      <c r="R18" s="719"/>
      <c r="S18" s="394"/>
      <c r="BF18" s="930"/>
    </row>
    <row r="19" spans="1:58" s="1012" customFormat="1" ht="12" hidden="1" customHeight="1">
      <c r="A19" s="986"/>
      <c r="B19" s="718"/>
      <c r="E19" s="717"/>
      <c r="G19" s="394"/>
      <c r="H19" s="394"/>
      <c r="I19" s="394"/>
      <c r="J19" s="394"/>
      <c r="K19" s="394"/>
      <c r="L19" s="394"/>
      <c r="M19" s="394"/>
      <c r="N19" s="394"/>
      <c r="O19" s="394"/>
      <c r="P19" s="394"/>
      <c r="Q19" s="719"/>
      <c r="R19" s="719"/>
      <c r="S19" s="394"/>
      <c r="BF19" s="930"/>
    </row>
    <row r="20" spans="1:58" s="1012" customFormat="1" ht="12" hidden="1" customHeight="1">
      <c r="A20" s="986"/>
      <c r="B20" s="718"/>
      <c r="E20" s="717"/>
      <c r="G20" s="394"/>
      <c r="H20" s="394"/>
      <c r="I20" s="394"/>
      <c r="J20" s="394"/>
      <c r="K20" s="394"/>
      <c r="L20" s="394"/>
      <c r="M20" s="394"/>
      <c r="N20" s="394"/>
      <c r="O20" s="394"/>
      <c r="P20" s="394"/>
      <c r="Q20" s="719"/>
      <c r="R20" s="719"/>
      <c r="S20" s="394"/>
      <c r="BF20" s="930"/>
    </row>
    <row r="21" spans="1:58" ht="14.65" customHeight="1">
      <c r="E21" s="717">
        <v>15</v>
      </c>
      <c r="AA21" s="646"/>
      <c r="AC21" s="730" t="str">
        <f>tpl_title</f>
        <v>Кемеровская область / 2026 / АО "СУЭК-Кузбасс" (ИНН:4212024138, КПП:421201001) / ДПР: 2024-2028</v>
      </c>
    </row>
    <row r="22" spans="1:58" s="157" customFormat="1" ht="19.5" customHeight="1">
      <c r="A22" s="988"/>
      <c r="B22" s="614"/>
      <c r="C22" s="113"/>
      <c r="D22" s="113"/>
      <c r="E22" s="623">
        <v>20.100000000000001</v>
      </c>
      <c r="F22" s="113"/>
      <c r="G22" s="150"/>
      <c r="H22" s="150"/>
      <c r="I22" s="150"/>
      <c r="J22" s="150"/>
      <c r="K22" s="150"/>
      <c r="L22" s="150"/>
      <c r="M22" s="150"/>
      <c r="N22" s="150"/>
      <c r="O22" s="150"/>
      <c r="P22" s="150"/>
      <c r="Q22" s="566"/>
      <c r="R22" s="566"/>
      <c r="S22" s="150"/>
      <c r="T22" s="113"/>
      <c r="U22" s="113"/>
      <c r="V22" s="113"/>
      <c r="W22" s="113"/>
      <c r="X22" s="113"/>
      <c r="Y22" s="113"/>
      <c r="Z22" s="113"/>
      <c r="AB22" s="306" t="s">
        <v>43</v>
      </c>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219"/>
      <c r="AZ22" s="219"/>
      <c r="BA22" s="219"/>
      <c r="BB22" s="219"/>
      <c r="BC22" s="219"/>
      <c r="BF22" s="912"/>
    </row>
    <row r="23" spans="1:58" s="157" customFormat="1" ht="11.1" customHeight="1">
      <c r="A23" s="988"/>
      <c r="B23" s="614"/>
      <c r="C23" s="113"/>
      <c r="D23" s="113"/>
      <c r="E23" s="623">
        <v>11.3</v>
      </c>
      <c r="F23" s="113"/>
      <c r="G23" s="150"/>
      <c r="H23" s="150"/>
      <c r="I23" s="150"/>
      <c r="J23" s="150"/>
      <c r="K23" s="150"/>
      <c r="L23" s="150"/>
      <c r="M23" s="150"/>
      <c r="N23" s="150"/>
      <c r="O23" s="150"/>
      <c r="P23" s="150"/>
      <c r="Q23" s="566"/>
      <c r="R23" s="566"/>
      <c r="S23" s="150"/>
      <c r="T23" s="113"/>
      <c r="U23" s="113"/>
      <c r="V23" s="113"/>
      <c r="W23" s="113"/>
      <c r="X23" s="113"/>
      <c r="Y23" s="113"/>
      <c r="Z23" s="113"/>
      <c r="AB23" s="159"/>
      <c r="AE23" s="142"/>
      <c r="BF23" s="912"/>
    </row>
    <row r="24" spans="1:58" s="157" customFormat="1" ht="14.65" customHeight="1">
      <c r="A24" s="988"/>
      <c r="B24" s="614"/>
      <c r="C24" s="113"/>
      <c r="D24" s="113"/>
      <c r="E24" s="623">
        <v>15</v>
      </c>
      <c r="F24" s="113"/>
      <c r="G24" s="150"/>
      <c r="H24" s="150"/>
      <c r="I24" s="150"/>
      <c r="J24" s="150"/>
      <c r="K24" s="150"/>
      <c r="L24" s="150"/>
      <c r="M24" s="150"/>
      <c r="N24" s="150"/>
      <c r="O24" s="150"/>
      <c r="P24" s="150"/>
      <c r="Q24" s="566"/>
      <c r="R24" s="566"/>
      <c r="S24" s="150"/>
      <c r="T24" s="113"/>
      <c r="U24" s="113"/>
      <c r="V24" s="113"/>
      <c r="W24" s="113"/>
      <c r="X24" s="113"/>
      <c r="Y24" s="113"/>
      <c r="Z24" s="113"/>
      <c r="AB24" s="1476" t="s">
        <v>288</v>
      </c>
      <c r="AC24" s="1476" t="s">
        <v>330</v>
      </c>
      <c r="AD24" s="1476" t="s">
        <v>964</v>
      </c>
      <c r="AE24" s="323" t="str">
        <f>god-2&amp;" год"</f>
        <v>2024 год</v>
      </c>
      <c r="AF24" s="1006" t="str">
        <f>god-2&amp;" год"</f>
        <v>2024 год</v>
      </c>
      <c r="AG24" s="323" t="str">
        <f>god-2&amp;" год"</f>
        <v>2024 год</v>
      </c>
      <c r="AH24" s="112" t="str">
        <f>god-1&amp;" год"</f>
        <v>2025 год</v>
      </c>
      <c r="AI24" s="1001" t="str">
        <f>god&amp;" год"</f>
        <v>2026 год</v>
      </c>
      <c r="AJ24" s="1001" t="str">
        <f>god+1&amp;" год"</f>
        <v>2027 год</v>
      </c>
      <c r="AK24" s="1001" t="str">
        <f>god+2&amp;" год"</f>
        <v>2028 год</v>
      </c>
      <c r="AL24" s="1001" t="str">
        <f>god+3&amp;" год"</f>
        <v>2029 год</v>
      </c>
      <c r="AM24" s="1001" t="str">
        <f>god+4&amp;" год"</f>
        <v>2030 год</v>
      </c>
      <c r="AN24" s="1001" t="str">
        <f>god+5&amp;" год"</f>
        <v>2031 год</v>
      </c>
      <c r="AO24" s="1001" t="str">
        <f>god+6&amp;" год"</f>
        <v>2032 год</v>
      </c>
      <c r="AP24" s="1001" t="str">
        <f>god+7&amp;" год"</f>
        <v>2033 год</v>
      </c>
      <c r="AQ24" s="1001" t="str">
        <f>god+8&amp;" год"</f>
        <v>2034 год</v>
      </c>
      <c r="AR24" s="1001" t="str">
        <f>god+9&amp;" год"</f>
        <v>2035 год</v>
      </c>
      <c r="AS24" s="108" t="str">
        <f>god&amp;" год"</f>
        <v>2026 год</v>
      </c>
      <c r="AT24" s="108" t="str">
        <f>god+1&amp;" год"</f>
        <v>2027 год</v>
      </c>
      <c r="AU24" s="108" t="str">
        <f>god+2&amp;" год"</f>
        <v>2028 год</v>
      </c>
      <c r="AV24" s="108" t="str">
        <f>god+3&amp;" год"</f>
        <v>2029 год</v>
      </c>
      <c r="AW24" s="108" t="str">
        <f>god+4&amp;" год"</f>
        <v>2030 год</v>
      </c>
      <c r="AX24" s="108" t="str">
        <f>god+5&amp;" год"</f>
        <v>2031 год</v>
      </c>
      <c r="AY24" s="108" t="str">
        <f>god+6&amp;" год"</f>
        <v>2032 год</v>
      </c>
      <c r="AZ24" s="108" t="str">
        <f>god+7&amp;" год"</f>
        <v>2033 год</v>
      </c>
      <c r="BA24" s="108" t="str">
        <f>god+8&amp;" год"</f>
        <v>2034 год</v>
      </c>
      <c r="BB24" s="108" t="str">
        <f>god+9&amp;" год"</f>
        <v>2035 год</v>
      </c>
      <c r="BC24" s="1417" t="s">
        <v>486</v>
      </c>
      <c r="BF24" s="912"/>
    </row>
    <row r="25" spans="1:58" s="157" customFormat="1" ht="48.75" customHeight="1">
      <c r="A25" s="988"/>
      <c r="B25" s="614"/>
      <c r="C25" s="113"/>
      <c r="D25" s="113"/>
      <c r="E25" s="623">
        <v>50.1</v>
      </c>
      <c r="F25" s="113"/>
      <c r="G25" s="150"/>
      <c r="H25" s="150"/>
      <c r="I25" s="150"/>
      <c r="J25" s="150"/>
      <c r="K25" s="150"/>
      <c r="L25" s="150"/>
      <c r="M25" s="150"/>
      <c r="N25" s="150"/>
      <c r="O25" s="150"/>
      <c r="P25" s="150"/>
      <c r="Q25" s="566"/>
      <c r="R25" s="566"/>
      <c r="S25" s="150"/>
      <c r="T25" s="113"/>
      <c r="U25" s="113"/>
      <c r="V25" s="113"/>
      <c r="W25" s="113"/>
      <c r="X25" s="113"/>
      <c r="Y25" s="113"/>
      <c r="Z25" s="113"/>
      <c r="AB25" s="1476"/>
      <c r="AC25" s="1476"/>
      <c r="AD25" s="1476"/>
      <c r="AE25" s="108" t="s">
        <v>304</v>
      </c>
      <c r="AF25" s="1001" t="s">
        <v>487</v>
      </c>
      <c r="AG25" s="108" t="s">
        <v>488</v>
      </c>
      <c r="AH25" s="108" t="s">
        <v>304</v>
      </c>
      <c r="AI25" s="1002" t="s">
        <v>305</v>
      </c>
      <c r="AJ25" s="1002" t="s">
        <v>305</v>
      </c>
      <c r="AK25" s="1002" t="s">
        <v>305</v>
      </c>
      <c r="AL25" s="1002" t="s">
        <v>305</v>
      </c>
      <c r="AM25" s="1002" t="s">
        <v>305</v>
      </c>
      <c r="AN25" s="1002" t="s">
        <v>305</v>
      </c>
      <c r="AO25" s="1002" t="s">
        <v>305</v>
      </c>
      <c r="AP25" s="1002" t="s">
        <v>305</v>
      </c>
      <c r="AQ25" s="1002" t="s">
        <v>305</v>
      </c>
      <c r="AR25" s="1002" t="s">
        <v>305</v>
      </c>
      <c r="AS25" s="324" t="s">
        <v>304</v>
      </c>
      <c r="AT25" s="324" t="s">
        <v>304</v>
      </c>
      <c r="AU25" s="324" t="s">
        <v>304</v>
      </c>
      <c r="AV25" s="324" t="s">
        <v>304</v>
      </c>
      <c r="AW25" s="324" t="s">
        <v>304</v>
      </c>
      <c r="AX25" s="324" t="s">
        <v>304</v>
      </c>
      <c r="AY25" s="324" t="s">
        <v>304</v>
      </c>
      <c r="AZ25" s="324" t="s">
        <v>304</v>
      </c>
      <c r="BA25" s="324" t="s">
        <v>304</v>
      </c>
      <c r="BB25" s="324" t="s">
        <v>304</v>
      </c>
      <c r="BC25" s="1417"/>
      <c r="BF25" s="912"/>
    </row>
    <row r="26" spans="1:58" s="157" customFormat="1" ht="50.25" hidden="1" customHeight="1">
      <c r="A26" s="988"/>
      <c r="B26" s="614"/>
      <c r="C26" s="113"/>
      <c r="D26" s="113"/>
      <c r="E26" s="623">
        <v>0</v>
      </c>
      <c r="F26" s="113"/>
      <c r="G26" s="150"/>
      <c r="H26" s="150"/>
      <c r="I26" s="150"/>
      <c r="J26" s="150"/>
      <c r="K26" s="150"/>
      <c r="L26" s="150"/>
      <c r="M26" s="150"/>
      <c r="N26" s="150"/>
      <c r="O26" s="150"/>
      <c r="P26" s="150"/>
      <c r="Q26" s="566"/>
      <c r="R26" s="566"/>
      <c r="S26" s="150"/>
      <c r="T26" s="113"/>
      <c r="U26" s="113"/>
      <c r="V26" s="113"/>
      <c r="W26" s="113"/>
      <c r="X26" s="113"/>
      <c r="Y26" s="113"/>
      <c r="Z26" s="113"/>
      <c r="AB26" s="404"/>
      <c r="AC26" s="405"/>
      <c r="AD26" s="405"/>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409"/>
      <c r="BF26" s="912"/>
    </row>
    <row r="27" spans="1:58" s="157" customFormat="1" ht="11.1" hidden="1" customHeight="1">
      <c r="E27" s="623">
        <v>11.4</v>
      </c>
      <c r="F27" s="714">
        <f>X27</f>
        <v>0</v>
      </c>
      <c r="T27" s="645" t="b">
        <f>X27&gt;0</f>
        <v>0</v>
      </c>
      <c r="V27" s="113" t="s">
        <v>228</v>
      </c>
      <c r="X27" s="1405">
        <v>0</v>
      </c>
      <c r="Z27" s="1403"/>
      <c r="AB27" s="224" t="str">
        <f>INDEX('Общие сведения'!$AG$169:$AG$202,MATCH($F27,'Общие сведения'!$Z$169:$Z$202,0))</f>
        <v>Тариф 0 (Теплоснабжение) - Тарифы на теплоноситель</v>
      </c>
      <c r="AC27" s="197"/>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213"/>
      <c r="BF27" s="912"/>
    </row>
    <row r="28" spans="1:58" s="726" customFormat="1" ht="27.75" hidden="1" customHeight="1">
      <c r="E28" s="623">
        <v>28.5</v>
      </c>
      <c r="F28" s="714">
        <f t="shared" ref="F28:F38" si="3">F27</f>
        <v>0</v>
      </c>
      <c r="G28" s="566" t="s">
        <v>965</v>
      </c>
      <c r="T28" s="645" t="b">
        <f t="shared" ref="T28:T38" si="4">T27</f>
        <v>0</v>
      </c>
      <c r="X28" s="1404"/>
      <c r="Z28" s="1404"/>
      <c r="AB28" s="502" t="s">
        <v>247</v>
      </c>
      <c r="AC28" s="798" t="s">
        <v>43</v>
      </c>
      <c r="AD28" s="799" t="s">
        <v>648</v>
      </c>
      <c r="AE28" s="256">
        <f t="shared" ref="AE28:BB28" si="5">AE29+AE32+AE33+AE36</f>
        <v>0</v>
      </c>
      <c r="AF28" s="256">
        <f t="shared" si="5"/>
        <v>0</v>
      </c>
      <c r="AG28" s="256">
        <f t="shared" si="5"/>
        <v>0</v>
      </c>
      <c r="AH28" s="256">
        <f t="shared" si="5"/>
        <v>0</v>
      </c>
      <c r="AI28" s="256">
        <f t="shared" si="5"/>
        <v>0</v>
      </c>
      <c r="AJ28" s="256">
        <f t="shared" si="5"/>
        <v>0</v>
      </c>
      <c r="AK28" s="256">
        <f t="shared" si="5"/>
        <v>0</v>
      </c>
      <c r="AL28" s="256">
        <f t="shared" si="5"/>
        <v>0</v>
      </c>
      <c r="AM28" s="256">
        <f t="shared" si="5"/>
        <v>0</v>
      </c>
      <c r="AN28" s="256">
        <f t="shared" si="5"/>
        <v>0</v>
      </c>
      <c r="AO28" s="256">
        <f t="shared" si="5"/>
        <v>0</v>
      </c>
      <c r="AP28" s="256">
        <f t="shared" si="5"/>
        <v>0</v>
      </c>
      <c r="AQ28" s="256">
        <f t="shared" si="5"/>
        <v>0</v>
      </c>
      <c r="AR28" s="256">
        <f t="shared" si="5"/>
        <v>0</v>
      </c>
      <c r="AS28" s="256">
        <f t="shared" si="5"/>
        <v>0</v>
      </c>
      <c r="AT28" s="256">
        <f t="shared" si="5"/>
        <v>0</v>
      </c>
      <c r="AU28" s="256">
        <f t="shared" si="5"/>
        <v>0</v>
      </c>
      <c r="AV28" s="256">
        <f t="shared" si="5"/>
        <v>0</v>
      </c>
      <c r="AW28" s="256">
        <f t="shared" si="5"/>
        <v>0</v>
      </c>
      <c r="AX28" s="256">
        <f t="shared" si="5"/>
        <v>0</v>
      </c>
      <c r="AY28" s="256">
        <f t="shared" si="5"/>
        <v>0</v>
      </c>
      <c r="AZ28" s="256">
        <f t="shared" si="5"/>
        <v>0</v>
      </c>
      <c r="BA28" s="256">
        <f t="shared" si="5"/>
        <v>0</v>
      </c>
      <c r="BB28" s="256">
        <f t="shared" si="5"/>
        <v>0</v>
      </c>
      <c r="BC28" s="48"/>
      <c r="BF28" s="902" t="s">
        <v>966</v>
      </c>
    </row>
    <row r="29" spans="1:58" s="726" customFormat="1" ht="22.7" hidden="1" customHeight="1">
      <c r="E29" s="623">
        <v>23.3</v>
      </c>
      <c r="F29" s="714">
        <f t="shared" si="3"/>
        <v>0</v>
      </c>
      <c r="T29" s="645" t="b">
        <f t="shared" si="4"/>
        <v>0</v>
      </c>
      <c r="X29" s="1404"/>
      <c r="Z29" s="1404"/>
      <c r="AB29" s="220" t="s">
        <v>339</v>
      </c>
      <c r="AC29" s="221" t="s">
        <v>967</v>
      </c>
      <c r="AD29" s="800" t="s">
        <v>648</v>
      </c>
      <c r="AE29" s="456">
        <f t="shared" ref="AE29:BB29" si="6">AE30+AE31</f>
        <v>0</v>
      </c>
      <c r="AF29" s="256">
        <f t="shared" si="6"/>
        <v>0</v>
      </c>
      <c r="AG29" s="256">
        <f t="shared" si="6"/>
        <v>0</v>
      </c>
      <c r="AH29" s="256">
        <f t="shared" si="6"/>
        <v>0</v>
      </c>
      <c r="AI29" s="256">
        <f t="shared" si="6"/>
        <v>0</v>
      </c>
      <c r="AJ29" s="256">
        <f t="shared" si="6"/>
        <v>0</v>
      </c>
      <c r="AK29" s="256">
        <f t="shared" si="6"/>
        <v>0</v>
      </c>
      <c r="AL29" s="256">
        <f t="shared" si="6"/>
        <v>0</v>
      </c>
      <c r="AM29" s="256">
        <f t="shared" si="6"/>
        <v>0</v>
      </c>
      <c r="AN29" s="256">
        <f t="shared" si="6"/>
        <v>0</v>
      </c>
      <c r="AO29" s="256">
        <f t="shared" si="6"/>
        <v>0</v>
      </c>
      <c r="AP29" s="256">
        <f t="shared" si="6"/>
        <v>0</v>
      </c>
      <c r="AQ29" s="256">
        <f t="shared" si="6"/>
        <v>0</v>
      </c>
      <c r="AR29" s="256">
        <f t="shared" si="6"/>
        <v>0</v>
      </c>
      <c r="AS29" s="256">
        <f t="shared" si="6"/>
        <v>0</v>
      </c>
      <c r="AT29" s="256">
        <f t="shared" si="6"/>
        <v>0</v>
      </c>
      <c r="AU29" s="256">
        <f t="shared" si="6"/>
        <v>0</v>
      </c>
      <c r="AV29" s="256">
        <f t="shared" si="6"/>
        <v>0</v>
      </c>
      <c r="AW29" s="256">
        <f t="shared" si="6"/>
        <v>0</v>
      </c>
      <c r="AX29" s="256">
        <f t="shared" si="6"/>
        <v>0</v>
      </c>
      <c r="AY29" s="256">
        <f t="shared" si="6"/>
        <v>0</v>
      </c>
      <c r="AZ29" s="256">
        <f t="shared" si="6"/>
        <v>0</v>
      </c>
      <c r="BA29" s="256">
        <f t="shared" si="6"/>
        <v>0</v>
      </c>
      <c r="BB29" s="256">
        <f t="shared" si="6"/>
        <v>0</v>
      </c>
      <c r="BC29" s="48"/>
      <c r="BF29" s="902" t="s">
        <v>968</v>
      </c>
    </row>
    <row r="30" spans="1:58" s="726" customFormat="1" ht="22.7" hidden="1" customHeight="1">
      <c r="E30" s="623">
        <v>23.3</v>
      </c>
      <c r="F30" s="714">
        <f t="shared" si="3"/>
        <v>0</v>
      </c>
      <c r="G30" s="566" t="s">
        <v>969</v>
      </c>
      <c r="T30" s="645" t="b">
        <f t="shared" si="4"/>
        <v>0</v>
      </c>
      <c r="X30" s="1404"/>
      <c r="Z30" s="1404"/>
      <c r="AB30" s="222" t="s">
        <v>970</v>
      </c>
      <c r="AC30" s="223" t="s">
        <v>971</v>
      </c>
      <c r="AD30" s="792" t="s">
        <v>648</v>
      </c>
      <c r="AE30" s="14"/>
      <c r="AF30" s="11"/>
      <c r="AG30" s="11"/>
      <c r="AH30" s="11"/>
      <c r="AI30" s="217"/>
      <c r="AJ30" s="1065"/>
      <c r="AK30" s="1065"/>
      <c r="AL30" s="11"/>
      <c r="AM30" s="11"/>
      <c r="AN30" s="11"/>
      <c r="AO30" s="11"/>
      <c r="AP30" s="11"/>
      <c r="AQ30" s="11"/>
      <c r="AR30" s="11"/>
      <c r="AS30" s="217"/>
      <c r="AT30" s="1065"/>
      <c r="AU30" s="1065"/>
      <c r="AV30" s="11"/>
      <c r="AW30" s="11"/>
      <c r="AX30" s="11"/>
      <c r="AY30" s="11"/>
      <c r="AZ30" s="11"/>
      <c r="BA30" s="11"/>
      <c r="BB30" s="11"/>
      <c r="BC30" s="48"/>
      <c r="BF30" s="902" t="s">
        <v>972</v>
      </c>
    </row>
    <row r="31" spans="1:58" s="726" customFormat="1" ht="22.7" hidden="1" customHeight="1">
      <c r="E31" s="623">
        <v>23.3</v>
      </c>
      <c r="F31" s="714">
        <f t="shared" si="3"/>
        <v>0</v>
      </c>
      <c r="G31" s="566" t="s">
        <v>973</v>
      </c>
      <c r="T31" s="645" t="b">
        <f t="shared" si="4"/>
        <v>0</v>
      </c>
      <c r="X31" s="1404"/>
      <c r="Z31" s="1404"/>
      <c r="AB31" s="222" t="s">
        <v>974</v>
      </c>
      <c r="AC31" s="223" t="s">
        <v>975</v>
      </c>
      <c r="AD31" s="792" t="s">
        <v>648</v>
      </c>
      <c r="AE31" s="14"/>
      <c r="AF31" s="11"/>
      <c r="AG31" s="11"/>
      <c r="AH31" s="11"/>
      <c r="AI31" s="217"/>
      <c r="AJ31" s="1065"/>
      <c r="AK31" s="1065"/>
      <c r="AL31" s="11"/>
      <c r="AM31" s="11"/>
      <c r="AN31" s="11"/>
      <c r="AO31" s="11"/>
      <c r="AP31" s="11"/>
      <c r="AQ31" s="11"/>
      <c r="AR31" s="11"/>
      <c r="AS31" s="217"/>
      <c r="AT31" s="1065"/>
      <c r="AU31" s="1065"/>
      <c r="AV31" s="11"/>
      <c r="AW31" s="11"/>
      <c r="AX31" s="11"/>
      <c r="AY31" s="11"/>
      <c r="AZ31" s="11"/>
      <c r="BA31" s="11"/>
      <c r="BB31" s="11"/>
      <c r="BC31" s="48"/>
      <c r="BF31" s="902" t="s">
        <v>976</v>
      </c>
    </row>
    <row r="32" spans="1:58" s="726" customFormat="1" ht="22.7" hidden="1" customHeight="1">
      <c r="E32" s="623">
        <v>23.3</v>
      </c>
      <c r="F32" s="714">
        <f t="shared" si="3"/>
        <v>0</v>
      </c>
      <c r="G32" s="566" t="s">
        <v>977</v>
      </c>
      <c r="K32" s="151" t="str">
        <f>F32&amp;"komm_kon"</f>
        <v>0komm_kon</v>
      </c>
      <c r="L32" s="151">
        <f>BC32</f>
        <v>0</v>
      </c>
      <c r="T32" s="645" t="b">
        <f t="shared" si="4"/>
        <v>0</v>
      </c>
      <c r="X32" s="1404"/>
      <c r="Z32" s="1404"/>
      <c r="AB32" s="220" t="s">
        <v>503</v>
      </c>
      <c r="AC32" s="221" t="s">
        <v>978</v>
      </c>
      <c r="AD32" s="800" t="s">
        <v>648</v>
      </c>
      <c r="AE32" s="14"/>
      <c r="AF32" s="11"/>
      <c r="AG32" s="11"/>
      <c r="AH32" s="11"/>
      <c r="AI32" s="217"/>
      <c r="AJ32" s="1065"/>
      <c r="AK32" s="1065"/>
      <c r="AL32" s="11"/>
      <c r="AM32" s="11"/>
      <c r="AN32" s="11"/>
      <c r="AO32" s="11"/>
      <c r="AP32" s="11"/>
      <c r="AQ32" s="11"/>
      <c r="AR32" s="11"/>
      <c r="AS32" s="217"/>
      <c r="AT32" s="1065"/>
      <c r="AU32" s="1065"/>
      <c r="AV32" s="11"/>
      <c r="AW32" s="11"/>
      <c r="AX32" s="11"/>
      <c r="AY32" s="11"/>
      <c r="AZ32" s="11"/>
      <c r="BA32" s="11"/>
      <c r="BB32" s="11"/>
      <c r="BC32" s="48"/>
      <c r="BF32" s="902" t="s">
        <v>979</v>
      </c>
    </row>
    <row r="33" spans="1:58" s="726" customFormat="1" ht="22.7" hidden="1" customHeight="1">
      <c r="E33" s="623">
        <v>23.3</v>
      </c>
      <c r="F33" s="714">
        <f t="shared" si="3"/>
        <v>0</v>
      </c>
      <c r="T33" s="645" t="b">
        <f t="shared" si="4"/>
        <v>0</v>
      </c>
      <c r="X33" s="1404"/>
      <c r="Z33" s="1404"/>
      <c r="AB33" s="220" t="s">
        <v>749</v>
      </c>
      <c r="AC33" s="221" t="s">
        <v>980</v>
      </c>
      <c r="AD33" s="800" t="s">
        <v>648</v>
      </c>
      <c r="AE33" s="456">
        <f t="shared" ref="AE33:BB33" si="7">AE34+AE35</f>
        <v>0</v>
      </c>
      <c r="AF33" s="256">
        <f t="shared" si="7"/>
        <v>0</v>
      </c>
      <c r="AG33" s="256">
        <f t="shared" si="7"/>
        <v>0</v>
      </c>
      <c r="AH33" s="256">
        <f t="shared" si="7"/>
        <v>0</v>
      </c>
      <c r="AI33" s="256">
        <f t="shared" si="7"/>
        <v>0</v>
      </c>
      <c r="AJ33" s="256">
        <f t="shared" si="7"/>
        <v>0</v>
      </c>
      <c r="AK33" s="256">
        <f t="shared" si="7"/>
        <v>0</v>
      </c>
      <c r="AL33" s="256">
        <f t="shared" si="7"/>
        <v>0</v>
      </c>
      <c r="AM33" s="256">
        <f t="shared" si="7"/>
        <v>0</v>
      </c>
      <c r="AN33" s="256">
        <f t="shared" si="7"/>
        <v>0</v>
      </c>
      <c r="AO33" s="256">
        <f t="shared" si="7"/>
        <v>0</v>
      </c>
      <c r="AP33" s="256">
        <f t="shared" si="7"/>
        <v>0</v>
      </c>
      <c r="AQ33" s="256">
        <f t="shared" si="7"/>
        <v>0</v>
      </c>
      <c r="AR33" s="256">
        <f t="shared" si="7"/>
        <v>0</v>
      </c>
      <c r="AS33" s="256">
        <f t="shared" si="7"/>
        <v>0</v>
      </c>
      <c r="AT33" s="256">
        <f t="shared" si="7"/>
        <v>0</v>
      </c>
      <c r="AU33" s="256">
        <f t="shared" si="7"/>
        <v>0</v>
      </c>
      <c r="AV33" s="256">
        <f t="shared" si="7"/>
        <v>0</v>
      </c>
      <c r="AW33" s="256">
        <f t="shared" si="7"/>
        <v>0</v>
      </c>
      <c r="AX33" s="256">
        <f t="shared" si="7"/>
        <v>0</v>
      </c>
      <c r="AY33" s="256">
        <f t="shared" si="7"/>
        <v>0</v>
      </c>
      <c r="AZ33" s="256">
        <f t="shared" si="7"/>
        <v>0</v>
      </c>
      <c r="BA33" s="256">
        <f t="shared" si="7"/>
        <v>0</v>
      </c>
      <c r="BB33" s="256">
        <f t="shared" si="7"/>
        <v>0</v>
      </c>
      <c r="BC33" s="48"/>
      <c r="BF33" s="902" t="s">
        <v>981</v>
      </c>
    </row>
    <row r="34" spans="1:58" s="726" customFormat="1" ht="68.099999999999994" hidden="1" customHeight="1">
      <c r="E34" s="623">
        <v>69.8</v>
      </c>
      <c r="F34" s="714">
        <f t="shared" si="3"/>
        <v>0</v>
      </c>
      <c r="G34" s="566" t="s">
        <v>982</v>
      </c>
      <c r="K34" s="151" t="str">
        <f>F34&amp;"komm_liz"</f>
        <v>0komm_liz</v>
      </c>
      <c r="L34" s="151">
        <f>BC34</f>
        <v>0</v>
      </c>
      <c r="T34" s="645" t="b">
        <f t="shared" si="4"/>
        <v>0</v>
      </c>
      <c r="X34" s="1404"/>
      <c r="Z34" s="1404"/>
      <c r="AB34" s="222" t="s">
        <v>983</v>
      </c>
      <c r="AC34" s="223" t="s">
        <v>984</v>
      </c>
      <c r="AD34" s="792" t="s">
        <v>648</v>
      </c>
      <c r="AE34" s="14"/>
      <c r="AF34" s="11"/>
      <c r="AG34" s="11"/>
      <c r="AH34" s="11"/>
      <c r="AI34" s="217"/>
      <c r="AJ34" s="1065"/>
      <c r="AK34" s="1065"/>
      <c r="AL34" s="11"/>
      <c r="AM34" s="11"/>
      <c r="AN34" s="11"/>
      <c r="AO34" s="11"/>
      <c r="AP34" s="11"/>
      <c r="AQ34" s="11"/>
      <c r="AR34" s="11"/>
      <c r="AS34" s="217"/>
      <c r="AT34" s="1065"/>
      <c r="AU34" s="1065"/>
      <c r="AV34" s="11"/>
      <c r="AW34" s="11"/>
      <c r="AX34" s="11"/>
      <c r="AY34" s="11"/>
      <c r="AZ34" s="11"/>
      <c r="BA34" s="11"/>
      <c r="BB34" s="11"/>
      <c r="BC34" s="48"/>
      <c r="BF34" s="902" t="s">
        <v>985</v>
      </c>
    </row>
    <row r="35" spans="1:58" s="726" customFormat="1" ht="28.5" hidden="1" customHeight="1">
      <c r="E35" s="623">
        <v>29.3</v>
      </c>
      <c r="F35" s="714">
        <f t="shared" si="3"/>
        <v>0</v>
      </c>
      <c r="G35" s="566" t="s">
        <v>986</v>
      </c>
      <c r="T35" s="645" t="b">
        <f t="shared" si="4"/>
        <v>0</v>
      </c>
      <c r="X35" s="1404"/>
      <c r="Z35" s="1404"/>
      <c r="AB35" s="222" t="s">
        <v>987</v>
      </c>
      <c r="AC35" s="223" t="s">
        <v>988</v>
      </c>
      <c r="AD35" s="792" t="s">
        <v>648</v>
      </c>
      <c r="AE35" s="14"/>
      <c r="AF35" s="11"/>
      <c r="AG35" s="11"/>
      <c r="AH35" s="11"/>
      <c r="AI35" s="217"/>
      <c r="AJ35" s="1065"/>
      <c r="AK35" s="1065"/>
      <c r="AL35" s="11"/>
      <c r="AM35" s="11"/>
      <c r="AN35" s="11"/>
      <c r="AO35" s="11"/>
      <c r="AP35" s="11"/>
      <c r="AQ35" s="11"/>
      <c r="AR35" s="11"/>
      <c r="AS35" s="217"/>
      <c r="AT35" s="1065"/>
      <c r="AU35" s="1065"/>
      <c r="AV35" s="11"/>
      <c r="AW35" s="11"/>
      <c r="AX35" s="11"/>
      <c r="AY35" s="11"/>
      <c r="AZ35" s="11"/>
      <c r="BA35" s="11"/>
      <c r="BB35" s="11"/>
      <c r="BC35" s="48"/>
      <c r="BF35" s="902" t="s">
        <v>989</v>
      </c>
    </row>
    <row r="36" spans="1:58" s="726" customFormat="1" ht="21.2" hidden="1" customHeight="1">
      <c r="E36" s="623">
        <v>21.8</v>
      </c>
      <c r="F36" s="714">
        <f t="shared" si="3"/>
        <v>0</v>
      </c>
      <c r="T36" s="645" t="b">
        <f t="shared" si="4"/>
        <v>0</v>
      </c>
      <c r="X36" s="1404"/>
      <c r="Z36" s="1404"/>
      <c r="AB36" s="220" t="s">
        <v>753</v>
      </c>
      <c r="AC36" s="221" t="s">
        <v>990</v>
      </c>
      <c r="AD36" s="800" t="s">
        <v>648</v>
      </c>
      <c r="AE36" s="456">
        <f t="shared" ref="AE36:BB36" si="8">AE37+AE38</f>
        <v>0</v>
      </c>
      <c r="AF36" s="256">
        <f t="shared" si="8"/>
        <v>0</v>
      </c>
      <c r="AG36" s="256">
        <f t="shared" si="8"/>
        <v>0</v>
      </c>
      <c r="AH36" s="256">
        <f t="shared" si="8"/>
        <v>0</v>
      </c>
      <c r="AI36" s="256">
        <f t="shared" si="8"/>
        <v>0</v>
      </c>
      <c r="AJ36" s="256">
        <f t="shared" si="8"/>
        <v>0</v>
      </c>
      <c r="AK36" s="256">
        <f t="shared" si="8"/>
        <v>0</v>
      </c>
      <c r="AL36" s="256">
        <f t="shared" si="8"/>
        <v>0</v>
      </c>
      <c r="AM36" s="256">
        <f t="shared" si="8"/>
        <v>0</v>
      </c>
      <c r="AN36" s="256">
        <f t="shared" si="8"/>
        <v>0</v>
      </c>
      <c r="AO36" s="256">
        <f t="shared" si="8"/>
        <v>0</v>
      </c>
      <c r="AP36" s="256">
        <f t="shared" si="8"/>
        <v>0</v>
      </c>
      <c r="AQ36" s="256">
        <f t="shared" si="8"/>
        <v>0</v>
      </c>
      <c r="AR36" s="256">
        <f t="shared" si="8"/>
        <v>0</v>
      </c>
      <c r="AS36" s="256">
        <f t="shared" si="8"/>
        <v>0</v>
      </c>
      <c r="AT36" s="256">
        <f t="shared" si="8"/>
        <v>0</v>
      </c>
      <c r="AU36" s="256">
        <f t="shared" si="8"/>
        <v>0</v>
      </c>
      <c r="AV36" s="256">
        <f t="shared" si="8"/>
        <v>0</v>
      </c>
      <c r="AW36" s="256">
        <f t="shared" si="8"/>
        <v>0</v>
      </c>
      <c r="AX36" s="256">
        <f t="shared" si="8"/>
        <v>0</v>
      </c>
      <c r="AY36" s="256">
        <f t="shared" si="8"/>
        <v>0</v>
      </c>
      <c r="AZ36" s="256">
        <f t="shared" si="8"/>
        <v>0</v>
      </c>
      <c r="BA36" s="256">
        <f t="shared" si="8"/>
        <v>0</v>
      </c>
      <c r="BB36" s="256">
        <f t="shared" si="8"/>
        <v>0</v>
      </c>
      <c r="BC36" s="48"/>
      <c r="BF36" s="902" t="s">
        <v>991</v>
      </c>
    </row>
    <row r="37" spans="1:58" s="726" customFormat="1" ht="22.7" hidden="1" customHeight="1">
      <c r="E37" s="623">
        <v>23.3</v>
      </c>
      <c r="F37" s="714">
        <f t="shared" si="3"/>
        <v>0</v>
      </c>
      <c r="G37" s="566" t="s">
        <v>969</v>
      </c>
      <c r="T37" s="645" t="b">
        <f t="shared" si="4"/>
        <v>0</v>
      </c>
      <c r="X37" s="1404"/>
      <c r="Z37" s="1404"/>
      <c r="AB37" s="222" t="s">
        <v>845</v>
      </c>
      <c r="AC37" s="223" t="s">
        <v>971</v>
      </c>
      <c r="AD37" s="792" t="s">
        <v>648</v>
      </c>
      <c r="AE37" s="14"/>
      <c r="AF37" s="11"/>
      <c r="AG37" s="11"/>
      <c r="AH37" s="11"/>
      <c r="AI37" s="217"/>
      <c r="AJ37" s="1065"/>
      <c r="AK37" s="1065"/>
      <c r="AL37" s="11"/>
      <c r="AM37" s="11"/>
      <c r="AN37" s="11"/>
      <c r="AO37" s="11"/>
      <c r="AP37" s="11"/>
      <c r="AQ37" s="11"/>
      <c r="AR37" s="11"/>
      <c r="AS37" s="217"/>
      <c r="AT37" s="1065"/>
      <c r="AU37" s="1065"/>
      <c r="AV37" s="11"/>
      <c r="AW37" s="11"/>
      <c r="AX37" s="11"/>
      <c r="AY37" s="11"/>
      <c r="AZ37" s="11"/>
      <c r="BA37" s="11"/>
      <c r="BB37" s="11"/>
      <c r="BC37" s="48"/>
      <c r="BF37" s="902" t="s">
        <v>992</v>
      </c>
    </row>
    <row r="38" spans="1:58" s="726" customFormat="1" ht="22.7" hidden="1" customHeight="1">
      <c r="E38" s="623">
        <v>23.3</v>
      </c>
      <c r="F38" s="714">
        <f t="shared" si="3"/>
        <v>0</v>
      </c>
      <c r="G38" s="566" t="s">
        <v>973</v>
      </c>
      <c r="T38" s="645" t="b">
        <f t="shared" si="4"/>
        <v>0</v>
      </c>
      <c r="X38" s="1404"/>
      <c r="Z38" s="1404"/>
      <c r="AB38" s="222" t="s">
        <v>848</v>
      </c>
      <c r="AC38" s="223" t="s">
        <v>975</v>
      </c>
      <c r="AD38" s="792" t="s">
        <v>648</v>
      </c>
      <c r="AE38" s="14"/>
      <c r="AF38" s="11"/>
      <c r="AG38" s="11"/>
      <c r="AH38" s="11"/>
      <c r="AI38" s="217"/>
      <c r="AJ38" s="1065"/>
      <c r="AK38" s="1065"/>
      <c r="AL38" s="11"/>
      <c r="AM38" s="11"/>
      <c r="AN38" s="11"/>
      <c r="AO38" s="11"/>
      <c r="AP38" s="11"/>
      <c r="AQ38" s="11"/>
      <c r="AR38" s="11"/>
      <c r="AS38" s="217"/>
      <c r="AT38" s="1065"/>
      <c r="AU38" s="1065"/>
      <c r="AV38" s="11"/>
      <c r="AW38" s="11"/>
      <c r="AX38" s="11"/>
      <c r="AY38" s="11"/>
      <c r="AZ38" s="11"/>
      <c r="BA38" s="11"/>
      <c r="BB38" s="11"/>
      <c r="BC38" s="48"/>
      <c r="BF38" s="902" t="s">
        <v>993</v>
      </c>
    </row>
    <row r="39" spans="1:58" s="1149" customFormat="1" ht="10.5" customHeight="1">
      <c r="A39" s="157"/>
      <c r="B39" s="157"/>
      <c r="C39" s="157"/>
      <c r="D39" s="157"/>
      <c r="E39" s="623">
        <v>11.4</v>
      </c>
      <c r="F39" s="714" t="str">
        <f>X39</f>
        <v>1</v>
      </c>
      <c r="G39" s="157"/>
      <c r="H39" s="157"/>
      <c r="I39" s="157"/>
      <c r="J39" s="157"/>
      <c r="K39" s="157"/>
      <c r="L39" s="157"/>
      <c r="M39" s="157"/>
      <c r="N39" s="157"/>
      <c r="O39" s="157"/>
      <c r="P39" s="157"/>
      <c r="Q39" s="157"/>
      <c r="R39" s="157"/>
      <c r="S39" s="157"/>
      <c r="T39" s="645" t="b">
        <f>X39&gt;0</f>
        <v>1</v>
      </c>
      <c r="U39" s="157"/>
      <c r="V39" s="113" t="str">
        <f>Амортизация!$AB$126</f>
        <v>Тариф 1 (Теплоснабжение) - Тарифы на теплоноситель (Не определено)</v>
      </c>
      <c r="W39" s="157"/>
      <c r="X39" s="1405" t="s">
        <v>247</v>
      </c>
      <c r="Y39" s="157"/>
      <c r="Z39" s="1403"/>
      <c r="AA39" s="157"/>
      <c r="AB39" s="224" t="str">
        <f>IF(ISBLANK(Амортизация!$AB$126),"",Амортизация!$AB$126)</f>
        <v>Тариф 1 (Теплоснабжение) - Тарифы на теплоноситель (Не определено)</v>
      </c>
      <c r="AC39" s="197"/>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213"/>
      <c r="BD39" s="157"/>
      <c r="BE39" s="157"/>
      <c r="BF39" s="912"/>
    </row>
    <row r="40" spans="1:58" s="726" customFormat="1" ht="27.75" customHeight="1">
      <c r="E40" s="623">
        <v>28.5</v>
      </c>
      <c r="F40" s="714" t="str">
        <f t="shared" ref="F40:F50" si="9">F39</f>
        <v>1</v>
      </c>
      <c r="G40" s="566" t="s">
        <v>965</v>
      </c>
      <c r="T40" s="645" t="b">
        <f t="shared" ref="T40:T50" si="10">T39</f>
        <v>1</v>
      </c>
      <c r="X40" s="1404"/>
      <c r="Z40" s="1404"/>
      <c r="AB40" s="502" t="s">
        <v>247</v>
      </c>
      <c r="AC40" s="798" t="s">
        <v>43</v>
      </c>
      <c r="AD40" s="799" t="s">
        <v>648</v>
      </c>
      <c r="AE40" s="256">
        <f t="shared" ref="AE40:BB40" si="11">AE41+AE44+AE45+AE48</f>
        <v>0</v>
      </c>
      <c r="AF40" s="256">
        <f t="shared" si="11"/>
        <v>0</v>
      </c>
      <c r="AG40" s="256">
        <f t="shared" si="11"/>
        <v>0</v>
      </c>
      <c r="AH40" s="256">
        <f t="shared" si="11"/>
        <v>0</v>
      </c>
      <c r="AI40" s="256">
        <f t="shared" si="11"/>
        <v>0</v>
      </c>
      <c r="AJ40" s="256">
        <f t="shared" si="11"/>
        <v>0</v>
      </c>
      <c r="AK40" s="256">
        <f t="shared" si="11"/>
        <v>0</v>
      </c>
      <c r="AL40" s="256">
        <f t="shared" si="11"/>
        <v>0</v>
      </c>
      <c r="AM40" s="256">
        <f t="shared" si="11"/>
        <v>0</v>
      </c>
      <c r="AN40" s="256">
        <f t="shared" si="11"/>
        <v>0</v>
      </c>
      <c r="AO40" s="256">
        <f t="shared" si="11"/>
        <v>0</v>
      </c>
      <c r="AP40" s="256">
        <f t="shared" si="11"/>
        <v>0</v>
      </c>
      <c r="AQ40" s="256">
        <f t="shared" si="11"/>
        <v>0</v>
      </c>
      <c r="AR40" s="256">
        <f t="shared" si="11"/>
        <v>0</v>
      </c>
      <c r="AS40" s="256">
        <f t="shared" si="11"/>
        <v>0</v>
      </c>
      <c r="AT40" s="256">
        <f t="shared" si="11"/>
        <v>0</v>
      </c>
      <c r="AU40" s="256">
        <f t="shared" si="11"/>
        <v>0</v>
      </c>
      <c r="AV40" s="256">
        <f t="shared" si="11"/>
        <v>0</v>
      </c>
      <c r="AW40" s="256">
        <f t="shared" si="11"/>
        <v>0</v>
      </c>
      <c r="AX40" s="256">
        <f t="shared" si="11"/>
        <v>0</v>
      </c>
      <c r="AY40" s="256">
        <f t="shared" si="11"/>
        <v>0</v>
      </c>
      <c r="AZ40" s="256">
        <f t="shared" si="11"/>
        <v>0</v>
      </c>
      <c r="BA40" s="256">
        <f t="shared" si="11"/>
        <v>0</v>
      </c>
      <c r="BB40" s="256">
        <f t="shared" si="11"/>
        <v>0</v>
      </c>
      <c r="BC40" s="1148"/>
      <c r="BF40" s="902" t="s">
        <v>966</v>
      </c>
    </row>
    <row r="41" spans="1:58" s="726" customFormat="1" ht="22.5" customHeight="1">
      <c r="E41" s="623">
        <v>23.3</v>
      </c>
      <c r="F41" s="714" t="str">
        <f t="shared" si="9"/>
        <v>1</v>
      </c>
      <c r="T41" s="645" t="b">
        <f t="shared" si="10"/>
        <v>1</v>
      </c>
      <c r="X41" s="1404"/>
      <c r="Z41" s="1404"/>
      <c r="AB41" s="220" t="s">
        <v>339</v>
      </c>
      <c r="AC41" s="221" t="s">
        <v>967</v>
      </c>
      <c r="AD41" s="800" t="s">
        <v>648</v>
      </c>
      <c r="AE41" s="456">
        <f t="shared" ref="AE41:BB41" si="12">AE42+AE43</f>
        <v>0</v>
      </c>
      <c r="AF41" s="256">
        <f t="shared" si="12"/>
        <v>0</v>
      </c>
      <c r="AG41" s="256">
        <f t="shared" si="12"/>
        <v>0</v>
      </c>
      <c r="AH41" s="256">
        <f t="shared" si="12"/>
        <v>0</v>
      </c>
      <c r="AI41" s="256">
        <f t="shared" si="12"/>
        <v>0</v>
      </c>
      <c r="AJ41" s="256">
        <f t="shared" si="12"/>
        <v>0</v>
      </c>
      <c r="AK41" s="256">
        <f t="shared" si="12"/>
        <v>0</v>
      </c>
      <c r="AL41" s="256">
        <f t="shared" si="12"/>
        <v>0</v>
      </c>
      <c r="AM41" s="256">
        <f t="shared" si="12"/>
        <v>0</v>
      </c>
      <c r="AN41" s="256">
        <f t="shared" si="12"/>
        <v>0</v>
      </c>
      <c r="AO41" s="256">
        <f t="shared" si="12"/>
        <v>0</v>
      </c>
      <c r="AP41" s="256">
        <f t="shared" si="12"/>
        <v>0</v>
      </c>
      <c r="AQ41" s="256">
        <f t="shared" si="12"/>
        <v>0</v>
      </c>
      <c r="AR41" s="256">
        <f t="shared" si="12"/>
        <v>0</v>
      </c>
      <c r="AS41" s="256">
        <f t="shared" si="12"/>
        <v>0</v>
      </c>
      <c r="AT41" s="256">
        <f t="shared" si="12"/>
        <v>0</v>
      </c>
      <c r="AU41" s="256">
        <f t="shared" si="12"/>
        <v>0</v>
      </c>
      <c r="AV41" s="256">
        <f t="shared" si="12"/>
        <v>0</v>
      </c>
      <c r="AW41" s="256">
        <f t="shared" si="12"/>
        <v>0</v>
      </c>
      <c r="AX41" s="256">
        <f t="shared" si="12"/>
        <v>0</v>
      </c>
      <c r="AY41" s="256">
        <f t="shared" si="12"/>
        <v>0</v>
      </c>
      <c r="AZ41" s="256">
        <f t="shared" si="12"/>
        <v>0</v>
      </c>
      <c r="BA41" s="256">
        <f t="shared" si="12"/>
        <v>0</v>
      </c>
      <c r="BB41" s="256">
        <f t="shared" si="12"/>
        <v>0</v>
      </c>
      <c r="BC41" s="1148"/>
      <c r="BF41" s="902" t="s">
        <v>968</v>
      </c>
    </row>
    <row r="42" spans="1:58" s="726" customFormat="1" ht="22.5" customHeight="1">
      <c r="E42" s="623">
        <v>23.3</v>
      </c>
      <c r="F42" s="714" t="str">
        <f t="shared" si="9"/>
        <v>1</v>
      </c>
      <c r="G42" s="566" t="s">
        <v>969</v>
      </c>
      <c r="T42" s="645" t="b">
        <f t="shared" si="10"/>
        <v>1</v>
      </c>
      <c r="X42" s="1404"/>
      <c r="Z42" s="1404"/>
      <c r="AB42" s="222" t="s">
        <v>970</v>
      </c>
      <c r="AC42" s="223" t="s">
        <v>971</v>
      </c>
      <c r="AD42" s="792" t="s">
        <v>648</v>
      </c>
      <c r="AE42" s="1088"/>
      <c r="AF42" s="1079"/>
      <c r="AG42" s="1079"/>
      <c r="AH42" s="1079"/>
      <c r="AI42" s="217"/>
      <c r="AJ42" s="1065"/>
      <c r="AK42" s="1065"/>
      <c r="AL42" s="1079"/>
      <c r="AM42" s="1079"/>
      <c r="AN42" s="1079"/>
      <c r="AO42" s="1079"/>
      <c r="AP42" s="1079"/>
      <c r="AQ42" s="1079"/>
      <c r="AR42" s="1079"/>
      <c r="AS42" s="217"/>
      <c r="AT42" s="1065"/>
      <c r="AU42" s="1065"/>
      <c r="AV42" s="1079"/>
      <c r="AW42" s="1079"/>
      <c r="AX42" s="1079"/>
      <c r="AY42" s="1079"/>
      <c r="AZ42" s="1079"/>
      <c r="BA42" s="1079"/>
      <c r="BB42" s="1079"/>
      <c r="BC42" s="1148"/>
      <c r="BF42" s="902" t="s">
        <v>972</v>
      </c>
    </row>
    <row r="43" spans="1:58" s="726" customFormat="1" ht="22.5" customHeight="1">
      <c r="E43" s="623">
        <v>23.3</v>
      </c>
      <c r="F43" s="714" t="str">
        <f t="shared" si="9"/>
        <v>1</v>
      </c>
      <c r="G43" s="566" t="s">
        <v>973</v>
      </c>
      <c r="T43" s="645" t="b">
        <f t="shared" si="10"/>
        <v>1</v>
      </c>
      <c r="X43" s="1404"/>
      <c r="Z43" s="1404"/>
      <c r="AB43" s="222" t="s">
        <v>974</v>
      </c>
      <c r="AC43" s="223" t="s">
        <v>975</v>
      </c>
      <c r="AD43" s="792" t="s">
        <v>648</v>
      </c>
      <c r="AE43" s="1088"/>
      <c r="AF43" s="1079"/>
      <c r="AG43" s="1079"/>
      <c r="AH43" s="1079"/>
      <c r="AI43" s="217"/>
      <c r="AJ43" s="1065"/>
      <c r="AK43" s="1065"/>
      <c r="AL43" s="1079"/>
      <c r="AM43" s="1079"/>
      <c r="AN43" s="1079"/>
      <c r="AO43" s="1079"/>
      <c r="AP43" s="1079"/>
      <c r="AQ43" s="1079"/>
      <c r="AR43" s="1079"/>
      <c r="AS43" s="217"/>
      <c r="AT43" s="1065"/>
      <c r="AU43" s="1065"/>
      <c r="AV43" s="1079"/>
      <c r="AW43" s="1079"/>
      <c r="AX43" s="1079"/>
      <c r="AY43" s="1079"/>
      <c r="AZ43" s="1079"/>
      <c r="BA43" s="1079"/>
      <c r="BB43" s="1079"/>
      <c r="BC43" s="1148"/>
      <c r="BF43" s="902" t="s">
        <v>976</v>
      </c>
    </row>
    <row r="44" spans="1:58" s="726" customFormat="1" ht="22.5" customHeight="1">
      <c r="E44" s="623">
        <v>23.3</v>
      </c>
      <c r="F44" s="714" t="str">
        <f t="shared" si="9"/>
        <v>1</v>
      </c>
      <c r="G44" s="566" t="s">
        <v>977</v>
      </c>
      <c r="K44" s="151" t="str">
        <f>F44&amp;"komm_kon"</f>
        <v>1komm_kon</v>
      </c>
      <c r="L44" s="151">
        <f>BC44</f>
        <v>0</v>
      </c>
      <c r="T44" s="645" t="b">
        <f t="shared" si="10"/>
        <v>1</v>
      </c>
      <c r="X44" s="1404"/>
      <c r="Z44" s="1404"/>
      <c r="AB44" s="220" t="s">
        <v>503</v>
      </c>
      <c r="AC44" s="221" t="s">
        <v>978</v>
      </c>
      <c r="AD44" s="800" t="s">
        <v>648</v>
      </c>
      <c r="AE44" s="1088"/>
      <c r="AF44" s="1079"/>
      <c r="AG44" s="1079"/>
      <c r="AH44" s="1079"/>
      <c r="AI44" s="217"/>
      <c r="AJ44" s="1065"/>
      <c r="AK44" s="1065"/>
      <c r="AL44" s="1079"/>
      <c r="AM44" s="1079"/>
      <c r="AN44" s="1079"/>
      <c r="AO44" s="1079"/>
      <c r="AP44" s="1079"/>
      <c r="AQ44" s="1079"/>
      <c r="AR44" s="1079"/>
      <c r="AS44" s="217"/>
      <c r="AT44" s="1065"/>
      <c r="AU44" s="1065"/>
      <c r="AV44" s="1079"/>
      <c r="AW44" s="1079"/>
      <c r="AX44" s="1079"/>
      <c r="AY44" s="1079"/>
      <c r="AZ44" s="1079"/>
      <c r="BA44" s="1079"/>
      <c r="BB44" s="1079"/>
      <c r="BC44" s="1148"/>
      <c r="BF44" s="902" t="s">
        <v>979</v>
      </c>
    </row>
    <row r="45" spans="1:58" s="726" customFormat="1" ht="22.5" customHeight="1">
      <c r="E45" s="623">
        <v>23.3</v>
      </c>
      <c r="F45" s="714" t="str">
        <f t="shared" si="9"/>
        <v>1</v>
      </c>
      <c r="T45" s="645" t="b">
        <f t="shared" si="10"/>
        <v>1</v>
      </c>
      <c r="X45" s="1404"/>
      <c r="Z45" s="1404"/>
      <c r="AB45" s="220" t="s">
        <v>749</v>
      </c>
      <c r="AC45" s="221" t="s">
        <v>980</v>
      </c>
      <c r="AD45" s="800" t="s">
        <v>648</v>
      </c>
      <c r="AE45" s="456">
        <f t="shared" ref="AE45:BB45" si="13">AE46+AE47</f>
        <v>0</v>
      </c>
      <c r="AF45" s="256">
        <f t="shared" si="13"/>
        <v>0</v>
      </c>
      <c r="AG45" s="256">
        <f t="shared" si="13"/>
        <v>0</v>
      </c>
      <c r="AH45" s="256">
        <f t="shared" si="13"/>
        <v>0</v>
      </c>
      <c r="AI45" s="256">
        <f t="shared" si="13"/>
        <v>0</v>
      </c>
      <c r="AJ45" s="256">
        <f t="shared" si="13"/>
        <v>0</v>
      </c>
      <c r="AK45" s="256">
        <f t="shared" si="13"/>
        <v>0</v>
      </c>
      <c r="AL45" s="256">
        <f t="shared" si="13"/>
        <v>0</v>
      </c>
      <c r="AM45" s="256">
        <f t="shared" si="13"/>
        <v>0</v>
      </c>
      <c r="AN45" s="256">
        <f t="shared" si="13"/>
        <v>0</v>
      </c>
      <c r="AO45" s="256">
        <f t="shared" si="13"/>
        <v>0</v>
      </c>
      <c r="AP45" s="256">
        <f t="shared" si="13"/>
        <v>0</v>
      </c>
      <c r="AQ45" s="256">
        <f t="shared" si="13"/>
        <v>0</v>
      </c>
      <c r="AR45" s="256">
        <f t="shared" si="13"/>
        <v>0</v>
      </c>
      <c r="AS45" s="256">
        <f t="shared" si="13"/>
        <v>0</v>
      </c>
      <c r="AT45" s="256">
        <f t="shared" si="13"/>
        <v>0</v>
      </c>
      <c r="AU45" s="256">
        <f t="shared" si="13"/>
        <v>0</v>
      </c>
      <c r="AV45" s="256">
        <f t="shared" si="13"/>
        <v>0</v>
      </c>
      <c r="AW45" s="256">
        <f t="shared" si="13"/>
        <v>0</v>
      </c>
      <c r="AX45" s="256">
        <f t="shared" si="13"/>
        <v>0</v>
      </c>
      <c r="AY45" s="256">
        <f t="shared" si="13"/>
        <v>0</v>
      </c>
      <c r="AZ45" s="256">
        <f t="shared" si="13"/>
        <v>0</v>
      </c>
      <c r="BA45" s="256">
        <f t="shared" si="13"/>
        <v>0</v>
      </c>
      <c r="BB45" s="256">
        <f t="shared" si="13"/>
        <v>0</v>
      </c>
      <c r="BC45" s="1148"/>
      <c r="BF45" s="902" t="s">
        <v>981</v>
      </c>
    </row>
    <row r="46" spans="1:58" s="726" customFormat="1" ht="67.5" customHeight="1">
      <c r="E46" s="623">
        <v>69.8</v>
      </c>
      <c r="F46" s="714" t="str">
        <f t="shared" si="9"/>
        <v>1</v>
      </c>
      <c r="G46" s="566" t="s">
        <v>982</v>
      </c>
      <c r="K46" s="151" t="str">
        <f>F46&amp;"komm_liz"</f>
        <v>1komm_liz</v>
      </c>
      <c r="L46" s="151">
        <f>BC46</f>
        <v>0</v>
      </c>
      <c r="T46" s="645" t="b">
        <f t="shared" si="10"/>
        <v>1</v>
      </c>
      <c r="X46" s="1404"/>
      <c r="Z46" s="1404"/>
      <c r="AB46" s="222" t="s">
        <v>983</v>
      </c>
      <c r="AC46" s="223" t="s">
        <v>984</v>
      </c>
      <c r="AD46" s="792" t="s">
        <v>648</v>
      </c>
      <c r="AE46" s="1088"/>
      <c r="AF46" s="1079"/>
      <c r="AG46" s="1079"/>
      <c r="AH46" s="1079"/>
      <c r="AI46" s="217"/>
      <c r="AJ46" s="1065"/>
      <c r="AK46" s="1065"/>
      <c r="AL46" s="1079"/>
      <c r="AM46" s="1079"/>
      <c r="AN46" s="1079"/>
      <c r="AO46" s="1079"/>
      <c r="AP46" s="1079"/>
      <c r="AQ46" s="1079"/>
      <c r="AR46" s="1079"/>
      <c r="AS46" s="217"/>
      <c r="AT46" s="1065"/>
      <c r="AU46" s="1065"/>
      <c r="AV46" s="1079"/>
      <c r="AW46" s="1079"/>
      <c r="AX46" s="1079"/>
      <c r="AY46" s="1079"/>
      <c r="AZ46" s="1079"/>
      <c r="BA46" s="1079"/>
      <c r="BB46" s="1079"/>
      <c r="BC46" s="1148"/>
      <c r="BF46" s="902" t="s">
        <v>985</v>
      </c>
    </row>
    <row r="47" spans="1:58" s="726" customFormat="1" ht="28.5" customHeight="1">
      <c r="E47" s="623">
        <v>29.3</v>
      </c>
      <c r="F47" s="714" t="str">
        <f t="shared" si="9"/>
        <v>1</v>
      </c>
      <c r="G47" s="566" t="s">
        <v>986</v>
      </c>
      <c r="T47" s="645" t="b">
        <f t="shared" si="10"/>
        <v>1</v>
      </c>
      <c r="X47" s="1404"/>
      <c r="Z47" s="1404"/>
      <c r="AB47" s="222" t="s">
        <v>987</v>
      </c>
      <c r="AC47" s="223" t="s">
        <v>988</v>
      </c>
      <c r="AD47" s="792" t="s">
        <v>648</v>
      </c>
      <c r="AE47" s="1088"/>
      <c r="AF47" s="1079"/>
      <c r="AG47" s="1079"/>
      <c r="AH47" s="1079"/>
      <c r="AI47" s="217"/>
      <c r="AJ47" s="1065"/>
      <c r="AK47" s="1065"/>
      <c r="AL47" s="1079"/>
      <c r="AM47" s="1079"/>
      <c r="AN47" s="1079"/>
      <c r="AO47" s="1079"/>
      <c r="AP47" s="1079"/>
      <c r="AQ47" s="1079"/>
      <c r="AR47" s="1079"/>
      <c r="AS47" s="217"/>
      <c r="AT47" s="1065"/>
      <c r="AU47" s="1065"/>
      <c r="AV47" s="1079"/>
      <c r="AW47" s="1079"/>
      <c r="AX47" s="1079"/>
      <c r="AY47" s="1079"/>
      <c r="AZ47" s="1079"/>
      <c r="BA47" s="1079"/>
      <c r="BB47" s="1079"/>
      <c r="BC47" s="1148"/>
      <c r="BF47" s="902" t="s">
        <v>989</v>
      </c>
    </row>
    <row r="48" spans="1:58" s="726" customFormat="1" ht="21" customHeight="1">
      <c r="E48" s="623">
        <v>21.8</v>
      </c>
      <c r="F48" s="714" t="str">
        <f t="shared" si="9"/>
        <v>1</v>
      </c>
      <c r="T48" s="645" t="b">
        <f t="shared" si="10"/>
        <v>1</v>
      </c>
      <c r="X48" s="1404"/>
      <c r="Z48" s="1404"/>
      <c r="AB48" s="220" t="s">
        <v>753</v>
      </c>
      <c r="AC48" s="221" t="s">
        <v>990</v>
      </c>
      <c r="AD48" s="800" t="s">
        <v>648</v>
      </c>
      <c r="AE48" s="456">
        <f t="shared" ref="AE48:BB48" si="14">AE49+AE50</f>
        <v>0</v>
      </c>
      <c r="AF48" s="256">
        <f t="shared" si="14"/>
        <v>0</v>
      </c>
      <c r="AG48" s="256">
        <f t="shared" si="14"/>
        <v>0</v>
      </c>
      <c r="AH48" s="256">
        <f t="shared" si="14"/>
        <v>0</v>
      </c>
      <c r="AI48" s="256">
        <f t="shared" si="14"/>
        <v>0</v>
      </c>
      <c r="AJ48" s="256">
        <f t="shared" si="14"/>
        <v>0</v>
      </c>
      <c r="AK48" s="256">
        <f t="shared" si="14"/>
        <v>0</v>
      </c>
      <c r="AL48" s="256">
        <f t="shared" si="14"/>
        <v>0</v>
      </c>
      <c r="AM48" s="256">
        <f t="shared" si="14"/>
        <v>0</v>
      </c>
      <c r="AN48" s="256">
        <f t="shared" si="14"/>
        <v>0</v>
      </c>
      <c r="AO48" s="256">
        <f t="shared" si="14"/>
        <v>0</v>
      </c>
      <c r="AP48" s="256">
        <f t="shared" si="14"/>
        <v>0</v>
      </c>
      <c r="AQ48" s="256">
        <f t="shared" si="14"/>
        <v>0</v>
      </c>
      <c r="AR48" s="256">
        <f t="shared" si="14"/>
        <v>0</v>
      </c>
      <c r="AS48" s="256">
        <f t="shared" si="14"/>
        <v>0</v>
      </c>
      <c r="AT48" s="256">
        <f t="shared" si="14"/>
        <v>0</v>
      </c>
      <c r="AU48" s="256">
        <f t="shared" si="14"/>
        <v>0</v>
      </c>
      <c r="AV48" s="256">
        <f t="shared" si="14"/>
        <v>0</v>
      </c>
      <c r="AW48" s="256">
        <f t="shared" si="14"/>
        <v>0</v>
      </c>
      <c r="AX48" s="256">
        <f t="shared" si="14"/>
        <v>0</v>
      </c>
      <c r="AY48" s="256">
        <f t="shared" si="14"/>
        <v>0</v>
      </c>
      <c r="AZ48" s="256">
        <f t="shared" si="14"/>
        <v>0</v>
      </c>
      <c r="BA48" s="256">
        <f t="shared" si="14"/>
        <v>0</v>
      </c>
      <c r="BB48" s="256">
        <f t="shared" si="14"/>
        <v>0</v>
      </c>
      <c r="BC48" s="1148"/>
      <c r="BF48" s="902" t="s">
        <v>991</v>
      </c>
    </row>
    <row r="49" spans="1:58" s="726" customFormat="1" ht="22.5" customHeight="1">
      <c r="E49" s="623">
        <v>23.3</v>
      </c>
      <c r="F49" s="714" t="str">
        <f t="shared" si="9"/>
        <v>1</v>
      </c>
      <c r="G49" s="566" t="s">
        <v>969</v>
      </c>
      <c r="T49" s="645" t="b">
        <f t="shared" si="10"/>
        <v>1</v>
      </c>
      <c r="X49" s="1404"/>
      <c r="Z49" s="1404"/>
      <c r="AB49" s="222" t="s">
        <v>845</v>
      </c>
      <c r="AC49" s="223" t="s">
        <v>971</v>
      </c>
      <c r="AD49" s="792" t="s">
        <v>648</v>
      </c>
      <c r="AE49" s="1088"/>
      <c r="AF49" s="1079"/>
      <c r="AG49" s="1079"/>
      <c r="AH49" s="1079"/>
      <c r="AI49" s="217"/>
      <c r="AJ49" s="1065"/>
      <c r="AK49" s="1065"/>
      <c r="AL49" s="1079"/>
      <c r="AM49" s="1079"/>
      <c r="AN49" s="1079"/>
      <c r="AO49" s="1079"/>
      <c r="AP49" s="1079"/>
      <c r="AQ49" s="1079"/>
      <c r="AR49" s="1079"/>
      <c r="AS49" s="217"/>
      <c r="AT49" s="1065"/>
      <c r="AU49" s="1065"/>
      <c r="AV49" s="1079"/>
      <c r="AW49" s="1079"/>
      <c r="AX49" s="1079"/>
      <c r="AY49" s="1079"/>
      <c r="AZ49" s="1079"/>
      <c r="BA49" s="1079"/>
      <c r="BB49" s="1079"/>
      <c r="BC49" s="1148"/>
      <c r="BF49" s="902" t="s">
        <v>992</v>
      </c>
    </row>
    <row r="50" spans="1:58" s="726" customFormat="1" ht="22.5" customHeight="1">
      <c r="E50" s="623">
        <v>23.3</v>
      </c>
      <c r="F50" s="714" t="str">
        <f t="shared" si="9"/>
        <v>1</v>
      </c>
      <c r="G50" s="566" t="s">
        <v>973</v>
      </c>
      <c r="T50" s="645" t="b">
        <f t="shared" si="10"/>
        <v>1</v>
      </c>
      <c r="X50" s="1404"/>
      <c r="Z50" s="1404"/>
      <c r="AB50" s="222" t="s">
        <v>848</v>
      </c>
      <c r="AC50" s="223" t="s">
        <v>975</v>
      </c>
      <c r="AD50" s="792" t="s">
        <v>648</v>
      </c>
      <c r="AE50" s="1088"/>
      <c r="AF50" s="1079"/>
      <c r="AG50" s="1079"/>
      <c r="AH50" s="1079"/>
      <c r="AI50" s="217"/>
      <c r="AJ50" s="1065"/>
      <c r="AK50" s="1065"/>
      <c r="AL50" s="1079"/>
      <c r="AM50" s="1079"/>
      <c r="AN50" s="1079"/>
      <c r="AO50" s="1079"/>
      <c r="AP50" s="1079"/>
      <c r="AQ50" s="1079"/>
      <c r="AR50" s="1079"/>
      <c r="AS50" s="217"/>
      <c r="AT50" s="1065"/>
      <c r="AU50" s="1065"/>
      <c r="AV50" s="1079"/>
      <c r="AW50" s="1079"/>
      <c r="AX50" s="1079"/>
      <c r="AY50" s="1079"/>
      <c r="AZ50" s="1079"/>
      <c r="BA50" s="1079"/>
      <c r="BB50" s="1079"/>
      <c r="BC50" s="1148"/>
      <c r="BF50" s="902" t="s">
        <v>993</v>
      </c>
    </row>
    <row r="51" spans="1:58" ht="11.1" customHeight="1">
      <c r="E51" s="717">
        <v>11.4</v>
      </c>
      <c r="U51" s="116" t="s">
        <v>172</v>
      </c>
      <c r="V51" s="109" t="s">
        <v>994</v>
      </c>
      <c r="W51" s="116"/>
      <c r="AE51" s="157"/>
    </row>
    <row r="52" spans="1:58" ht="11.25" hidden="1" customHeight="1">
      <c r="E52" s="717">
        <v>0</v>
      </c>
    </row>
    <row r="53" spans="1:58" s="394" customFormat="1" ht="14.65" customHeight="1">
      <c r="A53" s="988"/>
      <c r="B53" s="614"/>
      <c r="C53" s="113"/>
      <c r="D53" s="113"/>
      <c r="E53" s="623">
        <v>15</v>
      </c>
      <c r="F53" s="113"/>
      <c r="Q53" s="566"/>
      <c r="R53" s="566"/>
      <c r="T53" s="113"/>
      <c r="U53" s="113"/>
      <c r="V53" s="113"/>
      <c r="W53" s="113"/>
      <c r="X53" s="113"/>
      <c r="Y53" s="113"/>
      <c r="Z53" s="113"/>
      <c r="AB53" s="1476" t="s">
        <v>557</v>
      </c>
      <c r="AC53" s="1476"/>
      <c r="AD53" s="1476"/>
      <c r="AE53" s="1476"/>
      <c r="AF53" s="1476"/>
      <c r="AG53" s="1476"/>
      <c r="AH53" s="1476"/>
      <c r="AI53" s="1477"/>
      <c r="AJ53" s="1477"/>
      <c r="AK53" s="1477"/>
      <c r="AL53" s="1477"/>
      <c r="AM53" s="1477"/>
      <c r="AN53" s="1477"/>
      <c r="AO53" s="1477"/>
      <c r="AP53" s="1477"/>
      <c r="AQ53" s="1477"/>
      <c r="AR53" s="1477"/>
      <c r="AS53" s="1477"/>
      <c r="AT53" s="1477"/>
      <c r="AU53" s="1477"/>
      <c r="AV53" s="1477"/>
      <c r="AW53" s="1477"/>
      <c r="AX53" s="1477"/>
      <c r="AY53" s="1477"/>
      <c r="AZ53" s="1477"/>
      <c r="BA53" s="1477"/>
      <c r="BB53" s="1477"/>
      <c r="BC53" s="1477"/>
      <c r="BF53" s="912"/>
    </row>
    <row r="54" spans="1:58" s="394" customFormat="1" ht="14.65" customHeight="1">
      <c r="A54" s="988"/>
      <c r="B54" s="614"/>
      <c r="C54" s="113"/>
      <c r="D54" s="113"/>
      <c r="E54" s="623">
        <v>15</v>
      </c>
      <c r="F54" s="113"/>
      <c r="Q54" s="566"/>
      <c r="R54" s="566"/>
      <c r="T54" s="113"/>
      <c r="U54" s="113"/>
      <c r="V54" s="113"/>
      <c r="W54" s="113"/>
      <c r="X54" s="113"/>
      <c r="Y54" s="113"/>
      <c r="Z54" s="113"/>
      <c r="AA54" s="713"/>
      <c r="AB54" s="1478"/>
      <c r="AC54" s="1478"/>
      <c r="AD54" s="1478"/>
      <c r="AE54" s="1478"/>
      <c r="AF54" s="1478"/>
      <c r="AG54" s="1478"/>
      <c r="AH54" s="1478"/>
      <c r="AI54" s="1479"/>
      <c r="AJ54" s="1480"/>
      <c r="AK54" s="1480"/>
      <c r="AL54" s="1480"/>
      <c r="AM54" s="1480"/>
      <c r="AN54" s="1480"/>
      <c r="AO54" s="1480"/>
      <c r="AP54" s="1480"/>
      <c r="AQ54" s="1480"/>
      <c r="AR54" s="1480"/>
      <c r="AS54" s="1479"/>
      <c r="AT54" s="1480"/>
      <c r="AU54" s="1480"/>
      <c r="AV54" s="1480"/>
      <c r="AW54" s="1480"/>
      <c r="AX54" s="1480"/>
      <c r="AY54" s="1480"/>
      <c r="AZ54" s="1480"/>
      <c r="BA54" s="1480"/>
      <c r="BB54" s="1480"/>
      <c r="BC54" s="1479"/>
      <c r="BF54" s="912"/>
    </row>
    <row r="55" spans="1:58" s="394" customFormat="1" ht="14.65" hidden="1" customHeight="1">
      <c r="A55" s="988"/>
      <c r="B55" s="614"/>
      <c r="C55" s="113"/>
      <c r="D55" s="113"/>
      <c r="E55" s="623">
        <v>15</v>
      </c>
      <c r="F55" s="113"/>
      <c r="Q55" s="566"/>
      <c r="R55" s="566"/>
      <c r="T55" s="634" t="b">
        <f>ROW(W55)&gt;ROW(W$55)</f>
        <v>0</v>
      </c>
      <c r="U55" s="113"/>
      <c r="V55" s="116"/>
      <c r="W55" s="113" t="s">
        <v>170</v>
      </c>
      <c r="X55" s="113"/>
      <c r="Y55" s="113"/>
      <c r="Z55" s="113"/>
      <c r="AA55" s="709" t="s">
        <v>157</v>
      </c>
      <c r="AB55" s="1484"/>
      <c r="AC55" s="1484"/>
      <c r="AD55" s="1484"/>
      <c r="AE55" s="1484"/>
      <c r="AF55" s="1484"/>
      <c r="AG55" s="1484"/>
      <c r="AH55" s="1484"/>
      <c r="AI55" s="1479"/>
      <c r="AJ55" s="1480"/>
      <c r="AK55" s="1480"/>
      <c r="AL55" s="1480"/>
      <c r="AM55" s="1480"/>
      <c r="AN55" s="1480"/>
      <c r="AO55" s="1480"/>
      <c r="AP55" s="1480"/>
      <c r="AQ55" s="1480"/>
      <c r="AR55" s="1480"/>
      <c r="AS55" s="1479"/>
      <c r="AT55" s="1480"/>
      <c r="AU55" s="1480"/>
      <c r="AV55" s="1480"/>
      <c r="AW55" s="1480"/>
      <c r="AX55" s="1480"/>
      <c r="AY55" s="1480"/>
      <c r="AZ55" s="1480"/>
      <c r="BA55" s="1480"/>
      <c r="BB55" s="1480"/>
      <c r="BC55" s="1480"/>
      <c r="BF55" s="912"/>
    </row>
    <row r="56" spans="1:58" s="394" customFormat="1" ht="14.65" customHeight="1">
      <c r="A56" s="988"/>
      <c r="B56" s="614"/>
      <c r="C56" s="113"/>
      <c r="D56" s="113"/>
      <c r="E56" s="623">
        <v>15</v>
      </c>
      <c r="F56" s="113"/>
      <c r="Q56" s="566"/>
      <c r="R56" s="566"/>
      <c r="T56" s="113"/>
      <c r="U56" s="113"/>
      <c r="V56" s="113"/>
      <c r="W56" s="109" t="s">
        <v>171</v>
      </c>
      <c r="X56" s="113"/>
      <c r="Y56" s="113"/>
      <c r="Z56" s="113"/>
      <c r="AB56" s="1420" t="s">
        <v>558</v>
      </c>
      <c r="AC56" s="1421"/>
      <c r="AD56" s="299"/>
      <c r="AE56" s="299"/>
      <c r="AF56" s="300"/>
      <c r="AG56" s="300"/>
      <c r="AH56" s="300"/>
      <c r="AI56" s="300"/>
      <c r="AJ56" s="300"/>
      <c r="AK56" s="300"/>
      <c r="AL56" s="300"/>
      <c r="AM56" s="300"/>
      <c r="AN56" s="300"/>
      <c r="AO56" s="300"/>
      <c r="AP56" s="300"/>
      <c r="AQ56" s="300"/>
      <c r="AR56" s="300"/>
      <c r="AS56" s="300"/>
      <c r="AT56" s="300"/>
      <c r="AU56" s="300"/>
      <c r="AV56" s="300"/>
      <c r="AW56" s="300"/>
      <c r="AX56" s="300"/>
      <c r="AY56" s="300"/>
      <c r="AZ56" s="300"/>
      <c r="BA56" s="300"/>
      <c r="BB56" s="300"/>
      <c r="BC56" s="301"/>
      <c r="BF56" s="912"/>
    </row>
  </sheetData>
  <sheetProtection formatColumns="0" formatRows="0" insertRows="0" deleteColumns="0" deleteRows="0" sort="0" autoFilter="0"/>
  <mergeCells count="12">
    <mergeCell ref="X27:X38"/>
    <mergeCell ref="AB55:BC55"/>
    <mergeCell ref="AB56:AC56"/>
    <mergeCell ref="AB53:BC53"/>
    <mergeCell ref="AB54:BC54"/>
    <mergeCell ref="Z39:Z50"/>
    <mergeCell ref="X39:X50"/>
    <mergeCell ref="BC24:BC25"/>
    <mergeCell ref="AB24:AB25"/>
    <mergeCell ref="AC24:AC25"/>
    <mergeCell ref="AD24:AD25"/>
    <mergeCell ref="Z27:Z38"/>
  </mergeCells>
  <dataValidations count="1">
    <dataValidation type="decimal" allowBlank="1" showErrorMessage="1" errorTitle="Ошибка" error="Допускается ввод только неотрицательных чисел!" sqref="AE31:BB32 AE34:BB35 BB38 BB43:BB44 BB46:BB47 BB50 BA38 BA43:BA44 BA46:BA47 BA50 AZ38 AZ43:AZ44 AZ46:AZ47 AZ50 AY38 AY43:AY44 AY46:AY47 AY50 AX38 AX43:AX44 AX46:AX47 AX50 AW38 AW43:AW44 AW46:AW47 AW50 AV38 AV43:AV44 AV46:AV47 AV50 AU38 AU43:AU44 AU46:AU47 AU50 AT38 AT43:AT44 AT46:AT47 AT50 AS38 AS43:AS44 AS46:AS47 AS50 AR38 AR43:AR44 AR46:AR47 AR50 AQ38 AQ43:AQ44 AQ46:AQ47 AQ50 AP38 AP43:AP44 AP46:AP47 AP50 AO38 AO43:AO44 AO46:AO47 AO50 AN38 AN43:AN44 AN46:AN47 AN50 AM38 AM43:AM44 AM46:AM47 AM50 AL38 AL43:AL44 AL46:AL47 AL50 AK38 AK43:AK44 AK46:AK47 AK50 AJ38 AJ43:AJ44 AJ46:AJ47 AJ50 AI38 AI43:AI44 AI46:AI47 AI50 AH38 AH43:AH44 AH46:AH47 AH50 AG38 AG43:AG44 AG46:AG47 AG50 AF38 AF43:AF44 AF46:AF47 AF50 AE38 AE43:AE44 AE46:AE47 AE50">
      <formula1>0</formula1>
      <formula2>9.99999999999999E+23</formula2>
    </dataValidation>
  </dataValidations>
  <pageMargins left="0.35" right="0.35" top="0.4" bottom="0.4" header="0.31" footer="0.31"/>
  <pageSetup paperSize="8" scale="59" fitToHeight="0" orientation="landscape"/>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pageSetUpPr fitToPage="1"/>
  </sheetPr>
  <dimension ref="A1:BK70"/>
  <sheetViews>
    <sheetView showGridLines="0" workbookViewId="0">
      <pane xSplit="30" ySplit="26" topLeftCell="AE46" activePane="bottomRight" state="frozen"/>
      <selection pane="topRight" activeCell="AE1" sqref="AE1"/>
      <selection pane="bottomLeft" activeCell="A27" sqref="A27"/>
      <selection pane="bottomRight" activeCell="AA21" sqref="AA21"/>
    </sheetView>
  </sheetViews>
  <sheetFormatPr defaultColWidth="8.7109375" defaultRowHeight="11.25" customHeight="1"/>
  <cols>
    <col min="1" max="1" width="3.5703125" style="1016" hidden="1" customWidth="1"/>
    <col min="2" max="2" width="8.5703125" style="718" hidden="1" customWidth="1"/>
    <col min="3" max="4" width="3.5703125" style="1011" hidden="1" customWidth="1"/>
    <col min="5" max="5" width="8.42578125" style="717" hidden="1" customWidth="1"/>
    <col min="6" max="6" width="3.5703125" style="1011" hidden="1" customWidth="1"/>
    <col min="7" max="16" width="3.5703125" style="1018" hidden="1" customWidth="1"/>
    <col min="17" max="18" width="3.5703125" style="130" hidden="1" customWidth="1"/>
    <col min="19" max="19" width="3.5703125" style="1018" hidden="1" customWidth="1"/>
    <col min="20" max="20" width="9" style="1016" hidden="1" customWidth="1"/>
    <col min="21" max="21" width="6" style="1016" hidden="1" customWidth="1"/>
    <col min="22" max="23" width="6.28515625" style="1016" hidden="1" customWidth="1"/>
    <col min="24" max="25" width="5.7109375" style="1016" hidden="1" customWidth="1"/>
    <col min="26" max="26" width="5.42578125" style="1016" hidden="1" customWidth="1"/>
    <col min="27" max="27" width="3" style="160" customWidth="1"/>
    <col min="28" max="28" width="6.5703125" style="160" customWidth="1"/>
    <col min="29" max="29" width="47.140625" style="160" customWidth="1"/>
    <col min="30" max="30" width="12.140625" style="160" customWidth="1"/>
    <col min="31" max="35" width="12.5703125" style="160" customWidth="1"/>
    <col min="36" max="44" width="12.5703125" style="160" hidden="1" customWidth="1"/>
    <col min="45" max="45" width="12.5703125" style="160" customWidth="1"/>
    <col min="46" max="54" width="12.5703125" style="160" hidden="1" customWidth="1"/>
    <col min="55" max="55" width="20.140625" style="160" customWidth="1"/>
    <col min="56" max="56" width="3" style="160" customWidth="1"/>
    <col min="57" max="57" width="8.7109375" style="160" hidden="1"/>
    <col min="58" max="61" width="8.7109375" style="934" hidden="1"/>
    <col min="62" max="63" width="8.7109375" style="935" hidden="1"/>
  </cols>
  <sheetData>
    <row r="1" spans="1:63" s="1016" customFormat="1" ht="12" hidden="1" customHeight="1">
      <c r="B1" s="614"/>
      <c r="E1" s="614"/>
      <c r="F1" s="735" t="s">
        <v>77</v>
      </c>
      <c r="G1" s="563"/>
      <c r="H1" s="563"/>
      <c r="I1" s="563"/>
      <c r="J1" s="563"/>
      <c r="K1" s="563"/>
      <c r="L1" s="563"/>
      <c r="M1" s="563"/>
      <c r="N1" s="563"/>
      <c r="O1" s="563"/>
      <c r="P1" s="563"/>
      <c r="Q1" s="566"/>
      <c r="R1" s="566"/>
      <c r="S1" s="563"/>
      <c r="T1" s="634" t="s">
        <v>78</v>
      </c>
      <c r="U1" s="634" t="s">
        <v>83</v>
      </c>
      <c r="V1" s="634" t="s">
        <v>79</v>
      </c>
      <c r="W1" s="634" t="s">
        <v>80</v>
      </c>
      <c r="X1" s="634" t="s">
        <v>81</v>
      </c>
      <c r="Y1" s="735" t="s">
        <v>274</v>
      </c>
      <c r="Z1" s="634" t="s">
        <v>85</v>
      </c>
      <c r="AA1" s="735" t="s">
        <v>82</v>
      </c>
      <c r="AB1" s="735" t="s">
        <v>84</v>
      </c>
      <c r="AC1" s="735" t="s">
        <v>84</v>
      </c>
      <c r="BF1" s="907" t="s">
        <v>275</v>
      </c>
      <c r="BG1" s="907" t="s">
        <v>276</v>
      </c>
      <c r="BH1" s="907" t="s">
        <v>277</v>
      </c>
      <c r="BI1" s="907" t="s">
        <v>995</v>
      </c>
      <c r="BJ1" s="908" t="s">
        <v>280</v>
      </c>
      <c r="BK1" s="908" t="s">
        <v>281</v>
      </c>
    </row>
    <row r="2" spans="1:63" s="718" customFormat="1" ht="12" hidden="1" customHeight="1">
      <c r="B2" s="703" t="s">
        <v>15</v>
      </c>
      <c r="G2" s="721"/>
      <c r="H2" s="721"/>
      <c r="I2" s="721"/>
      <c r="J2" s="721"/>
      <c r="K2" s="721"/>
      <c r="L2" s="721"/>
      <c r="M2" s="721"/>
      <c r="N2" s="721"/>
      <c r="O2" s="721"/>
      <c r="P2" s="721"/>
      <c r="Q2" s="721"/>
      <c r="R2" s="721"/>
      <c r="S2" s="721"/>
      <c r="AI2" s="635" t="b">
        <f t="shared" ref="AI2:BB2" si="0">AI6&lt;=last_year_vis</f>
        <v>1</v>
      </c>
      <c r="AJ2" s="635" t="b">
        <f t="shared" si="0"/>
        <v>0</v>
      </c>
      <c r="AK2" s="635" t="b">
        <f t="shared" si="0"/>
        <v>0</v>
      </c>
      <c r="AL2" s="635" t="b">
        <f t="shared" si="0"/>
        <v>0</v>
      </c>
      <c r="AM2" s="635" t="b">
        <f t="shared" si="0"/>
        <v>0</v>
      </c>
      <c r="AN2" s="635" t="b">
        <f t="shared" si="0"/>
        <v>0</v>
      </c>
      <c r="AO2" s="635" t="b">
        <f t="shared" si="0"/>
        <v>0</v>
      </c>
      <c r="AP2" s="635" t="b">
        <f t="shared" si="0"/>
        <v>0</v>
      </c>
      <c r="AQ2" s="635" t="b">
        <f t="shared" si="0"/>
        <v>0</v>
      </c>
      <c r="AR2" s="635" t="b">
        <f t="shared" si="0"/>
        <v>0</v>
      </c>
      <c r="AS2" s="635" t="b">
        <f t="shared" si="0"/>
        <v>1</v>
      </c>
      <c r="AT2" s="635" t="b">
        <f t="shared" si="0"/>
        <v>0</v>
      </c>
      <c r="AU2" s="635" t="b">
        <f t="shared" si="0"/>
        <v>0</v>
      </c>
      <c r="AV2" s="635" t="b">
        <f t="shared" si="0"/>
        <v>0</v>
      </c>
      <c r="AW2" s="635" t="b">
        <f t="shared" si="0"/>
        <v>0</v>
      </c>
      <c r="AX2" s="635" t="b">
        <f t="shared" si="0"/>
        <v>0</v>
      </c>
      <c r="AY2" s="635" t="b">
        <f t="shared" si="0"/>
        <v>0</v>
      </c>
      <c r="AZ2" s="635" t="b">
        <f t="shared" si="0"/>
        <v>0</v>
      </c>
      <c r="BA2" s="635" t="b">
        <f t="shared" si="0"/>
        <v>0</v>
      </c>
      <c r="BB2" s="635" t="b">
        <f t="shared" si="0"/>
        <v>0</v>
      </c>
      <c r="BF2" s="936"/>
      <c r="BG2" s="936"/>
      <c r="BH2" s="936"/>
      <c r="BI2" s="936"/>
      <c r="BJ2" s="937"/>
      <c r="BK2" s="937"/>
    </row>
    <row r="3" spans="1:63" s="1011" customFormat="1" ht="12" hidden="1" customHeight="1">
      <c r="A3" s="98"/>
      <c r="B3" s="614"/>
      <c r="E3" s="614"/>
      <c r="G3" s="94"/>
      <c r="H3" s="94"/>
      <c r="I3" s="94"/>
      <c r="J3" s="94"/>
      <c r="K3" s="94"/>
      <c r="L3" s="94"/>
      <c r="M3" s="94"/>
      <c r="N3" s="94"/>
      <c r="O3" s="94"/>
      <c r="P3" s="94"/>
      <c r="Q3" s="130"/>
      <c r="R3" s="130"/>
      <c r="S3" s="94"/>
      <c r="T3" s="116"/>
      <c r="U3" s="116"/>
      <c r="V3" s="116"/>
      <c r="W3" s="116"/>
      <c r="X3" s="116"/>
      <c r="Y3" s="116"/>
      <c r="Z3" s="116"/>
      <c r="BF3" s="934"/>
      <c r="BG3" s="934"/>
      <c r="BH3" s="934"/>
      <c r="BI3" s="934"/>
      <c r="BJ3" s="935"/>
      <c r="BK3" s="935"/>
    </row>
    <row r="4" spans="1:63" s="1011" customFormat="1" ht="12" hidden="1" customHeight="1">
      <c r="A4" s="98"/>
      <c r="B4" s="614"/>
      <c r="E4" s="614"/>
      <c r="G4" s="94"/>
      <c r="H4" s="94"/>
      <c r="I4" s="94"/>
      <c r="J4" s="94"/>
      <c r="K4" s="94"/>
      <c r="L4" s="94"/>
      <c r="M4" s="94"/>
      <c r="N4" s="94"/>
      <c r="O4" s="94"/>
      <c r="P4" s="94"/>
      <c r="Q4" s="130"/>
      <c r="R4" s="130"/>
      <c r="S4" s="94"/>
      <c r="T4" s="116"/>
      <c r="U4" s="116"/>
      <c r="V4" s="116"/>
      <c r="W4" s="116"/>
      <c r="X4" s="116"/>
      <c r="Y4" s="116"/>
      <c r="Z4" s="116"/>
      <c r="BF4" s="934"/>
      <c r="BG4" s="934"/>
      <c r="BH4" s="934"/>
      <c r="BI4" s="934"/>
      <c r="BJ4" s="935"/>
      <c r="BK4" s="935"/>
    </row>
    <row r="5" spans="1:63" s="717" customFormat="1" ht="12" hidden="1" customHeight="1">
      <c r="A5" s="614"/>
      <c r="B5" s="614"/>
      <c r="C5" s="614"/>
      <c r="D5" s="614"/>
      <c r="E5" s="623" t="s">
        <v>16</v>
      </c>
      <c r="G5" s="722"/>
      <c r="H5" s="722"/>
      <c r="I5" s="722"/>
      <c r="J5" s="722"/>
      <c r="K5" s="722"/>
      <c r="L5" s="722"/>
      <c r="M5" s="722"/>
      <c r="N5" s="722"/>
      <c r="O5" s="722"/>
      <c r="P5" s="722"/>
      <c r="Q5" s="722"/>
      <c r="R5" s="722"/>
      <c r="S5" s="722"/>
      <c r="AA5" s="623">
        <v>3</v>
      </c>
      <c r="AB5" s="623">
        <v>6.5</v>
      </c>
      <c r="AC5" s="623">
        <v>47.13</v>
      </c>
      <c r="AD5" s="623">
        <v>12.13</v>
      </c>
      <c r="AE5" s="623">
        <v>12.63</v>
      </c>
      <c r="AF5" s="623">
        <v>12.63</v>
      </c>
      <c r="AG5" s="623">
        <v>12.63</v>
      </c>
      <c r="AH5" s="623">
        <v>12.63</v>
      </c>
      <c r="AI5" s="623">
        <v>12.63</v>
      </c>
      <c r="AJ5" s="623">
        <v>12.63</v>
      </c>
      <c r="AK5" s="623">
        <v>12.63</v>
      </c>
      <c r="AL5" s="623">
        <v>12.63</v>
      </c>
      <c r="AM5" s="623">
        <v>12.63</v>
      </c>
      <c r="AN5" s="623">
        <v>12.63</v>
      </c>
      <c r="AO5" s="623">
        <v>12.63</v>
      </c>
      <c r="AP5" s="623">
        <v>12.63</v>
      </c>
      <c r="AQ5" s="623">
        <v>12.63</v>
      </c>
      <c r="AR5" s="623">
        <v>12.63</v>
      </c>
      <c r="AS5" s="623">
        <v>12.63</v>
      </c>
      <c r="AT5" s="623">
        <v>12.63</v>
      </c>
      <c r="AU5" s="623">
        <v>12.63</v>
      </c>
      <c r="AV5" s="623">
        <v>12.63</v>
      </c>
      <c r="AW5" s="623">
        <v>12.63</v>
      </c>
      <c r="AX5" s="623">
        <v>12.63</v>
      </c>
      <c r="AY5" s="623">
        <v>12.63</v>
      </c>
      <c r="AZ5" s="623">
        <v>12.63</v>
      </c>
      <c r="BA5" s="623">
        <v>12.63</v>
      </c>
      <c r="BB5" s="623">
        <v>12.63</v>
      </c>
      <c r="BC5" s="623">
        <v>20.13</v>
      </c>
      <c r="BD5" s="623">
        <v>3</v>
      </c>
      <c r="BF5" s="936"/>
      <c r="BG5" s="936"/>
      <c r="BH5" s="936"/>
      <c r="BI5" s="936"/>
      <c r="BJ5" s="937"/>
      <c r="BK5" s="937"/>
    </row>
    <row r="6" spans="1:63" s="1011" customFormat="1" ht="12" hidden="1" customHeight="1">
      <c r="A6" s="98"/>
      <c r="B6" s="614"/>
      <c r="E6" s="623"/>
      <c r="G6" s="94"/>
      <c r="H6" s="94"/>
      <c r="I6" s="94"/>
      <c r="J6" s="94"/>
      <c r="K6" s="94"/>
      <c r="L6" s="94"/>
      <c r="M6" s="94"/>
      <c r="N6" s="94"/>
      <c r="O6" s="94"/>
      <c r="P6" s="94"/>
      <c r="Q6" s="130"/>
      <c r="R6" s="130"/>
      <c r="S6" s="94"/>
      <c r="T6" s="116"/>
      <c r="U6" s="116"/>
      <c r="V6" s="116"/>
      <c r="W6" s="116"/>
      <c r="X6" s="116"/>
      <c r="Y6" s="116"/>
      <c r="Z6" s="116"/>
      <c r="AE6" s="120">
        <f>god-2</f>
        <v>2024</v>
      </c>
      <c r="AF6" s="120">
        <f>god-2</f>
        <v>2024</v>
      </c>
      <c r="AG6" s="120">
        <f>god-2</f>
        <v>2024</v>
      </c>
      <c r="AH6" s="120">
        <f>god-1</f>
        <v>2025</v>
      </c>
      <c r="AI6" s="113">
        <f>god</f>
        <v>2026</v>
      </c>
      <c r="AJ6" s="113">
        <f>god+1</f>
        <v>2027</v>
      </c>
      <c r="AK6" s="113">
        <f>god+2</f>
        <v>2028</v>
      </c>
      <c r="AL6" s="113">
        <f>god+3</f>
        <v>2029</v>
      </c>
      <c r="AM6" s="113">
        <f>god+4</f>
        <v>2030</v>
      </c>
      <c r="AN6" s="113">
        <f>god+5</f>
        <v>2031</v>
      </c>
      <c r="AO6" s="113">
        <f>god+6</f>
        <v>2032</v>
      </c>
      <c r="AP6" s="113">
        <f>god+7</f>
        <v>2033</v>
      </c>
      <c r="AQ6" s="113">
        <f>god+8</f>
        <v>2034</v>
      </c>
      <c r="AR6" s="113">
        <f>god+9</f>
        <v>2035</v>
      </c>
      <c r="AS6" s="113">
        <f>god</f>
        <v>2026</v>
      </c>
      <c r="AT6" s="113">
        <f>god+1</f>
        <v>2027</v>
      </c>
      <c r="AU6" s="113">
        <f>god+2</f>
        <v>2028</v>
      </c>
      <c r="AV6" s="113">
        <f>god+3</f>
        <v>2029</v>
      </c>
      <c r="AW6" s="113">
        <f>god+4</f>
        <v>2030</v>
      </c>
      <c r="AX6" s="113">
        <f>god+5</f>
        <v>2031</v>
      </c>
      <c r="AY6" s="113">
        <f>god+6</f>
        <v>2032</v>
      </c>
      <c r="AZ6" s="113">
        <f>god+7</f>
        <v>2033</v>
      </c>
      <c r="BA6" s="113">
        <f>god+8</f>
        <v>2034</v>
      </c>
      <c r="BB6" s="113">
        <f>god+9</f>
        <v>2035</v>
      </c>
      <c r="BF6" s="934"/>
      <c r="BG6" s="934"/>
      <c r="BH6" s="934"/>
      <c r="BI6" s="934"/>
      <c r="BJ6" s="935"/>
      <c r="BK6" s="935"/>
    </row>
    <row r="7" spans="1:63" s="1018" customFormat="1" ht="12" hidden="1" customHeight="1">
      <c r="A7" s="98"/>
      <c r="B7" s="614"/>
      <c r="C7" s="120"/>
      <c r="D7" s="120"/>
      <c r="E7" s="623"/>
      <c r="Q7" s="130"/>
      <c r="R7" s="130"/>
      <c r="T7" s="151"/>
      <c r="U7" s="151"/>
      <c r="V7" s="151"/>
      <c r="W7" s="151"/>
      <c r="X7" s="151"/>
      <c r="Y7" s="151"/>
      <c r="Z7" s="151"/>
      <c r="AE7" s="94" t="str">
        <f t="shared" ref="AE7:BB7" si="1">AE25</f>
        <v>Принято органом регулирования</v>
      </c>
      <c r="AF7" s="94" t="str">
        <f t="shared" si="1"/>
        <v>Факт по данным организации</v>
      </c>
      <c r="AG7" s="94" t="str">
        <f t="shared" si="1"/>
        <v>Факт, принятый органом регулирования</v>
      </c>
      <c r="AH7" s="94" t="str">
        <f t="shared" si="1"/>
        <v>Принято органом регулирования</v>
      </c>
      <c r="AI7" s="94" t="str">
        <f t="shared" si="1"/>
        <v>Предложение организации</v>
      </c>
      <c r="AJ7" s="94" t="str">
        <f t="shared" si="1"/>
        <v>Предложение организации</v>
      </c>
      <c r="AK7" s="94" t="str">
        <f t="shared" si="1"/>
        <v>Предложение организации</v>
      </c>
      <c r="AL7" s="94" t="str">
        <f t="shared" si="1"/>
        <v>Предложение организации</v>
      </c>
      <c r="AM7" s="94" t="str">
        <f t="shared" si="1"/>
        <v>Предложение организации</v>
      </c>
      <c r="AN7" s="94" t="str">
        <f t="shared" si="1"/>
        <v>Предложение организации</v>
      </c>
      <c r="AO7" s="94" t="str">
        <f t="shared" si="1"/>
        <v>Предложение организации</v>
      </c>
      <c r="AP7" s="94" t="str">
        <f t="shared" si="1"/>
        <v>Предложение организации</v>
      </c>
      <c r="AQ7" s="94" t="str">
        <f t="shared" si="1"/>
        <v>Предложение организации</v>
      </c>
      <c r="AR7" s="94" t="str">
        <f t="shared" si="1"/>
        <v>Предложение организации</v>
      </c>
      <c r="AS7" s="94" t="str">
        <f t="shared" si="1"/>
        <v>Принято органом регулирования</v>
      </c>
      <c r="AT7" s="94" t="str">
        <f t="shared" si="1"/>
        <v>Принято органом регулирования</v>
      </c>
      <c r="AU7" s="94" t="str">
        <f t="shared" si="1"/>
        <v>Принято органом регулирования</v>
      </c>
      <c r="AV7" s="94" t="str">
        <f t="shared" si="1"/>
        <v>Принято органом регулирования</v>
      </c>
      <c r="AW7" s="94" t="str">
        <f t="shared" si="1"/>
        <v>Принято органом регулирования</v>
      </c>
      <c r="AX7" s="94" t="str">
        <f t="shared" si="1"/>
        <v>Принято органом регулирования</v>
      </c>
      <c r="AY7" s="94" t="str">
        <f t="shared" si="1"/>
        <v>Принято органом регулирования</v>
      </c>
      <c r="AZ7" s="94" t="str">
        <f t="shared" si="1"/>
        <v>Принято органом регулирования</v>
      </c>
      <c r="BA7" s="94" t="str">
        <f t="shared" si="1"/>
        <v>Принято органом регулирования</v>
      </c>
      <c r="BB7" s="94" t="str">
        <f t="shared" si="1"/>
        <v>Принято органом регулирования</v>
      </c>
      <c r="BF7" s="934"/>
      <c r="BG7" s="934"/>
      <c r="BH7" s="934"/>
      <c r="BI7" s="934"/>
      <c r="BJ7" s="935"/>
      <c r="BK7" s="935"/>
    </row>
    <row r="8" spans="1:63" s="1018" customFormat="1" ht="12" hidden="1" customHeight="1">
      <c r="A8" s="98"/>
      <c r="B8" s="614"/>
      <c r="C8" s="120"/>
      <c r="D8" s="120"/>
      <c r="E8" s="623"/>
      <c r="Q8" s="130"/>
      <c r="R8" s="130"/>
      <c r="T8" s="151"/>
      <c r="U8" s="151"/>
      <c r="V8" s="151"/>
      <c r="W8" s="151"/>
      <c r="X8" s="151"/>
      <c r="Y8" s="151"/>
      <c r="Z8" s="151"/>
      <c r="BF8" s="934"/>
      <c r="BG8" s="934"/>
      <c r="BH8" s="934"/>
      <c r="BI8" s="934"/>
      <c r="BJ8" s="935"/>
      <c r="BK8" s="935"/>
    </row>
    <row r="9" spans="1:63" s="922" customFormat="1" ht="12" hidden="1" customHeight="1">
      <c r="A9" s="903" t="s">
        <v>327</v>
      </c>
      <c r="B9" s="878"/>
      <c r="E9" s="878"/>
      <c r="Q9" s="923"/>
      <c r="R9" s="923"/>
      <c r="T9" s="879"/>
      <c r="U9" s="879"/>
      <c r="V9" s="879"/>
      <c r="W9" s="879"/>
      <c r="X9" s="879"/>
      <c r="Y9" s="879"/>
      <c r="Z9" s="879"/>
      <c r="AE9" s="922">
        <f>god-2</f>
        <v>2024</v>
      </c>
      <c r="AF9" s="922">
        <f>god-2</f>
        <v>2024</v>
      </c>
      <c r="AG9" s="922">
        <f>god-2</f>
        <v>2024</v>
      </c>
      <c r="AH9" s="922">
        <f>god-1</f>
        <v>2025</v>
      </c>
      <c r="AI9" s="922">
        <f>god</f>
        <v>2026</v>
      </c>
      <c r="AJ9" s="922">
        <f>god+1</f>
        <v>2027</v>
      </c>
      <c r="AK9" s="922">
        <f>god+2</f>
        <v>2028</v>
      </c>
      <c r="AL9" s="922">
        <f>god+3</f>
        <v>2029</v>
      </c>
      <c r="AM9" s="922">
        <f>god+4</f>
        <v>2030</v>
      </c>
      <c r="AN9" s="922">
        <f>god+5</f>
        <v>2031</v>
      </c>
      <c r="AO9" s="922">
        <f>god+6</f>
        <v>2032</v>
      </c>
      <c r="AP9" s="922">
        <f>god+7</f>
        <v>2033</v>
      </c>
      <c r="AQ9" s="922">
        <f>god+8</f>
        <v>2034</v>
      </c>
      <c r="AR9" s="922">
        <f>god+9</f>
        <v>2035</v>
      </c>
      <c r="AS9" s="922">
        <f>god</f>
        <v>2026</v>
      </c>
      <c r="AT9" s="922">
        <f>god+1</f>
        <v>2027</v>
      </c>
      <c r="AU9" s="922">
        <f>god+2</f>
        <v>2028</v>
      </c>
      <c r="AV9" s="922">
        <f>god+3</f>
        <v>2029</v>
      </c>
      <c r="AW9" s="922">
        <f>god+4</f>
        <v>2030</v>
      </c>
      <c r="AX9" s="922">
        <f>god+5</f>
        <v>2031</v>
      </c>
      <c r="AY9" s="922">
        <f>god+6</f>
        <v>2032</v>
      </c>
      <c r="AZ9" s="922">
        <f>god+7</f>
        <v>2033</v>
      </c>
      <c r="BA9" s="922">
        <f>god+8</f>
        <v>2034</v>
      </c>
      <c r="BB9" s="922">
        <f>god+9</f>
        <v>2035</v>
      </c>
      <c r="BF9" s="934"/>
      <c r="BG9" s="934"/>
      <c r="BH9" s="934"/>
      <c r="BI9" s="934"/>
      <c r="BJ9" s="935"/>
      <c r="BK9" s="935"/>
    </row>
    <row r="10" spans="1:63" s="922" customFormat="1" ht="12" hidden="1" customHeight="1">
      <c r="A10" s="903" t="s">
        <v>328</v>
      </c>
      <c r="B10" s="878"/>
      <c r="E10" s="878"/>
      <c r="Q10" s="923"/>
      <c r="R10" s="923"/>
      <c r="T10" s="879"/>
      <c r="U10" s="879"/>
      <c r="V10" s="879"/>
      <c r="W10" s="879"/>
      <c r="X10" s="879"/>
      <c r="Y10" s="879"/>
      <c r="Z10" s="879"/>
      <c r="AE10" s="922" t="str">
        <f t="shared" ref="AE10:BB10" si="2">AE25</f>
        <v>Принято органом регулирования</v>
      </c>
      <c r="AF10" s="922" t="str">
        <f t="shared" si="2"/>
        <v>Факт по данным организации</v>
      </c>
      <c r="AG10" s="922" t="str">
        <f t="shared" si="2"/>
        <v>Факт, принятый органом регулирования</v>
      </c>
      <c r="AH10" s="922" t="str">
        <f t="shared" si="2"/>
        <v>Принято органом регулирования</v>
      </c>
      <c r="AI10" s="922" t="str">
        <f t="shared" si="2"/>
        <v>Предложение организации</v>
      </c>
      <c r="AJ10" s="922" t="str">
        <f t="shared" si="2"/>
        <v>Предложение организации</v>
      </c>
      <c r="AK10" s="922" t="str">
        <f t="shared" si="2"/>
        <v>Предложение организации</v>
      </c>
      <c r="AL10" s="922" t="str">
        <f t="shared" si="2"/>
        <v>Предложение организации</v>
      </c>
      <c r="AM10" s="922" t="str">
        <f t="shared" si="2"/>
        <v>Предложение организации</v>
      </c>
      <c r="AN10" s="922" t="str">
        <f t="shared" si="2"/>
        <v>Предложение организации</v>
      </c>
      <c r="AO10" s="922" t="str">
        <f t="shared" si="2"/>
        <v>Предложение организации</v>
      </c>
      <c r="AP10" s="922" t="str">
        <f t="shared" si="2"/>
        <v>Предложение организации</v>
      </c>
      <c r="AQ10" s="922" t="str">
        <f t="shared" si="2"/>
        <v>Предложение организации</v>
      </c>
      <c r="AR10" s="922" t="str">
        <f t="shared" si="2"/>
        <v>Предложение организации</v>
      </c>
      <c r="AS10" s="922" t="str">
        <f t="shared" si="2"/>
        <v>Принято органом регулирования</v>
      </c>
      <c r="AT10" s="922" t="str">
        <f t="shared" si="2"/>
        <v>Принято органом регулирования</v>
      </c>
      <c r="AU10" s="922" t="str">
        <f t="shared" si="2"/>
        <v>Принято органом регулирования</v>
      </c>
      <c r="AV10" s="922" t="str">
        <f t="shared" si="2"/>
        <v>Принято органом регулирования</v>
      </c>
      <c r="AW10" s="922" t="str">
        <f t="shared" si="2"/>
        <v>Принято органом регулирования</v>
      </c>
      <c r="AX10" s="922" t="str">
        <f t="shared" si="2"/>
        <v>Принято органом регулирования</v>
      </c>
      <c r="AY10" s="922" t="str">
        <f t="shared" si="2"/>
        <v>Принято органом регулирования</v>
      </c>
      <c r="AZ10" s="922" t="str">
        <f t="shared" si="2"/>
        <v>Принято органом регулирования</v>
      </c>
      <c r="BA10" s="922" t="str">
        <f t="shared" si="2"/>
        <v>Принято органом регулирования</v>
      </c>
      <c r="BB10" s="922" t="str">
        <f t="shared" si="2"/>
        <v>Принято органом регулирования</v>
      </c>
      <c r="BF10" s="934"/>
      <c r="BG10" s="934"/>
      <c r="BH10" s="934"/>
      <c r="BI10" s="934"/>
      <c r="BJ10" s="935"/>
      <c r="BK10" s="935"/>
    </row>
    <row r="11" spans="1:63" s="922" customFormat="1" ht="12" hidden="1" customHeight="1">
      <c r="A11" s="903" t="s">
        <v>329</v>
      </c>
      <c r="B11" s="878"/>
      <c r="E11" s="878"/>
      <c r="G11" s="924"/>
      <c r="H11" s="924"/>
      <c r="I11" s="924"/>
      <c r="J11" s="924"/>
      <c r="K11" s="924"/>
      <c r="L11" s="924"/>
      <c r="M11" s="924"/>
      <c r="N11" s="924"/>
      <c r="O11" s="924"/>
      <c r="P11" s="924"/>
      <c r="Q11" s="925"/>
      <c r="R11" s="925"/>
      <c r="S11" s="924"/>
      <c r="T11" s="879"/>
      <c r="U11" s="879"/>
      <c r="V11" s="879"/>
      <c r="W11" s="879"/>
      <c r="X11" s="879"/>
      <c r="Y11" s="879"/>
      <c r="Z11" s="879"/>
      <c r="BC11" s="922" t="str">
        <f>BC24</f>
        <v>Ссылка на правовую норму (основание для принятия показателя в расчет тарифа)</v>
      </c>
      <c r="BF11" s="934"/>
      <c r="BG11" s="934"/>
      <c r="BH11" s="934"/>
      <c r="BI11" s="934"/>
      <c r="BJ11" s="935"/>
      <c r="BK11" s="935"/>
    </row>
    <row r="12" spans="1:63" s="922" customFormat="1" ht="12" hidden="1" customHeight="1">
      <c r="A12" s="903" t="s">
        <v>286</v>
      </c>
      <c r="B12" s="878"/>
      <c r="E12" s="878"/>
      <c r="G12" s="924"/>
      <c r="H12" s="924"/>
      <c r="I12" s="924"/>
      <c r="J12" s="924"/>
      <c r="K12" s="924"/>
      <c r="L12" s="924"/>
      <c r="M12" s="924"/>
      <c r="N12" s="924"/>
      <c r="O12" s="924"/>
      <c r="P12" s="924"/>
      <c r="Q12" s="925"/>
      <c r="R12" s="925"/>
      <c r="S12" s="924"/>
      <c r="T12" s="879"/>
      <c r="U12" s="879"/>
      <c r="V12" s="879"/>
      <c r="W12" s="879"/>
      <c r="X12" s="879"/>
      <c r="Y12" s="879"/>
      <c r="Z12" s="879"/>
      <c r="AC12" s="922" t="s">
        <v>277</v>
      </c>
      <c r="AD12" s="922" t="s">
        <v>995</v>
      </c>
      <c r="BF12" s="934"/>
      <c r="BG12" s="934"/>
      <c r="BH12" s="934"/>
      <c r="BI12" s="934"/>
      <c r="BJ12" s="935"/>
      <c r="BK12" s="935"/>
    </row>
    <row r="13" spans="1:63" s="1011" customFormat="1" ht="12" hidden="1" customHeight="1">
      <c r="A13" s="98"/>
      <c r="B13" s="614"/>
      <c r="E13" s="623"/>
      <c r="G13" s="94"/>
      <c r="H13" s="94"/>
      <c r="I13" s="94"/>
      <c r="J13" s="94"/>
      <c r="K13" s="94"/>
      <c r="L13" s="94"/>
      <c r="M13" s="94"/>
      <c r="N13" s="94"/>
      <c r="O13" s="94"/>
      <c r="P13" s="94"/>
      <c r="Q13" s="130"/>
      <c r="R13" s="130"/>
      <c r="S13" s="94"/>
      <c r="T13" s="116"/>
      <c r="U13" s="116"/>
      <c r="V13" s="116"/>
      <c r="W13" s="116"/>
      <c r="X13" s="116"/>
      <c r="Y13" s="116"/>
      <c r="Z13" s="116"/>
      <c r="AI13" s="113"/>
      <c r="AJ13" s="113"/>
      <c r="AK13" s="113"/>
      <c r="AL13" s="113"/>
      <c r="AM13" s="113"/>
      <c r="AN13" s="113"/>
      <c r="AO13" s="113"/>
      <c r="AP13" s="113"/>
      <c r="AQ13" s="113"/>
      <c r="AR13" s="113"/>
      <c r="AS13" s="113"/>
      <c r="AT13" s="113"/>
      <c r="AU13" s="113"/>
      <c r="AV13" s="113"/>
      <c r="AW13" s="113"/>
      <c r="AX13" s="113"/>
      <c r="AY13" s="113"/>
      <c r="AZ13" s="113"/>
      <c r="BA13" s="113"/>
      <c r="BB13" s="113"/>
      <c r="BF13" s="934"/>
      <c r="BG13" s="934"/>
      <c r="BH13" s="934"/>
      <c r="BI13" s="934"/>
      <c r="BJ13" s="935"/>
      <c r="BK13" s="935"/>
    </row>
    <row r="14" spans="1:63" s="1011" customFormat="1" ht="12" hidden="1" customHeight="1">
      <c r="A14" s="98"/>
      <c r="B14" s="614"/>
      <c r="E14" s="623"/>
      <c r="G14" s="94"/>
      <c r="H14" s="94"/>
      <c r="I14" s="94"/>
      <c r="J14" s="94"/>
      <c r="K14" s="94"/>
      <c r="L14" s="94"/>
      <c r="M14" s="94"/>
      <c r="N14" s="94"/>
      <c r="O14" s="94"/>
      <c r="P14" s="94"/>
      <c r="Q14" s="130"/>
      <c r="R14" s="130"/>
      <c r="S14" s="94"/>
      <c r="T14" s="116"/>
      <c r="U14" s="116"/>
      <c r="V14" s="116"/>
      <c r="W14" s="116"/>
      <c r="X14" s="116"/>
      <c r="Y14" s="116"/>
      <c r="Z14" s="116"/>
      <c r="AI14" s="113"/>
      <c r="AJ14" s="113"/>
      <c r="AK14" s="113"/>
      <c r="AL14" s="113"/>
      <c r="AM14" s="113"/>
      <c r="AN14" s="113"/>
      <c r="AO14" s="113"/>
      <c r="AP14" s="113"/>
      <c r="AQ14" s="113"/>
      <c r="AR14" s="113"/>
      <c r="AS14" s="113"/>
      <c r="AT14" s="113"/>
      <c r="AU14" s="113"/>
      <c r="AV14" s="113"/>
      <c r="AW14" s="113"/>
      <c r="AX14" s="113"/>
      <c r="AY14" s="113"/>
      <c r="AZ14" s="113"/>
      <c r="BA14" s="113"/>
      <c r="BB14" s="113"/>
      <c r="BF14" s="934"/>
      <c r="BG14" s="934"/>
      <c r="BH14" s="934"/>
      <c r="BI14" s="934"/>
      <c r="BJ14" s="935"/>
      <c r="BK14" s="935"/>
    </row>
    <row r="15" spans="1:63" s="1011" customFormat="1" ht="12" hidden="1" customHeight="1">
      <c r="A15" s="98"/>
      <c r="B15" s="614"/>
      <c r="E15" s="623"/>
      <c r="G15" s="94"/>
      <c r="H15" s="94"/>
      <c r="I15" s="94"/>
      <c r="J15" s="94"/>
      <c r="K15" s="94"/>
      <c r="L15" s="94"/>
      <c r="M15" s="94"/>
      <c r="N15" s="94"/>
      <c r="O15" s="94"/>
      <c r="P15" s="94"/>
      <c r="Q15" s="130"/>
      <c r="R15" s="130"/>
      <c r="S15" s="94"/>
      <c r="T15" s="116"/>
      <c r="U15" s="116"/>
      <c r="V15" s="116"/>
      <c r="W15" s="116"/>
      <c r="X15" s="116"/>
      <c r="Y15" s="116"/>
      <c r="Z15" s="116"/>
      <c r="AI15" s="113"/>
      <c r="AJ15" s="113"/>
      <c r="AK15" s="113"/>
      <c r="AL15" s="113"/>
      <c r="AM15" s="113"/>
      <c r="AN15" s="113"/>
      <c r="AO15" s="113"/>
      <c r="AP15" s="113"/>
      <c r="AQ15" s="113"/>
      <c r="AR15" s="113"/>
      <c r="AS15" s="113"/>
      <c r="AT15" s="113"/>
      <c r="AU15" s="113"/>
      <c r="AV15" s="113"/>
      <c r="AW15" s="113"/>
      <c r="AX15" s="113"/>
      <c r="AY15" s="113"/>
      <c r="AZ15" s="113"/>
      <c r="BA15" s="113"/>
      <c r="BB15" s="113"/>
      <c r="BF15" s="934"/>
      <c r="BG15" s="934"/>
      <c r="BH15" s="934"/>
      <c r="BI15" s="934"/>
      <c r="BJ15" s="935"/>
      <c r="BK15" s="935"/>
    </row>
    <row r="16" spans="1:63" s="1011" customFormat="1" ht="12" hidden="1" customHeight="1">
      <c r="A16" s="98"/>
      <c r="B16" s="614"/>
      <c r="E16" s="623"/>
      <c r="G16" s="94"/>
      <c r="H16" s="94"/>
      <c r="I16" s="94"/>
      <c r="J16" s="94"/>
      <c r="K16" s="94"/>
      <c r="L16" s="94"/>
      <c r="M16" s="94"/>
      <c r="N16" s="94"/>
      <c r="O16" s="94"/>
      <c r="P16" s="94"/>
      <c r="Q16" s="130"/>
      <c r="R16" s="130"/>
      <c r="S16" s="94"/>
      <c r="T16" s="116"/>
      <c r="U16" s="116"/>
      <c r="V16" s="116"/>
      <c r="W16" s="116"/>
      <c r="X16" s="116"/>
      <c r="Y16" s="116"/>
      <c r="Z16" s="116"/>
      <c r="AI16" s="113"/>
      <c r="AJ16" s="113"/>
      <c r="AK16" s="113"/>
      <c r="AL16" s="113"/>
      <c r="AM16" s="113"/>
      <c r="AN16" s="113"/>
      <c r="AO16" s="113"/>
      <c r="AP16" s="113"/>
      <c r="AQ16" s="113"/>
      <c r="AR16" s="113"/>
      <c r="AS16" s="113"/>
      <c r="AT16" s="113"/>
      <c r="AU16" s="113"/>
      <c r="AV16" s="113"/>
      <c r="AW16" s="113"/>
      <c r="AX16" s="113"/>
      <c r="AY16" s="113"/>
      <c r="AZ16" s="113"/>
      <c r="BA16" s="113"/>
      <c r="BB16" s="113"/>
      <c r="BF16" s="934"/>
      <c r="BG16" s="934"/>
      <c r="BH16" s="934"/>
      <c r="BI16" s="934"/>
      <c r="BJ16" s="935"/>
      <c r="BK16" s="935"/>
    </row>
    <row r="17" spans="1:63" s="1011" customFormat="1" ht="12" hidden="1" customHeight="1">
      <c r="A17" s="98"/>
      <c r="B17" s="614"/>
      <c r="E17" s="623"/>
      <c r="G17" s="94"/>
      <c r="H17" s="94"/>
      <c r="I17" s="94"/>
      <c r="J17" s="94"/>
      <c r="K17" s="94"/>
      <c r="L17" s="94"/>
      <c r="M17" s="94"/>
      <c r="N17" s="94"/>
      <c r="O17" s="94"/>
      <c r="P17" s="94"/>
      <c r="Q17" s="130"/>
      <c r="R17" s="130"/>
      <c r="S17" s="94"/>
      <c r="T17" s="116"/>
      <c r="U17" s="116"/>
      <c r="V17" s="116"/>
      <c r="W17" s="116"/>
      <c r="X17" s="116"/>
      <c r="Y17" s="116"/>
      <c r="Z17" s="116"/>
      <c r="AX17" s="113"/>
      <c r="AY17" s="113"/>
      <c r="AZ17" s="113"/>
      <c r="BA17" s="113"/>
      <c r="BB17" s="113"/>
      <c r="BF17" s="934"/>
      <c r="BG17" s="934"/>
      <c r="BH17" s="934"/>
      <c r="BI17" s="934"/>
      <c r="BJ17" s="935"/>
      <c r="BK17" s="935"/>
    </row>
    <row r="18" spans="1:63" s="1011" customFormat="1" ht="12" hidden="1" customHeight="1">
      <c r="A18" s="775" t="s">
        <v>385</v>
      </c>
      <c r="B18" s="614"/>
      <c r="E18" s="623"/>
      <c r="G18" s="94"/>
      <c r="H18" s="94"/>
      <c r="I18" s="94"/>
      <c r="J18" s="94"/>
      <c r="K18" s="94"/>
      <c r="L18" s="94"/>
      <c r="M18" s="94"/>
      <c r="N18" s="94"/>
      <c r="O18" s="94"/>
      <c r="P18" s="94"/>
      <c r="Q18" s="130"/>
      <c r="R18" s="130"/>
      <c r="S18" s="94"/>
      <c r="T18" s="116"/>
      <c r="U18" s="116"/>
      <c r="V18" s="116"/>
      <c r="W18" s="116"/>
      <c r="X18" s="116"/>
      <c r="Y18" s="116"/>
      <c r="Z18" s="116"/>
      <c r="AC18" s="120" t="s">
        <v>164</v>
      </c>
      <c r="BF18" s="934"/>
      <c r="BG18" s="934"/>
      <c r="BH18" s="934"/>
      <c r="BI18" s="934"/>
      <c r="BJ18" s="935"/>
      <c r="BK18" s="935"/>
    </row>
    <row r="19" spans="1:63" s="1011" customFormat="1" ht="12" hidden="1" customHeight="1">
      <c r="A19" s="98"/>
      <c r="B19" s="614"/>
      <c r="E19" s="623"/>
      <c r="G19" s="94"/>
      <c r="H19" s="94"/>
      <c r="I19" s="94"/>
      <c r="J19" s="94"/>
      <c r="K19" s="94"/>
      <c r="L19" s="94"/>
      <c r="M19" s="94"/>
      <c r="N19" s="94"/>
      <c r="O19" s="94"/>
      <c r="P19" s="94"/>
      <c r="Q19" s="130"/>
      <c r="R19" s="130"/>
      <c r="S19" s="94"/>
      <c r="T19" s="116"/>
      <c r="U19" s="116"/>
      <c r="V19" s="116"/>
      <c r="W19" s="116"/>
      <c r="X19" s="116"/>
      <c r="Y19" s="116"/>
      <c r="Z19" s="116"/>
      <c r="BF19" s="934"/>
      <c r="BG19" s="934"/>
      <c r="BH19" s="934"/>
      <c r="BI19" s="934"/>
      <c r="BJ19" s="935"/>
      <c r="BK19" s="935"/>
    </row>
    <row r="20" spans="1:63" s="1011" customFormat="1" ht="12" hidden="1" customHeight="1">
      <c r="A20" s="98"/>
      <c r="B20" s="614"/>
      <c r="E20" s="623"/>
      <c r="G20" s="94"/>
      <c r="H20" s="94"/>
      <c r="I20" s="94"/>
      <c r="J20" s="94"/>
      <c r="K20" s="94"/>
      <c r="L20" s="94"/>
      <c r="M20" s="94"/>
      <c r="N20" s="94"/>
      <c r="O20" s="94"/>
      <c r="P20" s="94"/>
      <c r="Q20" s="130"/>
      <c r="R20" s="130"/>
      <c r="S20" s="94"/>
      <c r="T20" s="116"/>
      <c r="U20" s="116"/>
      <c r="V20" s="116"/>
      <c r="W20" s="116"/>
      <c r="X20" s="116"/>
      <c r="Y20" s="116"/>
      <c r="Z20" s="116"/>
      <c r="BF20" s="934"/>
      <c r="BG20" s="934"/>
      <c r="BH20" s="934"/>
      <c r="BI20" s="934"/>
      <c r="BJ20" s="935"/>
      <c r="BK20" s="935"/>
    </row>
    <row r="21" spans="1:63" ht="14.65" customHeight="1">
      <c r="E21" s="623">
        <v>15</v>
      </c>
      <c r="AA21" s="646"/>
      <c r="AC21" s="315" t="str">
        <f>tpl_title</f>
        <v>Кемеровская область / 2026 / АО "СУЭК-Кузбасс" (ИНН:4212024138, КПП:421201001) / ДПР: 2024-2028</v>
      </c>
    </row>
    <row r="22" spans="1:63" ht="19.5" customHeight="1">
      <c r="E22" s="623">
        <v>20.100000000000001</v>
      </c>
      <c r="AB22" s="306" t="s">
        <v>45</v>
      </c>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11"/>
    </row>
    <row r="23" spans="1:63" ht="11.1" customHeight="1">
      <c r="E23" s="623">
        <v>11.3</v>
      </c>
      <c r="AB23" s="801" t="s">
        <v>996</v>
      </c>
      <c r="AC23" s="162"/>
      <c r="AD23" s="162"/>
      <c r="AE23" s="162"/>
      <c r="AF23" s="162"/>
      <c r="AG23" s="162"/>
      <c r="AH23" s="162"/>
      <c r="AI23" s="162"/>
      <c r="AJ23" s="162"/>
      <c r="AK23" s="162"/>
      <c r="AL23" s="162"/>
      <c r="AM23" s="162"/>
      <c r="AN23" s="162"/>
      <c r="AO23" s="162"/>
      <c r="AP23" s="162"/>
      <c r="AQ23" s="162"/>
      <c r="AR23" s="162"/>
      <c r="AS23" s="162"/>
      <c r="AT23" s="163"/>
      <c r="AU23" s="163"/>
      <c r="AV23" s="163"/>
      <c r="AW23" s="163"/>
      <c r="AX23" s="163"/>
      <c r="AY23" s="163"/>
      <c r="AZ23" s="163"/>
      <c r="BA23" s="163"/>
      <c r="BB23" s="163"/>
    </row>
    <row r="24" spans="1:63" ht="14.65" customHeight="1">
      <c r="E24" s="623">
        <v>15</v>
      </c>
      <c r="AB24" s="1476" t="s">
        <v>809</v>
      </c>
      <c r="AC24" s="1487" t="s">
        <v>164</v>
      </c>
      <c r="AD24" s="1476" t="s">
        <v>331</v>
      </c>
      <c r="AE24" s="323" t="str">
        <f>god-2&amp;" год"</f>
        <v>2024 год</v>
      </c>
      <c r="AF24" s="1006" t="str">
        <f>god-2&amp;" год"</f>
        <v>2024 год</v>
      </c>
      <c r="AG24" s="323" t="str">
        <f>god-2&amp;" год"</f>
        <v>2024 год</v>
      </c>
      <c r="AH24" s="112" t="str">
        <f>god-1&amp;" год"</f>
        <v>2025 год</v>
      </c>
      <c r="AI24" s="1001" t="str">
        <f>god&amp;" год"</f>
        <v>2026 год</v>
      </c>
      <c r="AJ24" s="1001" t="str">
        <f>god+1&amp;" год"</f>
        <v>2027 год</v>
      </c>
      <c r="AK24" s="1001" t="str">
        <f>god+2&amp;" год"</f>
        <v>2028 год</v>
      </c>
      <c r="AL24" s="1001" t="str">
        <f>god+3&amp;" год"</f>
        <v>2029 год</v>
      </c>
      <c r="AM24" s="1001" t="str">
        <f>god+4&amp;" год"</f>
        <v>2030 год</v>
      </c>
      <c r="AN24" s="1001" t="str">
        <f>god+5&amp;" год"</f>
        <v>2031 год</v>
      </c>
      <c r="AO24" s="1001" t="str">
        <f>god+6&amp;" год"</f>
        <v>2032 год</v>
      </c>
      <c r="AP24" s="1001" t="str">
        <f>god+7&amp;" год"</f>
        <v>2033 год</v>
      </c>
      <c r="AQ24" s="1001" t="str">
        <f>god+8&amp;" год"</f>
        <v>2034 год</v>
      </c>
      <c r="AR24" s="1001" t="str">
        <f>god+9&amp;" год"</f>
        <v>2035 год</v>
      </c>
      <c r="AS24" s="108" t="str">
        <f>god&amp;" год"</f>
        <v>2026 год</v>
      </c>
      <c r="AT24" s="108" t="str">
        <f>god+1&amp;" год"</f>
        <v>2027 год</v>
      </c>
      <c r="AU24" s="108" t="str">
        <f>god+2&amp;" год"</f>
        <v>2028 год</v>
      </c>
      <c r="AV24" s="108" t="str">
        <f>god+3&amp;" год"</f>
        <v>2029 год</v>
      </c>
      <c r="AW24" s="108" t="str">
        <f>god+4&amp;" год"</f>
        <v>2030 год</v>
      </c>
      <c r="AX24" s="108" t="str">
        <f>god+5&amp;" год"</f>
        <v>2031 год</v>
      </c>
      <c r="AY24" s="108" t="str">
        <f>god+6&amp;" год"</f>
        <v>2032 год</v>
      </c>
      <c r="AZ24" s="108" t="str">
        <f>god+7&amp;" год"</f>
        <v>2033 год</v>
      </c>
      <c r="BA24" s="108" t="str">
        <f>god+8&amp;" год"</f>
        <v>2034 год</v>
      </c>
      <c r="BB24" s="108" t="str">
        <f>god+9&amp;" год"</f>
        <v>2035 год</v>
      </c>
      <c r="BC24" s="1417" t="s">
        <v>486</v>
      </c>
    </row>
    <row r="25" spans="1:63" ht="48.75" customHeight="1">
      <c r="E25" s="623">
        <v>50.1</v>
      </c>
      <c r="AB25" s="1486"/>
      <c r="AC25" s="1486"/>
      <c r="AD25" s="1486"/>
      <c r="AE25" s="108" t="s">
        <v>304</v>
      </c>
      <c r="AF25" s="1001" t="s">
        <v>487</v>
      </c>
      <c r="AG25" s="108" t="s">
        <v>488</v>
      </c>
      <c r="AH25" s="108" t="s">
        <v>304</v>
      </c>
      <c r="AI25" s="1002" t="s">
        <v>305</v>
      </c>
      <c r="AJ25" s="1002" t="s">
        <v>305</v>
      </c>
      <c r="AK25" s="1002" t="s">
        <v>305</v>
      </c>
      <c r="AL25" s="1002" t="s">
        <v>305</v>
      </c>
      <c r="AM25" s="1002" t="s">
        <v>305</v>
      </c>
      <c r="AN25" s="1002" t="s">
        <v>305</v>
      </c>
      <c r="AO25" s="1002" t="s">
        <v>305</v>
      </c>
      <c r="AP25" s="1002" t="s">
        <v>305</v>
      </c>
      <c r="AQ25" s="1002" t="s">
        <v>305</v>
      </c>
      <c r="AR25" s="1002" t="s">
        <v>305</v>
      </c>
      <c r="AS25" s="324" t="s">
        <v>304</v>
      </c>
      <c r="AT25" s="324" t="s">
        <v>304</v>
      </c>
      <c r="AU25" s="324" t="s">
        <v>304</v>
      </c>
      <c r="AV25" s="324" t="s">
        <v>304</v>
      </c>
      <c r="AW25" s="324" t="s">
        <v>304</v>
      </c>
      <c r="AX25" s="324" t="s">
        <v>304</v>
      </c>
      <c r="AY25" s="324" t="s">
        <v>304</v>
      </c>
      <c r="AZ25" s="324" t="s">
        <v>304</v>
      </c>
      <c r="BA25" s="324" t="s">
        <v>304</v>
      </c>
      <c r="BB25" s="324" t="s">
        <v>304</v>
      </c>
      <c r="BC25" s="1486"/>
    </row>
    <row r="26" spans="1:63" ht="50.25" hidden="1" customHeight="1">
      <c r="E26" s="623">
        <v>0</v>
      </c>
      <c r="AB26" s="399"/>
      <c r="AC26" s="400"/>
      <c r="AD26" s="400"/>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401"/>
    </row>
    <row r="27" spans="1:63" ht="11.1" hidden="1" customHeight="1">
      <c r="E27" s="623">
        <v>11.4</v>
      </c>
      <c r="F27" s="714">
        <f>X27</f>
        <v>0</v>
      </c>
      <c r="G27" s="130" t="s">
        <v>997</v>
      </c>
      <c r="T27" s="645" t="b">
        <f>X27&gt;0</f>
        <v>0</v>
      </c>
      <c r="V27" s="113" t="s">
        <v>228</v>
      </c>
      <c r="X27" s="1382">
        <v>0</v>
      </c>
      <c r="Z27" s="1382"/>
      <c r="AB27" s="224" t="str">
        <f>INDEX('Общие сведения'!$AG$169:$AG$202,MATCH($F27,'Общие сведения'!$Z$169:$Z$202,0))</f>
        <v>Тариф 0 (Теплоснабжение) - Тарифы на теплоноситель</v>
      </c>
      <c r="AC27" s="197"/>
      <c r="AD27" s="197"/>
      <c r="AE27" s="297">
        <f t="shared" ref="AE27:BB27" si="3">AE28+AE34+AE40</f>
        <v>0</v>
      </c>
      <c r="AF27" s="297">
        <f t="shared" si="3"/>
        <v>0</v>
      </c>
      <c r="AG27" s="297">
        <f t="shared" si="3"/>
        <v>0</v>
      </c>
      <c r="AH27" s="297">
        <f t="shared" si="3"/>
        <v>0</v>
      </c>
      <c r="AI27" s="297">
        <f t="shared" si="3"/>
        <v>0</v>
      </c>
      <c r="AJ27" s="297">
        <f t="shared" si="3"/>
        <v>0</v>
      </c>
      <c r="AK27" s="297">
        <f t="shared" si="3"/>
        <v>0</v>
      </c>
      <c r="AL27" s="297">
        <f t="shared" si="3"/>
        <v>0</v>
      </c>
      <c r="AM27" s="297">
        <f t="shared" si="3"/>
        <v>0</v>
      </c>
      <c r="AN27" s="297">
        <f t="shared" si="3"/>
        <v>0</v>
      </c>
      <c r="AO27" s="297">
        <f t="shared" si="3"/>
        <v>0</v>
      </c>
      <c r="AP27" s="297">
        <f t="shared" si="3"/>
        <v>0</v>
      </c>
      <c r="AQ27" s="297">
        <f t="shared" si="3"/>
        <v>0</v>
      </c>
      <c r="AR27" s="297">
        <f t="shared" si="3"/>
        <v>0</v>
      </c>
      <c r="AS27" s="297">
        <f t="shared" si="3"/>
        <v>0</v>
      </c>
      <c r="AT27" s="297">
        <f t="shared" si="3"/>
        <v>0</v>
      </c>
      <c r="AU27" s="297">
        <f t="shared" si="3"/>
        <v>0</v>
      </c>
      <c r="AV27" s="297">
        <f t="shared" si="3"/>
        <v>0</v>
      </c>
      <c r="AW27" s="297">
        <f t="shared" si="3"/>
        <v>0</v>
      </c>
      <c r="AX27" s="297">
        <f t="shared" si="3"/>
        <v>0</v>
      </c>
      <c r="AY27" s="297">
        <f t="shared" si="3"/>
        <v>0</v>
      </c>
      <c r="AZ27" s="297">
        <f t="shared" si="3"/>
        <v>0</v>
      </c>
      <c r="BA27" s="297">
        <f t="shared" si="3"/>
        <v>0</v>
      </c>
      <c r="BB27" s="297">
        <f t="shared" si="3"/>
        <v>0</v>
      </c>
      <c r="BC27" s="226"/>
    </row>
    <row r="28" spans="1:63" ht="11.1" hidden="1" customHeight="1">
      <c r="E28" s="623">
        <v>11.4</v>
      </c>
      <c r="F28" s="714">
        <f>F27</f>
        <v>0</v>
      </c>
      <c r="G28" s="130" t="s">
        <v>334</v>
      </c>
      <c r="T28" s="645" t="b">
        <v>0</v>
      </c>
      <c r="X28" s="1382"/>
      <c r="Z28" s="1382"/>
      <c r="AB28" s="220">
        <v>1</v>
      </c>
      <c r="AC28" s="215" t="s">
        <v>998</v>
      </c>
      <c r="AD28" s="214" t="s">
        <v>648</v>
      </c>
      <c r="AE28" s="216">
        <f t="shared" ref="AE28:BB28" si="4">SUMIF($AD29:$AD33,$AD28,AE29:AE33)</f>
        <v>0</v>
      </c>
      <c r="AF28" s="216">
        <f t="shared" si="4"/>
        <v>0</v>
      </c>
      <c r="AG28" s="216">
        <f t="shared" si="4"/>
        <v>0</v>
      </c>
      <c r="AH28" s="216">
        <f t="shared" si="4"/>
        <v>0</v>
      </c>
      <c r="AI28" s="216">
        <f t="shared" si="4"/>
        <v>0</v>
      </c>
      <c r="AJ28" s="1132">
        <f t="shared" si="4"/>
        <v>0</v>
      </c>
      <c r="AK28" s="1132">
        <f t="shared" si="4"/>
        <v>0</v>
      </c>
      <c r="AL28" s="44">
        <f t="shared" si="4"/>
        <v>0</v>
      </c>
      <c r="AM28" s="44">
        <f t="shared" si="4"/>
        <v>0</v>
      </c>
      <c r="AN28" s="44">
        <f t="shared" si="4"/>
        <v>0</v>
      </c>
      <c r="AO28" s="44">
        <f t="shared" si="4"/>
        <v>0</v>
      </c>
      <c r="AP28" s="44">
        <f t="shared" si="4"/>
        <v>0</v>
      </c>
      <c r="AQ28" s="44">
        <f t="shared" si="4"/>
        <v>0</v>
      </c>
      <c r="AR28" s="44">
        <f t="shared" si="4"/>
        <v>0</v>
      </c>
      <c r="AS28" s="216">
        <f t="shared" si="4"/>
        <v>0</v>
      </c>
      <c r="AT28" s="1132">
        <f t="shared" si="4"/>
        <v>0</v>
      </c>
      <c r="AU28" s="1132">
        <f t="shared" si="4"/>
        <v>0</v>
      </c>
      <c r="AV28" s="44">
        <f t="shared" si="4"/>
        <v>0</v>
      </c>
      <c r="AW28" s="44">
        <f t="shared" si="4"/>
        <v>0</v>
      </c>
      <c r="AX28" s="44">
        <f t="shared" si="4"/>
        <v>0</v>
      </c>
      <c r="AY28" s="44">
        <f t="shared" si="4"/>
        <v>0</v>
      </c>
      <c r="AZ28" s="44">
        <f t="shared" si="4"/>
        <v>0</v>
      </c>
      <c r="BA28" s="44">
        <f t="shared" si="4"/>
        <v>0</v>
      </c>
      <c r="BB28" s="44">
        <f t="shared" si="4"/>
        <v>0</v>
      </c>
      <c r="BC28" s="22"/>
      <c r="BF28" s="934" t="s">
        <v>823</v>
      </c>
    </row>
    <row r="29" spans="1:63" ht="0.2" hidden="1" customHeight="1">
      <c r="E29" s="623">
        <v>0.2</v>
      </c>
      <c r="F29" s="714">
        <f>F28</f>
        <v>0</v>
      </c>
      <c r="T29" s="645" t="b">
        <v>0</v>
      </c>
      <c r="X29" s="1382"/>
      <c r="Z29" s="1382"/>
      <c r="AB29" s="220"/>
      <c r="AC29" s="215"/>
      <c r="AD29" s="214"/>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27"/>
      <c r="BF29" s="934" t="str">
        <f>IF(AND(ISNUMBER(VALUE(TRIM(SUBSTITUTE(AB29,".","")))),TRIM(SUBSTITUTE(AB29,".",""))&lt;&gt;""),"P"&amp;SUBSTITUTE(AB29,".",""),"")</f>
        <v/>
      </c>
    </row>
    <row r="30" spans="1:63" ht="17.649999999999999" hidden="1" customHeight="1">
      <c r="A30" s="970" t="str">
        <f ca="1">"checkCosts_1."&amp;F30&amp;"."&amp;Y30</f>
        <v>checkCosts_1.0.0</v>
      </c>
      <c r="E30" s="623">
        <v>18</v>
      </c>
      <c r="F30" s="714">
        <f ca="1">OFFSET(G30,-1,-1)</f>
        <v>0</v>
      </c>
      <c r="G30" s="130" t="s">
        <v>334</v>
      </c>
      <c r="H30" s="94">
        <f>AC30</f>
        <v>0</v>
      </c>
      <c r="T30" s="645" t="b">
        <v>0</v>
      </c>
      <c r="W30" s="98" t="s">
        <v>170</v>
      </c>
      <c r="X30" s="1382"/>
      <c r="Y30" s="1382">
        <v>0</v>
      </c>
      <c r="Z30" s="1382"/>
      <c r="AA30" s="1483" t="s">
        <v>157</v>
      </c>
      <c r="AB30" s="222" t="str">
        <f>"1."&amp;Y30</f>
        <v>1.0</v>
      </c>
      <c r="AC30" s="368"/>
      <c r="AD30" s="214" t="s">
        <v>648</v>
      </c>
      <c r="AE30" s="1135">
        <f>AE31*AE32/1000</f>
        <v>0</v>
      </c>
      <c r="AF30" s="11"/>
      <c r="AG30" s="11"/>
      <c r="AH30" s="1135">
        <f>AH31*AH32/1000</f>
        <v>0</v>
      </c>
      <c r="AI30" s="217"/>
      <c r="AJ30" s="1065"/>
      <c r="AK30" s="1065"/>
      <c r="AL30" s="11"/>
      <c r="AM30" s="11"/>
      <c r="AN30" s="11"/>
      <c r="AO30" s="11"/>
      <c r="AP30" s="11"/>
      <c r="AQ30" s="11"/>
      <c r="AR30" s="11"/>
      <c r="AS30" s="1136">
        <f t="shared" ref="AS30:BB30" si="5">AS31*AS32/1000</f>
        <v>0</v>
      </c>
      <c r="AT30" s="1136">
        <f t="shared" si="5"/>
        <v>0</v>
      </c>
      <c r="AU30" s="1136">
        <f t="shared" si="5"/>
        <v>0</v>
      </c>
      <c r="AV30" s="1135">
        <f t="shared" si="5"/>
        <v>0</v>
      </c>
      <c r="AW30" s="1135">
        <f t="shared" si="5"/>
        <v>0</v>
      </c>
      <c r="AX30" s="1135">
        <f t="shared" si="5"/>
        <v>0</v>
      </c>
      <c r="AY30" s="1135">
        <f t="shared" si="5"/>
        <v>0</v>
      </c>
      <c r="AZ30" s="1135">
        <f t="shared" si="5"/>
        <v>0</v>
      </c>
      <c r="BA30" s="1135">
        <f t="shared" si="5"/>
        <v>0</v>
      </c>
      <c r="BB30" s="1135">
        <f t="shared" si="5"/>
        <v>0</v>
      </c>
      <c r="BC30" s="22"/>
      <c r="BF30" s="934" t="s">
        <v>824</v>
      </c>
      <c r="BG30" s="934" t="s">
        <v>999</v>
      </c>
      <c r="BH30" s="934">
        <f>AC30</f>
        <v>0</v>
      </c>
      <c r="BI30" s="934" t="str">
        <f>AD32</f>
        <v>Гкал</v>
      </c>
      <c r="BK30" s="935" t="b">
        <v>1</v>
      </c>
    </row>
    <row r="31" spans="1:63" s="1057" customFormat="1" ht="16.5" hidden="1" customHeight="1">
      <c r="B31" s="718"/>
      <c r="C31" s="1011"/>
      <c r="D31" s="1011"/>
      <c r="E31" s="717">
        <v>17</v>
      </c>
      <c r="F31" s="714">
        <f>F29</f>
        <v>0</v>
      </c>
      <c r="G31" s="130" t="s">
        <v>139</v>
      </c>
      <c r="H31" s="1018">
        <f>H30</f>
        <v>0</v>
      </c>
      <c r="I31" s="1018"/>
      <c r="J31" s="1018"/>
      <c r="K31" s="1018"/>
      <c r="L31" s="1018"/>
      <c r="M31" s="1018"/>
      <c r="N31" s="1018"/>
      <c r="O31" s="1018"/>
      <c r="P31" s="1018"/>
      <c r="Q31" s="130"/>
      <c r="R31" s="130"/>
      <c r="S31" s="1018"/>
      <c r="T31" s="735" t="b">
        <f>T30</f>
        <v>0</v>
      </c>
      <c r="U31" s="1016"/>
      <c r="V31" s="1016"/>
      <c r="W31" s="1016"/>
      <c r="X31" s="1382"/>
      <c r="Y31" s="1382"/>
      <c r="Z31" s="1382"/>
      <c r="AA31" s="1483"/>
      <c r="AB31" s="408" t="str">
        <f>AB30&amp;".1"</f>
        <v>1.0.1</v>
      </c>
      <c r="AC31" s="391" t="s">
        <v>759</v>
      </c>
      <c r="AD31" s="1150" t="s">
        <v>162</v>
      </c>
      <c r="AE31" s="1146"/>
      <c r="AF31" s="536">
        <f>IF(AF32=0,0,AF30/AF32)*1000</f>
        <v>0</v>
      </c>
      <c r="AG31" s="536">
        <f>IF(AG32=0,0,AG30/AG32)*1000</f>
        <v>0</v>
      </c>
      <c r="AH31" s="1146"/>
      <c r="AI31" s="536">
        <f t="shared" ref="AI31:AR31" si="6">IF(AI32=0,0,AI30/AI32)*1000</f>
        <v>0</v>
      </c>
      <c r="AJ31" s="1136">
        <f t="shared" si="6"/>
        <v>0</v>
      </c>
      <c r="AK31" s="1136">
        <f t="shared" si="6"/>
        <v>0</v>
      </c>
      <c r="AL31" s="536">
        <f t="shared" si="6"/>
        <v>0</v>
      </c>
      <c r="AM31" s="536">
        <f t="shared" si="6"/>
        <v>0</v>
      </c>
      <c r="AN31" s="536">
        <f t="shared" si="6"/>
        <v>0</v>
      </c>
      <c r="AO31" s="536">
        <f t="shared" si="6"/>
        <v>0</v>
      </c>
      <c r="AP31" s="536">
        <f t="shared" si="6"/>
        <v>0</v>
      </c>
      <c r="AQ31" s="536">
        <f t="shared" si="6"/>
        <v>0</v>
      </c>
      <c r="AR31" s="536">
        <f t="shared" si="6"/>
        <v>0</v>
      </c>
      <c r="AS31" s="793"/>
      <c r="AT31" s="1065"/>
      <c r="AU31" s="1065"/>
      <c r="AV31" s="1146"/>
      <c r="AW31" s="1146"/>
      <c r="AX31" s="1146"/>
      <c r="AY31" s="1146"/>
      <c r="AZ31" s="1146"/>
      <c r="BA31" s="1146"/>
      <c r="BB31" s="1146"/>
      <c r="BC31" s="1131"/>
      <c r="BD31" s="160"/>
      <c r="BE31" s="160"/>
      <c r="BF31" s="934" t="s">
        <v>826</v>
      </c>
      <c r="BG31" s="934" t="s">
        <v>999</v>
      </c>
      <c r="BH31" s="934">
        <f>BH30</f>
        <v>0</v>
      </c>
      <c r="BI31" s="934" t="str">
        <f>BI30</f>
        <v>Гкал</v>
      </c>
      <c r="BJ31" s="935"/>
      <c r="BK31" s="935"/>
    </row>
    <row r="32" spans="1:63" ht="16.5" hidden="1" customHeight="1">
      <c r="A32" s="970" t="str">
        <f ca="1">"checkVolume_1."&amp;F32&amp;"."&amp;Y30</f>
        <v>checkVolume_1.0.0</v>
      </c>
      <c r="E32" s="623">
        <v>17</v>
      </c>
      <c r="F32" s="714">
        <f ca="1">F30</f>
        <v>0</v>
      </c>
      <c r="G32" s="130" t="s">
        <v>139</v>
      </c>
      <c r="H32" s="94">
        <f>H30</f>
        <v>0</v>
      </c>
      <c r="T32" s="645" t="b">
        <v>0</v>
      </c>
      <c r="X32" s="1382"/>
      <c r="Y32" s="1382"/>
      <c r="Z32" s="1382"/>
      <c r="AA32" s="1483"/>
      <c r="AB32" s="222" t="str">
        <f>AB30&amp;".2"</f>
        <v>1.0.2</v>
      </c>
      <c r="AC32" s="228" t="s">
        <v>1000</v>
      </c>
      <c r="AD32" s="49" t="s">
        <v>598</v>
      </c>
      <c r="AE32" s="11"/>
      <c r="AF32" s="11"/>
      <c r="AG32" s="11"/>
      <c r="AH32" s="11"/>
      <c r="AI32" s="217"/>
      <c r="AJ32" s="1065"/>
      <c r="AK32" s="1065"/>
      <c r="AL32" s="11"/>
      <c r="AM32" s="11"/>
      <c r="AN32" s="11"/>
      <c r="AO32" s="11"/>
      <c r="AP32" s="11"/>
      <c r="AQ32" s="11"/>
      <c r="AR32" s="11"/>
      <c r="AS32" s="217"/>
      <c r="AT32" s="1065"/>
      <c r="AU32" s="1065"/>
      <c r="AV32" s="11"/>
      <c r="AW32" s="11"/>
      <c r="AX32" s="11"/>
      <c r="AY32" s="11"/>
      <c r="AZ32" s="11"/>
      <c r="BA32" s="11"/>
      <c r="BB32" s="11"/>
      <c r="BC32" s="22"/>
      <c r="BF32" s="934" t="s">
        <v>828</v>
      </c>
      <c r="BG32" s="934" t="s">
        <v>999</v>
      </c>
      <c r="BH32" s="934">
        <f>BH30</f>
        <v>0</v>
      </c>
      <c r="BI32" s="934" t="str">
        <f>BI30</f>
        <v>Гкал</v>
      </c>
    </row>
    <row r="33" spans="1:63" ht="16.5" hidden="1" customHeight="1">
      <c r="E33" s="623">
        <v>17</v>
      </c>
      <c r="F33" s="714">
        <f>F29</f>
        <v>0</v>
      </c>
      <c r="G33" s="130" t="str">
        <f>F33&amp;"pIns3"</f>
        <v>0pIns3</v>
      </c>
      <c r="T33" s="645" t="b">
        <v>0</v>
      </c>
      <c r="W33" s="291" t="s">
        <v>1001</v>
      </c>
      <c r="X33" s="1382"/>
      <c r="Z33" s="1382"/>
      <c r="AB33" s="236"/>
      <c r="AC33" s="237" t="s">
        <v>796</v>
      </c>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851"/>
      <c r="BF33" s="934" t="str">
        <f>IF(AND(ISNUMBER(VALUE(TRIM(SUBSTITUTE(AB33,".","")))),TRIM(SUBSTITUTE(AB33,".",""))&lt;&gt;""),"P"&amp;SUBSTITUTE(AB33,".",""),"")</f>
        <v/>
      </c>
      <c r="BJ33" s="935" t="s">
        <v>999</v>
      </c>
    </row>
    <row r="34" spans="1:63" ht="16.5" hidden="1" customHeight="1">
      <c r="E34" s="623">
        <v>17</v>
      </c>
      <c r="F34" s="714">
        <f>F33</f>
        <v>0</v>
      </c>
      <c r="G34" s="130" t="s">
        <v>1002</v>
      </c>
      <c r="T34" s="645" t="b">
        <f>F34&gt;0</f>
        <v>0</v>
      </c>
      <c r="X34" s="1382"/>
      <c r="Z34" s="1382"/>
      <c r="AB34" s="220">
        <v>2</v>
      </c>
      <c r="AC34" s="215" t="s">
        <v>1003</v>
      </c>
      <c r="AD34" s="214" t="s">
        <v>648</v>
      </c>
      <c r="AE34" s="216">
        <f t="shared" ref="AE34:BB34" si="7">SUMIF($AD35:$AD39,$AD34,AE35:AE39)</f>
        <v>0</v>
      </c>
      <c r="AF34" s="216">
        <f t="shared" si="7"/>
        <v>0</v>
      </c>
      <c r="AG34" s="216">
        <f t="shared" si="7"/>
        <v>0</v>
      </c>
      <c r="AH34" s="216">
        <f t="shared" si="7"/>
        <v>0</v>
      </c>
      <c r="AI34" s="216">
        <f t="shared" si="7"/>
        <v>0</v>
      </c>
      <c r="AJ34" s="1132">
        <f t="shared" si="7"/>
        <v>0</v>
      </c>
      <c r="AK34" s="1132">
        <f t="shared" si="7"/>
        <v>0</v>
      </c>
      <c r="AL34" s="44">
        <f t="shared" si="7"/>
        <v>0</v>
      </c>
      <c r="AM34" s="44">
        <f t="shared" si="7"/>
        <v>0</v>
      </c>
      <c r="AN34" s="44">
        <f t="shared" si="7"/>
        <v>0</v>
      </c>
      <c r="AO34" s="44">
        <f t="shared" si="7"/>
        <v>0</v>
      </c>
      <c r="AP34" s="44">
        <f t="shared" si="7"/>
        <v>0</v>
      </c>
      <c r="AQ34" s="44">
        <f t="shared" si="7"/>
        <v>0</v>
      </c>
      <c r="AR34" s="44">
        <f t="shared" si="7"/>
        <v>0</v>
      </c>
      <c r="AS34" s="216">
        <f t="shared" si="7"/>
        <v>0</v>
      </c>
      <c r="AT34" s="1132">
        <f t="shared" si="7"/>
        <v>0</v>
      </c>
      <c r="AU34" s="1132">
        <f t="shared" si="7"/>
        <v>0</v>
      </c>
      <c r="AV34" s="44">
        <f t="shared" si="7"/>
        <v>0</v>
      </c>
      <c r="AW34" s="44">
        <f t="shared" si="7"/>
        <v>0</v>
      </c>
      <c r="AX34" s="44">
        <f t="shared" si="7"/>
        <v>0</v>
      </c>
      <c r="AY34" s="44">
        <f t="shared" si="7"/>
        <v>0</v>
      </c>
      <c r="AZ34" s="44">
        <f t="shared" si="7"/>
        <v>0</v>
      </c>
      <c r="BA34" s="44">
        <f t="shared" si="7"/>
        <v>0</v>
      </c>
      <c r="BB34" s="44">
        <f t="shared" si="7"/>
        <v>0</v>
      </c>
      <c r="BC34" s="22"/>
      <c r="BF34" s="934" t="s">
        <v>1004</v>
      </c>
    </row>
    <row r="35" spans="1:63" ht="0.2" hidden="1" customHeight="1">
      <c r="E35" s="623">
        <v>0.2</v>
      </c>
      <c r="F35" s="714">
        <f>F34</f>
        <v>0</v>
      </c>
      <c r="T35" s="645" t="b">
        <v>0</v>
      </c>
      <c r="X35" s="1382"/>
      <c r="Z35" s="1382"/>
      <c r="AB35" s="220"/>
      <c r="AC35" s="215"/>
      <c r="AD35" s="214"/>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27"/>
      <c r="BF35" s="934" t="str">
        <f>IF(AND(ISNUMBER(VALUE(TRIM(SUBSTITUTE(AB35,".","")))),TRIM(SUBSTITUTE(AB35,".",""))&lt;&gt;""),"P"&amp;SUBSTITUTE(AB35,".",""),"")</f>
        <v/>
      </c>
    </row>
    <row r="36" spans="1:63" ht="17.649999999999999" hidden="1" customHeight="1">
      <c r="A36" s="970" t="str">
        <f ca="1">"checkCosts_2."&amp;F36&amp;"."&amp;Y36</f>
        <v>checkCosts_2.0.0</v>
      </c>
      <c r="E36" s="623">
        <v>18</v>
      </c>
      <c r="F36" s="714">
        <f ca="1">OFFSET(G36,-1,-1)</f>
        <v>0</v>
      </c>
      <c r="G36" s="130" t="s">
        <v>1005</v>
      </c>
      <c r="H36" s="94">
        <f>AC36</f>
        <v>0</v>
      </c>
      <c r="T36" s="645" t="b">
        <f ca="1">AND(F36&gt;0,Y36&gt;0)</f>
        <v>0</v>
      </c>
      <c r="W36" s="98" t="s">
        <v>170</v>
      </c>
      <c r="X36" s="1382"/>
      <c r="Y36" s="1382">
        <v>0</v>
      </c>
      <c r="Z36" s="1382"/>
      <c r="AA36" s="1483" t="s">
        <v>157</v>
      </c>
      <c r="AB36" s="222" t="str">
        <f>"2."&amp;Y36</f>
        <v>2.0</v>
      </c>
      <c r="AC36" s="368"/>
      <c r="AD36" s="214" t="s">
        <v>648</v>
      </c>
      <c r="AE36" s="1135">
        <f>AE37*AE38</f>
        <v>0</v>
      </c>
      <c r="AF36" s="11"/>
      <c r="AG36" s="11"/>
      <c r="AH36" s="1135">
        <f>AH37*AH38</f>
        <v>0</v>
      </c>
      <c r="AI36" s="217"/>
      <c r="AJ36" s="1065"/>
      <c r="AK36" s="1065"/>
      <c r="AL36" s="11"/>
      <c r="AM36" s="11"/>
      <c r="AN36" s="11"/>
      <c r="AO36" s="11"/>
      <c r="AP36" s="11"/>
      <c r="AQ36" s="11"/>
      <c r="AR36" s="11"/>
      <c r="AS36" s="1136">
        <f t="shared" ref="AS36:BB36" si="8">AS37*AS38</f>
        <v>0</v>
      </c>
      <c r="AT36" s="1136">
        <f t="shared" si="8"/>
        <v>0</v>
      </c>
      <c r="AU36" s="1136">
        <f t="shared" si="8"/>
        <v>0</v>
      </c>
      <c r="AV36" s="1135">
        <f t="shared" si="8"/>
        <v>0</v>
      </c>
      <c r="AW36" s="1135">
        <f t="shared" si="8"/>
        <v>0</v>
      </c>
      <c r="AX36" s="1135">
        <f t="shared" si="8"/>
        <v>0</v>
      </c>
      <c r="AY36" s="1135">
        <f t="shared" si="8"/>
        <v>0</v>
      </c>
      <c r="AZ36" s="1135">
        <f t="shared" si="8"/>
        <v>0</v>
      </c>
      <c r="BA36" s="1135">
        <f t="shared" si="8"/>
        <v>0</v>
      </c>
      <c r="BB36" s="1135">
        <f t="shared" si="8"/>
        <v>0</v>
      </c>
      <c r="BC36" s="22"/>
      <c r="BF36" s="934" t="s">
        <v>1006</v>
      </c>
      <c r="BG36" s="934" t="s">
        <v>1007</v>
      </c>
      <c r="BH36" s="934">
        <f>AC36</f>
        <v>0</v>
      </c>
      <c r="BI36" s="934" t="str">
        <f>AD38</f>
        <v>тыс.куб.м</v>
      </c>
      <c r="BK36" s="935" t="b">
        <v>1</v>
      </c>
    </row>
    <row r="37" spans="1:63" s="1057" customFormat="1" ht="16.5" hidden="1" customHeight="1">
      <c r="B37" s="718"/>
      <c r="C37" s="1011"/>
      <c r="D37" s="1011"/>
      <c r="E37" s="717">
        <v>17</v>
      </c>
      <c r="F37" s="714">
        <f>F35</f>
        <v>0</v>
      </c>
      <c r="G37" s="130" t="s">
        <v>146</v>
      </c>
      <c r="H37" s="1018">
        <f>H36</f>
        <v>0</v>
      </c>
      <c r="I37" s="1018"/>
      <c r="J37" s="1018"/>
      <c r="K37" s="1018"/>
      <c r="L37" s="1018"/>
      <c r="M37" s="1018"/>
      <c r="N37" s="1018"/>
      <c r="O37" s="1018"/>
      <c r="P37" s="1018"/>
      <c r="Q37" s="130"/>
      <c r="R37" s="130"/>
      <c r="S37" s="1018"/>
      <c r="T37" s="735" t="b">
        <f ca="1">T36</f>
        <v>0</v>
      </c>
      <c r="U37" s="1016"/>
      <c r="V37" s="1016"/>
      <c r="W37" s="1016"/>
      <c r="X37" s="1382"/>
      <c r="Y37" s="1382"/>
      <c r="Z37" s="1382"/>
      <c r="AA37" s="1483"/>
      <c r="AB37" s="408" t="str">
        <f>AB36&amp;".1"</f>
        <v>2.0.1</v>
      </c>
      <c r="AC37" s="391" t="s">
        <v>759</v>
      </c>
      <c r="AD37" s="1150" t="s">
        <v>162</v>
      </c>
      <c r="AE37" s="1146"/>
      <c r="AF37" s="536">
        <f>IF(AF38=0,0,AF36/AF38)</f>
        <v>0</v>
      </c>
      <c r="AG37" s="536">
        <f>IF(AG38=0,0,AG36/AG38)</f>
        <v>0</v>
      </c>
      <c r="AH37" s="1146"/>
      <c r="AI37" s="536">
        <f t="shared" ref="AI37:AR37" si="9">IF(AI38=0,0,AI36/AI38)</f>
        <v>0</v>
      </c>
      <c r="AJ37" s="1136">
        <f t="shared" si="9"/>
        <v>0</v>
      </c>
      <c r="AK37" s="1136">
        <f t="shared" si="9"/>
        <v>0</v>
      </c>
      <c r="AL37" s="536">
        <f t="shared" si="9"/>
        <v>0</v>
      </c>
      <c r="AM37" s="536">
        <f t="shared" si="9"/>
        <v>0</v>
      </c>
      <c r="AN37" s="536">
        <f t="shared" si="9"/>
        <v>0</v>
      </c>
      <c r="AO37" s="536">
        <f t="shared" si="9"/>
        <v>0</v>
      </c>
      <c r="AP37" s="536">
        <f t="shared" si="9"/>
        <v>0</v>
      </c>
      <c r="AQ37" s="536">
        <f t="shared" si="9"/>
        <v>0</v>
      </c>
      <c r="AR37" s="536">
        <f t="shared" si="9"/>
        <v>0</v>
      </c>
      <c r="AS37" s="793"/>
      <c r="AT37" s="1065"/>
      <c r="AU37" s="1065"/>
      <c r="AV37" s="1146"/>
      <c r="AW37" s="1146"/>
      <c r="AX37" s="1146"/>
      <c r="AY37" s="1146"/>
      <c r="AZ37" s="1146"/>
      <c r="BA37" s="1146"/>
      <c r="BB37" s="1146"/>
      <c r="BC37" s="1131"/>
      <c r="BD37" s="160"/>
      <c r="BE37" s="160"/>
      <c r="BF37" s="934" t="s">
        <v>1008</v>
      </c>
      <c r="BG37" s="934" t="s">
        <v>1007</v>
      </c>
      <c r="BH37" s="934">
        <f>BH36</f>
        <v>0</v>
      </c>
      <c r="BI37" s="934" t="str">
        <f>BI36</f>
        <v>тыс.куб.м</v>
      </c>
      <c r="BJ37" s="935"/>
      <c r="BK37" s="935"/>
    </row>
    <row r="38" spans="1:63" ht="16.5" hidden="1" customHeight="1">
      <c r="A38" s="970" t="str">
        <f ca="1">"checkVolume_2."&amp;F38&amp;"."&amp;Y36</f>
        <v>checkVolume_2.0.0</v>
      </c>
      <c r="E38" s="623">
        <v>17</v>
      </c>
      <c r="F38" s="714">
        <f ca="1">F36</f>
        <v>0</v>
      </c>
      <c r="G38" s="130" t="s">
        <v>146</v>
      </c>
      <c r="H38" s="94">
        <f>H36</f>
        <v>0</v>
      </c>
      <c r="T38" s="645" t="b">
        <f ca="1">T36</f>
        <v>0</v>
      </c>
      <c r="X38" s="1382"/>
      <c r="Y38" s="1382"/>
      <c r="Z38" s="1382"/>
      <c r="AA38" s="1483"/>
      <c r="AB38" s="222" t="str">
        <f>AB36&amp;".2"</f>
        <v>2.0.2</v>
      </c>
      <c r="AC38" s="228" t="s">
        <v>1000</v>
      </c>
      <c r="AD38" s="49" t="s">
        <v>818</v>
      </c>
      <c r="AE38" s="11"/>
      <c r="AF38" s="11"/>
      <c r="AG38" s="11"/>
      <c r="AH38" s="11"/>
      <c r="AI38" s="217"/>
      <c r="AJ38" s="1065"/>
      <c r="AK38" s="1065"/>
      <c r="AL38" s="11"/>
      <c r="AM38" s="11"/>
      <c r="AN38" s="11"/>
      <c r="AO38" s="11"/>
      <c r="AP38" s="11"/>
      <c r="AQ38" s="11"/>
      <c r="AR38" s="11"/>
      <c r="AS38" s="217"/>
      <c r="AT38" s="1065"/>
      <c r="AU38" s="1065"/>
      <c r="AV38" s="11"/>
      <c r="AW38" s="11"/>
      <c r="AX38" s="11"/>
      <c r="AY38" s="11"/>
      <c r="AZ38" s="11"/>
      <c r="BA38" s="11"/>
      <c r="BB38" s="11"/>
      <c r="BC38" s="22"/>
      <c r="BF38" s="934" t="s">
        <v>1009</v>
      </c>
      <c r="BG38" s="934" t="s">
        <v>1007</v>
      </c>
      <c r="BH38" s="934">
        <f>BH36</f>
        <v>0</v>
      </c>
      <c r="BI38" s="934" t="str">
        <f>BI36</f>
        <v>тыс.куб.м</v>
      </c>
    </row>
    <row r="39" spans="1:63" ht="16.5" hidden="1" customHeight="1">
      <c r="E39" s="623">
        <v>17</v>
      </c>
      <c r="F39" s="714">
        <f>F35</f>
        <v>0</v>
      </c>
      <c r="G39" s="130" t="str">
        <f>F39&amp;"pIns5"</f>
        <v>0pIns5</v>
      </c>
      <c r="T39" s="645" t="b">
        <f>F39&gt;0</f>
        <v>0</v>
      </c>
      <c r="W39" s="291" t="s">
        <v>1010</v>
      </c>
      <c r="X39" s="1382"/>
      <c r="Z39" s="1382"/>
      <c r="AB39" s="236"/>
      <c r="AC39" s="237" t="s">
        <v>796</v>
      </c>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7"/>
      <c r="BC39" s="851"/>
      <c r="BF39" s="934" t="str">
        <f>IF(AND(ISNUMBER(VALUE(TRIM(SUBSTITUTE(AB39,".","")))),TRIM(SUBSTITUTE(AB39,".",""))&lt;&gt;""),"P"&amp;SUBSTITUTE(AB39,".",""),"")</f>
        <v/>
      </c>
      <c r="BJ39" s="935" t="s">
        <v>1007</v>
      </c>
    </row>
    <row r="40" spans="1:63" ht="16.5" hidden="1" customHeight="1">
      <c r="E40" s="623">
        <v>17</v>
      </c>
      <c r="F40" s="714">
        <f>F39</f>
        <v>0</v>
      </c>
      <c r="G40" s="130" t="s">
        <v>1011</v>
      </c>
      <c r="T40" s="645" t="b">
        <f>F40&gt;0</f>
        <v>0</v>
      </c>
      <c r="X40" s="1382"/>
      <c r="Z40" s="1382"/>
      <c r="AB40" s="220">
        <v>3</v>
      </c>
      <c r="AC40" s="215" t="s">
        <v>1012</v>
      </c>
      <c r="AD40" s="214" t="s">
        <v>648</v>
      </c>
      <c r="AE40" s="216">
        <f t="shared" ref="AE40:BB40" si="10">SUMIF($AD41:$AD45,$AD40,AE41:AE45)</f>
        <v>0</v>
      </c>
      <c r="AF40" s="216">
        <f t="shared" si="10"/>
        <v>0</v>
      </c>
      <c r="AG40" s="216">
        <f t="shared" si="10"/>
        <v>0</v>
      </c>
      <c r="AH40" s="216">
        <f t="shared" si="10"/>
        <v>0</v>
      </c>
      <c r="AI40" s="216">
        <f t="shared" si="10"/>
        <v>0</v>
      </c>
      <c r="AJ40" s="1132">
        <f t="shared" si="10"/>
        <v>0</v>
      </c>
      <c r="AK40" s="1132">
        <f t="shared" si="10"/>
        <v>0</v>
      </c>
      <c r="AL40" s="44">
        <f t="shared" si="10"/>
        <v>0</v>
      </c>
      <c r="AM40" s="44">
        <f t="shared" si="10"/>
        <v>0</v>
      </c>
      <c r="AN40" s="44">
        <f t="shared" si="10"/>
        <v>0</v>
      </c>
      <c r="AO40" s="44">
        <f t="shared" si="10"/>
        <v>0</v>
      </c>
      <c r="AP40" s="44">
        <f t="shared" si="10"/>
        <v>0</v>
      </c>
      <c r="AQ40" s="44">
        <f t="shared" si="10"/>
        <v>0</v>
      </c>
      <c r="AR40" s="44">
        <f t="shared" si="10"/>
        <v>0</v>
      </c>
      <c r="AS40" s="216">
        <f t="shared" si="10"/>
        <v>0</v>
      </c>
      <c r="AT40" s="1132">
        <f t="shared" si="10"/>
        <v>0</v>
      </c>
      <c r="AU40" s="1132">
        <f t="shared" si="10"/>
        <v>0</v>
      </c>
      <c r="AV40" s="44">
        <f t="shared" si="10"/>
        <v>0</v>
      </c>
      <c r="AW40" s="44">
        <f t="shared" si="10"/>
        <v>0</v>
      </c>
      <c r="AX40" s="44">
        <f t="shared" si="10"/>
        <v>0</v>
      </c>
      <c r="AY40" s="44">
        <f t="shared" si="10"/>
        <v>0</v>
      </c>
      <c r="AZ40" s="44">
        <f t="shared" si="10"/>
        <v>0</v>
      </c>
      <c r="BA40" s="44">
        <f t="shared" si="10"/>
        <v>0</v>
      </c>
      <c r="BB40" s="44">
        <f t="shared" si="10"/>
        <v>0</v>
      </c>
      <c r="BC40" s="22"/>
      <c r="BF40" s="934" t="s">
        <v>1013</v>
      </c>
    </row>
    <row r="41" spans="1:63" ht="0.2" hidden="1" customHeight="1">
      <c r="E41" s="623">
        <v>0.2</v>
      </c>
      <c r="F41" s="714">
        <f>F40</f>
        <v>0</v>
      </c>
      <c r="T41" s="645" t="b">
        <v>0</v>
      </c>
      <c r="X41" s="1382"/>
      <c r="Z41" s="1382"/>
      <c r="AB41" s="220"/>
      <c r="AC41" s="215"/>
      <c r="AD41" s="214"/>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27"/>
      <c r="BF41" s="934" t="str">
        <f>IF(AND(ISNUMBER(VALUE(TRIM(SUBSTITUTE(AB41,".","")))),TRIM(SUBSTITUTE(AB41,".",""))&lt;&gt;""),"P"&amp;SUBSTITUTE(AB41,".",""),"")</f>
        <v/>
      </c>
    </row>
    <row r="42" spans="1:63" ht="22.15" hidden="1" customHeight="1">
      <c r="A42" s="970" t="str">
        <f ca="1">"checkCosts_3."&amp;F42&amp;"."&amp;Y42</f>
        <v>checkCosts_3.0.0</v>
      </c>
      <c r="E42" s="623">
        <v>22.8</v>
      </c>
      <c r="F42" s="714">
        <f ca="1">OFFSET(G42,-1,-1)</f>
        <v>0</v>
      </c>
      <c r="G42" s="130" t="s">
        <v>1011</v>
      </c>
      <c r="H42" s="94">
        <f>AC42</f>
        <v>0</v>
      </c>
      <c r="T42" s="645" t="b">
        <f ca="1">AND(F42&gt;0,Y42&gt;0)</f>
        <v>0</v>
      </c>
      <c r="W42" s="98" t="s">
        <v>170</v>
      </c>
      <c r="X42" s="1382"/>
      <c r="Y42" s="1382">
        <v>0</v>
      </c>
      <c r="Z42" s="1382"/>
      <c r="AA42" s="1483" t="s">
        <v>157</v>
      </c>
      <c r="AB42" s="222" t="str">
        <f>"3."&amp;Y42</f>
        <v>3.0</v>
      </c>
      <c r="AC42" s="5"/>
      <c r="AD42" s="214" t="s">
        <v>648</v>
      </c>
      <c r="AE42" s="1135">
        <f>AE43*AE44</f>
        <v>0</v>
      </c>
      <c r="AF42" s="11"/>
      <c r="AG42" s="11"/>
      <c r="AH42" s="1135">
        <f>AH43*AH44</f>
        <v>0</v>
      </c>
      <c r="AI42" s="217"/>
      <c r="AJ42" s="1065"/>
      <c r="AK42" s="1065"/>
      <c r="AL42" s="11"/>
      <c r="AM42" s="11"/>
      <c r="AN42" s="11"/>
      <c r="AO42" s="11"/>
      <c r="AP42" s="11"/>
      <c r="AQ42" s="11"/>
      <c r="AR42" s="11"/>
      <c r="AS42" s="1136">
        <f t="shared" ref="AS42:BB42" si="11">AS43*AS44</f>
        <v>0</v>
      </c>
      <c r="AT42" s="1136">
        <f t="shared" si="11"/>
        <v>0</v>
      </c>
      <c r="AU42" s="1136">
        <f t="shared" si="11"/>
        <v>0</v>
      </c>
      <c r="AV42" s="1135">
        <f t="shared" si="11"/>
        <v>0</v>
      </c>
      <c r="AW42" s="1135">
        <f t="shared" si="11"/>
        <v>0</v>
      </c>
      <c r="AX42" s="1135">
        <f t="shared" si="11"/>
        <v>0</v>
      </c>
      <c r="AY42" s="1135">
        <f t="shared" si="11"/>
        <v>0</v>
      </c>
      <c r="AZ42" s="1135">
        <f t="shared" si="11"/>
        <v>0</v>
      </c>
      <c r="BA42" s="1135">
        <f t="shared" si="11"/>
        <v>0</v>
      </c>
      <c r="BB42" s="1135">
        <f t="shared" si="11"/>
        <v>0</v>
      </c>
      <c r="BC42" s="22"/>
      <c r="BF42" s="934" t="s">
        <v>1014</v>
      </c>
      <c r="BG42" s="934" t="s">
        <v>1015</v>
      </c>
      <c r="BH42" s="934">
        <f>AC42</f>
        <v>0</v>
      </c>
      <c r="BI42" s="934">
        <f>AD44</f>
        <v>0</v>
      </c>
      <c r="BK42" s="935" t="b">
        <v>1</v>
      </c>
    </row>
    <row r="43" spans="1:63" s="1057" customFormat="1" ht="16.5" hidden="1" customHeight="1">
      <c r="B43" s="718"/>
      <c r="C43" s="1011"/>
      <c r="D43" s="1011"/>
      <c r="E43" s="717">
        <v>17</v>
      </c>
      <c r="F43" s="714">
        <f>F41</f>
        <v>0</v>
      </c>
      <c r="G43" s="130" t="s">
        <v>193</v>
      </c>
      <c r="H43" s="1018">
        <f>H42</f>
        <v>0</v>
      </c>
      <c r="I43" s="1018"/>
      <c r="J43" s="1018"/>
      <c r="K43" s="1018"/>
      <c r="L43" s="1018"/>
      <c r="M43" s="1018"/>
      <c r="N43" s="1018"/>
      <c r="O43" s="1018"/>
      <c r="P43" s="1018"/>
      <c r="Q43" s="130"/>
      <c r="R43" s="130"/>
      <c r="S43" s="1018"/>
      <c r="T43" s="735" t="b">
        <f ca="1">T42</f>
        <v>0</v>
      </c>
      <c r="U43" s="1016"/>
      <c r="V43" s="1016"/>
      <c r="W43" s="1016"/>
      <c r="X43" s="1382"/>
      <c r="Y43" s="1382"/>
      <c r="Z43" s="1382"/>
      <c r="AA43" s="1483"/>
      <c r="AB43" s="408" t="str">
        <f>AB42&amp;".1"</f>
        <v>3.0.1</v>
      </c>
      <c r="AC43" s="391" t="s">
        <v>759</v>
      </c>
      <c r="AD43" s="1150" t="s">
        <v>162</v>
      </c>
      <c r="AE43" s="1146"/>
      <c r="AF43" s="536">
        <f>IF(AF44=0,0,AF42/AF44)</f>
        <v>0</v>
      </c>
      <c r="AG43" s="536">
        <f>IF(AG44=0,0,AG42/AG44)</f>
        <v>0</v>
      </c>
      <c r="AH43" s="1146"/>
      <c r="AI43" s="536">
        <f t="shared" ref="AI43:AR43" si="12">IF(AI44=0,0,AI42/AI44)</f>
        <v>0</v>
      </c>
      <c r="AJ43" s="1136">
        <f t="shared" si="12"/>
        <v>0</v>
      </c>
      <c r="AK43" s="1136">
        <f t="shared" si="12"/>
        <v>0</v>
      </c>
      <c r="AL43" s="536">
        <f t="shared" si="12"/>
        <v>0</v>
      </c>
      <c r="AM43" s="536">
        <f t="shared" si="12"/>
        <v>0</v>
      </c>
      <c r="AN43" s="536">
        <f t="shared" si="12"/>
        <v>0</v>
      </c>
      <c r="AO43" s="536">
        <f t="shared" si="12"/>
        <v>0</v>
      </c>
      <c r="AP43" s="536">
        <f t="shared" si="12"/>
        <v>0</v>
      </c>
      <c r="AQ43" s="536">
        <f t="shared" si="12"/>
        <v>0</v>
      </c>
      <c r="AR43" s="536">
        <f t="shared" si="12"/>
        <v>0</v>
      </c>
      <c r="AS43" s="793"/>
      <c r="AT43" s="1065"/>
      <c r="AU43" s="1065"/>
      <c r="AV43" s="1146"/>
      <c r="AW43" s="1146"/>
      <c r="AX43" s="1146"/>
      <c r="AY43" s="1146"/>
      <c r="AZ43" s="1146"/>
      <c r="BA43" s="1146"/>
      <c r="BB43" s="1146"/>
      <c r="BC43" s="1131"/>
      <c r="BD43" s="160"/>
      <c r="BE43" s="160"/>
      <c r="BF43" s="934" t="s">
        <v>1016</v>
      </c>
      <c r="BG43" s="934" t="s">
        <v>1015</v>
      </c>
      <c r="BH43" s="934">
        <f>BH42</f>
        <v>0</v>
      </c>
      <c r="BI43" s="934">
        <f>BI42</f>
        <v>0</v>
      </c>
      <c r="BJ43" s="935"/>
      <c r="BK43" s="935"/>
    </row>
    <row r="44" spans="1:63" ht="16.5" hidden="1" customHeight="1">
      <c r="A44" s="970" t="str">
        <f ca="1">"checkVolume_3."&amp;F44&amp;"."&amp;Y42</f>
        <v>checkVolume_3.0.0</v>
      </c>
      <c r="E44" s="623">
        <v>17</v>
      </c>
      <c r="F44" s="714">
        <f ca="1">F42</f>
        <v>0</v>
      </c>
      <c r="G44" s="130" t="s">
        <v>193</v>
      </c>
      <c r="H44" s="94">
        <f>H42</f>
        <v>0</v>
      </c>
      <c r="T44" s="645" t="b">
        <f ca="1">T42</f>
        <v>0</v>
      </c>
      <c r="X44" s="1382"/>
      <c r="Y44" s="1382"/>
      <c r="Z44" s="1382"/>
      <c r="AA44" s="1483"/>
      <c r="AB44" s="222" t="str">
        <f>AB42&amp;".2"</f>
        <v>3.0.2</v>
      </c>
      <c r="AC44" s="228" t="s">
        <v>1000</v>
      </c>
      <c r="AD44" s="49"/>
      <c r="AE44" s="11"/>
      <c r="AF44" s="11"/>
      <c r="AG44" s="11"/>
      <c r="AH44" s="11"/>
      <c r="AI44" s="217"/>
      <c r="AJ44" s="1065"/>
      <c r="AK44" s="1065"/>
      <c r="AL44" s="11"/>
      <c r="AM44" s="11"/>
      <c r="AN44" s="11"/>
      <c r="AO44" s="11"/>
      <c r="AP44" s="11"/>
      <c r="AQ44" s="11"/>
      <c r="AR44" s="11"/>
      <c r="AS44" s="217"/>
      <c r="AT44" s="1065"/>
      <c r="AU44" s="1065"/>
      <c r="AV44" s="11"/>
      <c r="AW44" s="11"/>
      <c r="AX44" s="11"/>
      <c r="AY44" s="11"/>
      <c r="AZ44" s="11"/>
      <c r="BA44" s="11"/>
      <c r="BB44" s="11"/>
      <c r="BC44" s="22"/>
      <c r="BF44" s="934" t="s">
        <v>1017</v>
      </c>
      <c r="BG44" s="934" t="s">
        <v>1015</v>
      </c>
      <c r="BH44" s="934">
        <f>BH42</f>
        <v>0</v>
      </c>
      <c r="BI44" s="934">
        <f>BI42</f>
        <v>0</v>
      </c>
    </row>
    <row r="45" spans="1:63" ht="16.5" hidden="1" customHeight="1">
      <c r="E45" s="623">
        <v>17</v>
      </c>
      <c r="F45" s="714">
        <f>F41</f>
        <v>0</v>
      </c>
      <c r="G45" s="130" t="str">
        <f>F45&amp;"pIns5"</f>
        <v>0pIns5</v>
      </c>
      <c r="T45" s="645" t="b">
        <f>F45&gt;0</f>
        <v>0</v>
      </c>
      <c r="W45" s="291" t="s">
        <v>1018</v>
      </c>
      <c r="X45" s="1382"/>
      <c r="Z45" s="1382"/>
      <c r="AB45" s="236"/>
      <c r="AC45" s="237" t="s">
        <v>796</v>
      </c>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851"/>
      <c r="BJ45" s="935" t="s">
        <v>1015</v>
      </c>
    </row>
    <row r="46" spans="1:63" s="1057" customFormat="1" ht="10.5" customHeight="1">
      <c r="A46" s="1016"/>
      <c r="B46" s="718"/>
      <c r="C46" s="1011"/>
      <c r="D46" s="1011"/>
      <c r="E46" s="623">
        <v>11.4</v>
      </c>
      <c r="F46" s="714" t="str">
        <f>X46</f>
        <v>1</v>
      </c>
      <c r="G46" s="130" t="s">
        <v>997</v>
      </c>
      <c r="H46" s="1018"/>
      <c r="I46" s="1018"/>
      <c r="J46" s="1018"/>
      <c r="K46" s="1018"/>
      <c r="L46" s="1018"/>
      <c r="M46" s="1018"/>
      <c r="N46" s="1018"/>
      <c r="O46" s="1018"/>
      <c r="P46" s="1018"/>
      <c r="Q46" s="130"/>
      <c r="R46" s="130"/>
      <c r="S46" s="1018"/>
      <c r="T46" s="645" t="b">
        <f>X46&gt;0</f>
        <v>1</v>
      </c>
      <c r="U46" s="1016"/>
      <c r="V46" s="113" t="str">
        <f>Аренда!$AB$39</f>
        <v>Тариф 1 (Теплоснабжение) - Тарифы на теплоноситель (Не определено)</v>
      </c>
      <c r="W46" s="1016"/>
      <c r="X46" s="1382" t="s">
        <v>247</v>
      </c>
      <c r="Y46" s="1016"/>
      <c r="Z46" s="1382"/>
      <c r="AA46" s="160"/>
      <c r="AB46" s="224" t="str">
        <f>IF(ISBLANK(Аренда!$AB$39),"",Аренда!$AB$39)</f>
        <v>Тариф 1 (Теплоснабжение) - Тарифы на теплоноситель (Не определено)</v>
      </c>
      <c r="AC46" s="197"/>
      <c r="AD46" s="197"/>
      <c r="AE46" s="297">
        <f t="shared" ref="AE46:BB46" si="13">AE47+AE53+AE59</f>
        <v>0</v>
      </c>
      <c r="AF46" s="297">
        <f t="shared" si="13"/>
        <v>0</v>
      </c>
      <c r="AG46" s="297">
        <f t="shared" si="13"/>
        <v>0</v>
      </c>
      <c r="AH46" s="297">
        <f t="shared" si="13"/>
        <v>0</v>
      </c>
      <c r="AI46" s="297">
        <f t="shared" si="13"/>
        <v>0</v>
      </c>
      <c r="AJ46" s="297">
        <f t="shared" si="13"/>
        <v>0</v>
      </c>
      <c r="AK46" s="297">
        <f t="shared" si="13"/>
        <v>0</v>
      </c>
      <c r="AL46" s="297">
        <f t="shared" si="13"/>
        <v>0</v>
      </c>
      <c r="AM46" s="297">
        <f t="shared" si="13"/>
        <v>0</v>
      </c>
      <c r="AN46" s="297">
        <f t="shared" si="13"/>
        <v>0</v>
      </c>
      <c r="AO46" s="297">
        <f t="shared" si="13"/>
        <v>0</v>
      </c>
      <c r="AP46" s="297">
        <f t="shared" si="13"/>
        <v>0</v>
      </c>
      <c r="AQ46" s="297">
        <f t="shared" si="13"/>
        <v>0</v>
      </c>
      <c r="AR46" s="297">
        <f t="shared" si="13"/>
        <v>0</v>
      </c>
      <c r="AS46" s="297">
        <f t="shared" si="13"/>
        <v>0</v>
      </c>
      <c r="AT46" s="297">
        <f t="shared" si="13"/>
        <v>0</v>
      </c>
      <c r="AU46" s="297">
        <f t="shared" si="13"/>
        <v>0</v>
      </c>
      <c r="AV46" s="297">
        <f t="shared" si="13"/>
        <v>0</v>
      </c>
      <c r="AW46" s="297">
        <f t="shared" si="13"/>
        <v>0</v>
      </c>
      <c r="AX46" s="297">
        <f t="shared" si="13"/>
        <v>0</v>
      </c>
      <c r="AY46" s="297">
        <f t="shared" si="13"/>
        <v>0</v>
      </c>
      <c r="AZ46" s="297">
        <f t="shared" si="13"/>
        <v>0</v>
      </c>
      <c r="BA46" s="297">
        <f t="shared" si="13"/>
        <v>0</v>
      </c>
      <c r="BB46" s="297">
        <f t="shared" si="13"/>
        <v>0</v>
      </c>
      <c r="BC46" s="226"/>
      <c r="BD46" s="160"/>
      <c r="BE46" s="160"/>
      <c r="BF46" s="934"/>
      <c r="BG46" s="934"/>
      <c r="BH46" s="934"/>
      <c r="BI46" s="934"/>
      <c r="BJ46" s="935"/>
      <c r="BK46" s="935"/>
    </row>
    <row r="47" spans="1:63" s="1057" customFormat="1" ht="10.5" hidden="1" customHeight="1">
      <c r="A47" s="1016"/>
      <c r="B47" s="718"/>
      <c r="C47" s="1011"/>
      <c r="D47" s="1011"/>
      <c r="E47" s="623">
        <v>11.4</v>
      </c>
      <c r="F47" s="714" t="str">
        <f>F46</f>
        <v>1</v>
      </c>
      <c r="G47" s="130" t="s">
        <v>334</v>
      </c>
      <c r="H47" s="1018"/>
      <c r="I47" s="1018"/>
      <c r="J47" s="1018"/>
      <c r="K47" s="1018"/>
      <c r="L47" s="1018"/>
      <c r="M47" s="1018"/>
      <c r="N47" s="1018"/>
      <c r="O47" s="1018"/>
      <c r="P47" s="1018"/>
      <c r="Q47" s="130"/>
      <c r="R47" s="130"/>
      <c r="S47" s="1018"/>
      <c r="T47" s="645" t="b">
        <v>0</v>
      </c>
      <c r="U47" s="1016"/>
      <c r="V47" s="1016"/>
      <c r="W47" s="1016"/>
      <c r="X47" s="1382"/>
      <c r="Y47" s="1016"/>
      <c r="Z47" s="1382"/>
      <c r="AA47" s="160"/>
      <c r="AB47" s="220">
        <v>1</v>
      </c>
      <c r="AC47" s="215" t="s">
        <v>998</v>
      </c>
      <c r="AD47" s="214" t="s">
        <v>648</v>
      </c>
      <c r="AE47" s="216">
        <f t="shared" ref="AE47:BB47" si="14">SUMIF($AD48:$AD52,$AD47,AE48:AE52)</f>
        <v>0</v>
      </c>
      <c r="AF47" s="216">
        <f t="shared" si="14"/>
        <v>0</v>
      </c>
      <c r="AG47" s="216">
        <f t="shared" si="14"/>
        <v>0</v>
      </c>
      <c r="AH47" s="216">
        <f t="shared" si="14"/>
        <v>0</v>
      </c>
      <c r="AI47" s="216">
        <f t="shared" si="14"/>
        <v>0</v>
      </c>
      <c r="AJ47" s="1132">
        <f t="shared" si="14"/>
        <v>0</v>
      </c>
      <c r="AK47" s="1132">
        <f t="shared" si="14"/>
        <v>0</v>
      </c>
      <c r="AL47" s="44">
        <f t="shared" si="14"/>
        <v>0</v>
      </c>
      <c r="AM47" s="44">
        <f t="shared" si="14"/>
        <v>0</v>
      </c>
      <c r="AN47" s="44">
        <f t="shared" si="14"/>
        <v>0</v>
      </c>
      <c r="AO47" s="44">
        <f t="shared" si="14"/>
        <v>0</v>
      </c>
      <c r="AP47" s="44">
        <f t="shared" si="14"/>
        <v>0</v>
      </c>
      <c r="AQ47" s="44">
        <f t="shared" si="14"/>
        <v>0</v>
      </c>
      <c r="AR47" s="44">
        <f t="shared" si="14"/>
        <v>0</v>
      </c>
      <c r="AS47" s="216">
        <f t="shared" si="14"/>
        <v>0</v>
      </c>
      <c r="AT47" s="1132">
        <f t="shared" si="14"/>
        <v>0</v>
      </c>
      <c r="AU47" s="1132">
        <f t="shared" si="14"/>
        <v>0</v>
      </c>
      <c r="AV47" s="44">
        <f t="shared" si="14"/>
        <v>0</v>
      </c>
      <c r="AW47" s="44">
        <f t="shared" si="14"/>
        <v>0</v>
      </c>
      <c r="AX47" s="44">
        <f t="shared" si="14"/>
        <v>0</v>
      </c>
      <c r="AY47" s="44">
        <f t="shared" si="14"/>
        <v>0</v>
      </c>
      <c r="AZ47" s="44">
        <f t="shared" si="14"/>
        <v>0</v>
      </c>
      <c r="BA47" s="44">
        <f t="shared" si="14"/>
        <v>0</v>
      </c>
      <c r="BB47" s="44">
        <f t="shared" si="14"/>
        <v>0</v>
      </c>
      <c r="BC47" s="22"/>
      <c r="BD47" s="160"/>
      <c r="BE47" s="160"/>
      <c r="BF47" s="934" t="s">
        <v>823</v>
      </c>
      <c r="BG47" s="934"/>
      <c r="BH47" s="934"/>
      <c r="BI47" s="934"/>
      <c r="BJ47" s="935"/>
      <c r="BK47" s="935"/>
    </row>
    <row r="48" spans="1:63" s="1057" customFormat="1" ht="0" hidden="1" customHeight="1">
      <c r="A48" s="1016"/>
      <c r="B48" s="718"/>
      <c r="C48" s="1011"/>
      <c r="D48" s="1011"/>
      <c r="E48" s="623">
        <v>0.2</v>
      </c>
      <c r="F48" s="714" t="str">
        <f>F47</f>
        <v>1</v>
      </c>
      <c r="G48" s="1018"/>
      <c r="H48" s="1018"/>
      <c r="I48" s="1018"/>
      <c r="J48" s="1018"/>
      <c r="K48" s="1018"/>
      <c r="L48" s="1018"/>
      <c r="M48" s="1018"/>
      <c r="N48" s="1018"/>
      <c r="O48" s="1018"/>
      <c r="P48" s="1018"/>
      <c r="Q48" s="130"/>
      <c r="R48" s="130"/>
      <c r="S48" s="1018"/>
      <c r="T48" s="645" t="b">
        <v>0</v>
      </c>
      <c r="U48" s="1016"/>
      <c r="V48" s="1016"/>
      <c r="W48" s="1016"/>
      <c r="X48" s="1382"/>
      <c r="Y48" s="1016"/>
      <c r="Z48" s="1382"/>
      <c r="AA48" s="160"/>
      <c r="AB48" s="220"/>
      <c r="AC48" s="215"/>
      <c r="AD48" s="214"/>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27"/>
      <c r="BD48" s="160"/>
      <c r="BE48" s="160"/>
      <c r="BF48" s="934" t="str">
        <f>IF(AND(ISNUMBER(VALUE(TRIM(SUBSTITUTE(AB48,".","")))),TRIM(SUBSTITUTE(AB48,".",""))&lt;&gt;""),"P"&amp;SUBSTITUTE(AB48,".",""),"")</f>
        <v/>
      </c>
      <c r="BG48" s="934"/>
      <c r="BH48" s="934"/>
      <c r="BI48" s="934"/>
      <c r="BJ48" s="935"/>
      <c r="BK48" s="935"/>
    </row>
    <row r="49" spans="1:63" s="1057" customFormat="1" ht="17.25" hidden="1" customHeight="1">
      <c r="A49" s="970" t="str">
        <f ca="1">"checkCosts_1."&amp;F49&amp;"."&amp;Y49</f>
        <v>checkCosts_1.1.0</v>
      </c>
      <c r="B49" s="718"/>
      <c r="C49" s="1011"/>
      <c r="D49" s="1011"/>
      <c r="E49" s="623">
        <v>18</v>
      </c>
      <c r="F49" s="714" t="str">
        <f ca="1">OFFSET(G49,-1,-1)</f>
        <v>1</v>
      </c>
      <c r="G49" s="130" t="s">
        <v>334</v>
      </c>
      <c r="H49" s="94">
        <f>AC49</f>
        <v>0</v>
      </c>
      <c r="I49" s="1018"/>
      <c r="J49" s="1018"/>
      <c r="K49" s="1018"/>
      <c r="L49" s="1018"/>
      <c r="M49" s="1018"/>
      <c r="N49" s="1018"/>
      <c r="O49" s="1018"/>
      <c r="P49" s="1018"/>
      <c r="Q49" s="130"/>
      <c r="R49" s="130"/>
      <c r="S49" s="1018"/>
      <c r="T49" s="645" t="b">
        <v>0</v>
      </c>
      <c r="U49" s="1016"/>
      <c r="V49" s="1016"/>
      <c r="W49" s="98" t="s">
        <v>170</v>
      </c>
      <c r="X49" s="1382"/>
      <c r="Y49" s="1382">
        <v>0</v>
      </c>
      <c r="Z49" s="1382"/>
      <c r="AA49" s="1483" t="s">
        <v>157</v>
      </c>
      <c r="AB49" s="222" t="str">
        <f>"1."&amp;Y49</f>
        <v>1.0</v>
      </c>
      <c r="AC49" s="368"/>
      <c r="AD49" s="214" t="s">
        <v>648</v>
      </c>
      <c r="AE49" s="1135">
        <f>AE50*AE51/1000</f>
        <v>0</v>
      </c>
      <c r="AF49" s="11"/>
      <c r="AG49" s="11"/>
      <c r="AH49" s="1135">
        <f>AH50*AH51/1000</f>
        <v>0</v>
      </c>
      <c r="AI49" s="217"/>
      <c r="AJ49" s="1065"/>
      <c r="AK49" s="1065"/>
      <c r="AL49" s="11"/>
      <c r="AM49" s="11"/>
      <c r="AN49" s="11"/>
      <c r="AO49" s="11"/>
      <c r="AP49" s="11"/>
      <c r="AQ49" s="11"/>
      <c r="AR49" s="11"/>
      <c r="AS49" s="1136">
        <f t="shared" ref="AS49:BB49" si="15">AS50*AS51/1000</f>
        <v>0</v>
      </c>
      <c r="AT49" s="1136">
        <f t="shared" si="15"/>
        <v>0</v>
      </c>
      <c r="AU49" s="1136">
        <f t="shared" si="15"/>
        <v>0</v>
      </c>
      <c r="AV49" s="1135">
        <f t="shared" si="15"/>
        <v>0</v>
      </c>
      <c r="AW49" s="1135">
        <f t="shared" si="15"/>
        <v>0</v>
      </c>
      <c r="AX49" s="1135">
        <f t="shared" si="15"/>
        <v>0</v>
      </c>
      <c r="AY49" s="1135">
        <f t="shared" si="15"/>
        <v>0</v>
      </c>
      <c r="AZ49" s="1135">
        <f t="shared" si="15"/>
        <v>0</v>
      </c>
      <c r="BA49" s="1135">
        <f t="shared" si="15"/>
        <v>0</v>
      </c>
      <c r="BB49" s="1135">
        <f t="shared" si="15"/>
        <v>0</v>
      </c>
      <c r="BC49" s="22"/>
      <c r="BD49" s="160"/>
      <c r="BE49" s="160"/>
      <c r="BF49" s="934" t="s">
        <v>824</v>
      </c>
      <c r="BG49" s="934" t="s">
        <v>999</v>
      </c>
      <c r="BH49" s="934">
        <f>AC49</f>
        <v>0</v>
      </c>
      <c r="BI49" s="934" t="str">
        <f>AD51</f>
        <v>Гкал</v>
      </c>
      <c r="BJ49" s="935"/>
      <c r="BK49" s="935" t="b">
        <v>1</v>
      </c>
    </row>
    <row r="50" spans="1:63" s="1057" customFormat="1" ht="16.5" hidden="1" customHeight="1">
      <c r="B50" s="718"/>
      <c r="C50" s="1011"/>
      <c r="D50" s="1011"/>
      <c r="E50" s="717">
        <v>17</v>
      </c>
      <c r="F50" s="714" t="str">
        <f>F48</f>
        <v>1</v>
      </c>
      <c r="G50" s="130" t="s">
        <v>139</v>
      </c>
      <c r="H50" s="1018">
        <f>H49</f>
        <v>0</v>
      </c>
      <c r="I50" s="1018"/>
      <c r="J50" s="1018"/>
      <c r="K50" s="1018"/>
      <c r="L50" s="1018"/>
      <c r="M50" s="1018"/>
      <c r="N50" s="1018"/>
      <c r="O50" s="1018"/>
      <c r="P50" s="1018"/>
      <c r="Q50" s="130"/>
      <c r="R50" s="130"/>
      <c r="S50" s="1018"/>
      <c r="T50" s="735" t="b">
        <f>T49</f>
        <v>0</v>
      </c>
      <c r="U50" s="1016"/>
      <c r="V50" s="1016"/>
      <c r="W50" s="1016"/>
      <c r="X50" s="1382"/>
      <c r="Y50" s="1382"/>
      <c r="Z50" s="1382"/>
      <c r="AA50" s="1483"/>
      <c r="AB50" s="408" t="str">
        <f>AB49&amp;".1"</f>
        <v>1.0.1</v>
      </c>
      <c r="AC50" s="391" t="s">
        <v>759</v>
      </c>
      <c r="AD50" s="1150" t="s">
        <v>162</v>
      </c>
      <c r="AE50" s="1146"/>
      <c r="AF50" s="536">
        <f>IF(AF51=0,0,AF49/AF51)*1000</f>
        <v>0</v>
      </c>
      <c r="AG50" s="536">
        <f>IF(AG51=0,0,AG49/AG51)*1000</f>
        <v>0</v>
      </c>
      <c r="AH50" s="1146"/>
      <c r="AI50" s="536">
        <f t="shared" ref="AI50:AR50" si="16">IF(AI51=0,0,AI49/AI51)*1000</f>
        <v>0</v>
      </c>
      <c r="AJ50" s="1136">
        <f t="shared" si="16"/>
        <v>0</v>
      </c>
      <c r="AK50" s="1136">
        <f t="shared" si="16"/>
        <v>0</v>
      </c>
      <c r="AL50" s="536">
        <f t="shared" si="16"/>
        <v>0</v>
      </c>
      <c r="AM50" s="536">
        <f t="shared" si="16"/>
        <v>0</v>
      </c>
      <c r="AN50" s="536">
        <f t="shared" si="16"/>
        <v>0</v>
      </c>
      <c r="AO50" s="536">
        <f t="shared" si="16"/>
        <v>0</v>
      </c>
      <c r="AP50" s="536">
        <f t="shared" si="16"/>
        <v>0</v>
      </c>
      <c r="AQ50" s="536">
        <f t="shared" si="16"/>
        <v>0</v>
      </c>
      <c r="AR50" s="536">
        <f t="shared" si="16"/>
        <v>0</v>
      </c>
      <c r="AS50" s="793"/>
      <c r="AT50" s="1065"/>
      <c r="AU50" s="1065"/>
      <c r="AV50" s="1146"/>
      <c r="AW50" s="1146"/>
      <c r="AX50" s="1146"/>
      <c r="AY50" s="1146"/>
      <c r="AZ50" s="1146"/>
      <c r="BA50" s="1146"/>
      <c r="BB50" s="1146"/>
      <c r="BC50" s="1131"/>
      <c r="BD50" s="160"/>
      <c r="BE50" s="160"/>
      <c r="BF50" s="934" t="s">
        <v>826</v>
      </c>
      <c r="BG50" s="934" t="s">
        <v>999</v>
      </c>
      <c r="BH50" s="934">
        <f>BH49</f>
        <v>0</v>
      </c>
      <c r="BI50" s="934" t="str">
        <f>BI49</f>
        <v>Гкал</v>
      </c>
      <c r="BJ50" s="935"/>
      <c r="BK50" s="935"/>
    </row>
    <row r="51" spans="1:63" s="1057" customFormat="1" ht="16.5" hidden="1" customHeight="1">
      <c r="A51" s="970" t="str">
        <f ca="1">"checkVolume_1."&amp;F51&amp;"."&amp;Y49</f>
        <v>checkVolume_1.1.0</v>
      </c>
      <c r="B51" s="718"/>
      <c r="C51" s="1011"/>
      <c r="D51" s="1011"/>
      <c r="E51" s="623">
        <v>17</v>
      </c>
      <c r="F51" s="714" t="str">
        <f ca="1">F49</f>
        <v>1</v>
      </c>
      <c r="G51" s="130" t="s">
        <v>139</v>
      </c>
      <c r="H51" s="94">
        <f>H49</f>
        <v>0</v>
      </c>
      <c r="I51" s="1018"/>
      <c r="J51" s="1018"/>
      <c r="K51" s="1018"/>
      <c r="L51" s="1018"/>
      <c r="M51" s="1018"/>
      <c r="N51" s="1018"/>
      <c r="O51" s="1018"/>
      <c r="P51" s="1018"/>
      <c r="Q51" s="130"/>
      <c r="R51" s="130"/>
      <c r="S51" s="1018"/>
      <c r="T51" s="645" t="b">
        <v>0</v>
      </c>
      <c r="U51" s="1016"/>
      <c r="V51" s="1016"/>
      <c r="W51" s="1016"/>
      <c r="X51" s="1382"/>
      <c r="Y51" s="1382"/>
      <c r="Z51" s="1382"/>
      <c r="AA51" s="1483"/>
      <c r="AB51" s="222" t="str">
        <f>AB49&amp;".2"</f>
        <v>1.0.2</v>
      </c>
      <c r="AC51" s="228" t="s">
        <v>1000</v>
      </c>
      <c r="AD51" s="49" t="s">
        <v>598</v>
      </c>
      <c r="AE51" s="11"/>
      <c r="AF51" s="11"/>
      <c r="AG51" s="11"/>
      <c r="AH51" s="11"/>
      <c r="AI51" s="217"/>
      <c r="AJ51" s="1065"/>
      <c r="AK51" s="1065"/>
      <c r="AL51" s="11"/>
      <c r="AM51" s="11"/>
      <c r="AN51" s="11"/>
      <c r="AO51" s="11"/>
      <c r="AP51" s="11"/>
      <c r="AQ51" s="11"/>
      <c r="AR51" s="11"/>
      <c r="AS51" s="217"/>
      <c r="AT51" s="1065"/>
      <c r="AU51" s="1065"/>
      <c r="AV51" s="11"/>
      <c r="AW51" s="11"/>
      <c r="AX51" s="11"/>
      <c r="AY51" s="11"/>
      <c r="AZ51" s="11"/>
      <c r="BA51" s="11"/>
      <c r="BB51" s="11"/>
      <c r="BC51" s="22"/>
      <c r="BD51" s="160"/>
      <c r="BE51" s="160"/>
      <c r="BF51" s="934" t="s">
        <v>828</v>
      </c>
      <c r="BG51" s="934" t="s">
        <v>999</v>
      </c>
      <c r="BH51" s="934">
        <f>BH49</f>
        <v>0</v>
      </c>
      <c r="BI51" s="934" t="str">
        <f>BI49</f>
        <v>Гкал</v>
      </c>
      <c r="BJ51" s="935"/>
      <c r="BK51" s="935"/>
    </row>
    <row r="52" spans="1:63" s="1057" customFormat="1" ht="16.5" hidden="1" customHeight="1">
      <c r="A52" s="1016"/>
      <c r="B52" s="718"/>
      <c r="C52" s="1011"/>
      <c r="D52" s="1011"/>
      <c r="E52" s="623">
        <v>17</v>
      </c>
      <c r="F52" s="714" t="str">
        <f>F48</f>
        <v>1</v>
      </c>
      <c r="G52" s="130" t="str">
        <f>F52&amp;"pIns3"</f>
        <v>1pIns3</v>
      </c>
      <c r="H52" s="1018"/>
      <c r="I52" s="1018"/>
      <c r="J52" s="1018"/>
      <c r="K52" s="1018"/>
      <c r="L52" s="1018"/>
      <c r="M52" s="1018"/>
      <c r="N52" s="1018"/>
      <c r="O52" s="1018"/>
      <c r="P52" s="1018"/>
      <c r="Q52" s="130"/>
      <c r="R52" s="130"/>
      <c r="S52" s="1018"/>
      <c r="T52" s="645" t="b">
        <v>0</v>
      </c>
      <c r="U52" s="1016"/>
      <c r="V52" s="1016"/>
      <c r="W52" s="291" t="s">
        <v>1001</v>
      </c>
      <c r="X52" s="1382"/>
      <c r="Y52" s="1016"/>
      <c r="Z52" s="1382"/>
      <c r="AA52" s="160"/>
      <c r="AB52" s="236"/>
      <c r="AC52" s="237" t="s">
        <v>796</v>
      </c>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851"/>
      <c r="BD52" s="160"/>
      <c r="BE52" s="160"/>
      <c r="BF52" s="934" t="str">
        <f>IF(AND(ISNUMBER(VALUE(TRIM(SUBSTITUTE(AB52,".","")))),TRIM(SUBSTITUTE(AB52,".",""))&lt;&gt;""),"P"&amp;SUBSTITUTE(AB52,".",""),"")</f>
        <v/>
      </c>
      <c r="BG52" s="934"/>
      <c r="BH52" s="934"/>
      <c r="BI52" s="934"/>
      <c r="BJ52" s="935" t="s">
        <v>999</v>
      </c>
      <c r="BK52" s="935"/>
    </row>
    <row r="53" spans="1:63" s="1057" customFormat="1" ht="16.5" customHeight="1">
      <c r="A53" s="1016"/>
      <c r="B53" s="718"/>
      <c r="C53" s="1011"/>
      <c r="D53" s="1011"/>
      <c r="E53" s="623">
        <v>17</v>
      </c>
      <c r="F53" s="714" t="str">
        <f>F52</f>
        <v>1</v>
      </c>
      <c r="G53" s="130" t="s">
        <v>1002</v>
      </c>
      <c r="H53" s="1018"/>
      <c r="I53" s="1018"/>
      <c r="J53" s="1018"/>
      <c r="K53" s="1018"/>
      <c r="L53" s="1018"/>
      <c r="M53" s="1018"/>
      <c r="N53" s="1018"/>
      <c r="O53" s="1018"/>
      <c r="P53" s="1018"/>
      <c r="Q53" s="130"/>
      <c r="R53" s="130"/>
      <c r="S53" s="1018"/>
      <c r="T53" s="645" t="b">
        <f>F53&gt;0</f>
        <v>1</v>
      </c>
      <c r="U53" s="1016"/>
      <c r="V53" s="1016"/>
      <c r="W53" s="1016"/>
      <c r="X53" s="1382"/>
      <c r="Y53" s="1016"/>
      <c r="Z53" s="1382"/>
      <c r="AA53" s="160"/>
      <c r="AB53" s="220">
        <v>2</v>
      </c>
      <c r="AC53" s="215" t="s">
        <v>1003</v>
      </c>
      <c r="AD53" s="214" t="s">
        <v>648</v>
      </c>
      <c r="AE53" s="216">
        <f t="shared" ref="AE53:BB53" si="17">SUMIF($AD54:$AD58,$AD53,AE54:AE58)</f>
        <v>0</v>
      </c>
      <c r="AF53" s="216">
        <f t="shared" si="17"/>
        <v>0</v>
      </c>
      <c r="AG53" s="216">
        <f t="shared" si="17"/>
        <v>0</v>
      </c>
      <c r="AH53" s="216">
        <f t="shared" si="17"/>
        <v>0</v>
      </c>
      <c r="AI53" s="216">
        <f t="shared" si="17"/>
        <v>0</v>
      </c>
      <c r="AJ53" s="1132">
        <f t="shared" si="17"/>
        <v>0</v>
      </c>
      <c r="AK53" s="1132">
        <f t="shared" si="17"/>
        <v>0</v>
      </c>
      <c r="AL53" s="1144">
        <f t="shared" si="17"/>
        <v>0</v>
      </c>
      <c r="AM53" s="1144">
        <f t="shared" si="17"/>
        <v>0</v>
      </c>
      <c r="AN53" s="1144">
        <f t="shared" si="17"/>
        <v>0</v>
      </c>
      <c r="AO53" s="1144">
        <f t="shared" si="17"/>
        <v>0</v>
      </c>
      <c r="AP53" s="1144">
        <f t="shared" si="17"/>
        <v>0</v>
      </c>
      <c r="AQ53" s="1144">
        <f t="shared" si="17"/>
        <v>0</v>
      </c>
      <c r="AR53" s="1144">
        <f t="shared" si="17"/>
        <v>0</v>
      </c>
      <c r="AS53" s="216">
        <f t="shared" si="17"/>
        <v>0</v>
      </c>
      <c r="AT53" s="1132">
        <f t="shared" si="17"/>
        <v>0</v>
      </c>
      <c r="AU53" s="1132">
        <f t="shared" si="17"/>
        <v>0</v>
      </c>
      <c r="AV53" s="1144">
        <f t="shared" si="17"/>
        <v>0</v>
      </c>
      <c r="AW53" s="1144">
        <f t="shared" si="17"/>
        <v>0</v>
      </c>
      <c r="AX53" s="1144">
        <f t="shared" si="17"/>
        <v>0</v>
      </c>
      <c r="AY53" s="1144">
        <f t="shared" si="17"/>
        <v>0</v>
      </c>
      <c r="AZ53" s="1144">
        <f t="shared" si="17"/>
        <v>0</v>
      </c>
      <c r="BA53" s="1144">
        <f t="shared" si="17"/>
        <v>0</v>
      </c>
      <c r="BB53" s="1144">
        <f t="shared" si="17"/>
        <v>0</v>
      </c>
      <c r="BC53" s="1106"/>
      <c r="BD53" s="160"/>
      <c r="BE53" s="160"/>
      <c r="BF53" s="934" t="s">
        <v>1004</v>
      </c>
      <c r="BG53" s="934"/>
      <c r="BH53" s="934"/>
      <c r="BI53" s="934"/>
      <c r="BJ53" s="935"/>
      <c r="BK53" s="935"/>
    </row>
    <row r="54" spans="1:63" s="1057" customFormat="1" ht="0" hidden="1" customHeight="1">
      <c r="A54" s="1016"/>
      <c r="B54" s="718"/>
      <c r="C54" s="1011"/>
      <c r="D54" s="1011"/>
      <c r="E54" s="623">
        <v>0.2</v>
      </c>
      <c r="F54" s="714" t="str">
        <f>F53</f>
        <v>1</v>
      </c>
      <c r="G54" s="1018"/>
      <c r="H54" s="1018"/>
      <c r="I54" s="1018"/>
      <c r="J54" s="1018"/>
      <c r="K54" s="1018"/>
      <c r="L54" s="1018"/>
      <c r="M54" s="1018"/>
      <c r="N54" s="1018"/>
      <c r="O54" s="1018"/>
      <c r="P54" s="1018"/>
      <c r="Q54" s="130"/>
      <c r="R54" s="130"/>
      <c r="S54" s="1018"/>
      <c r="T54" s="645" t="b">
        <v>0</v>
      </c>
      <c r="U54" s="1016"/>
      <c r="V54" s="1016"/>
      <c r="W54" s="1016"/>
      <c r="X54" s="1382"/>
      <c r="Y54" s="1016"/>
      <c r="Z54" s="1382"/>
      <c r="AA54" s="160"/>
      <c r="AB54" s="220"/>
      <c r="AC54" s="215"/>
      <c r="AD54" s="214"/>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27"/>
      <c r="BD54" s="160"/>
      <c r="BE54" s="160"/>
      <c r="BF54" s="934" t="str">
        <f>IF(AND(ISNUMBER(VALUE(TRIM(SUBSTITUTE(AB54,".","")))),TRIM(SUBSTITUTE(AB54,".",""))&lt;&gt;""),"P"&amp;SUBSTITUTE(AB54,".",""),"")</f>
        <v/>
      </c>
      <c r="BG54" s="934"/>
      <c r="BH54" s="934"/>
      <c r="BI54" s="934"/>
      <c r="BJ54" s="935"/>
      <c r="BK54" s="935"/>
    </row>
    <row r="55" spans="1:63" s="1057" customFormat="1" ht="17.25" hidden="1" customHeight="1">
      <c r="A55" s="970" t="str">
        <f ca="1">"checkCosts_2."&amp;F55&amp;"."&amp;Y55</f>
        <v>checkCosts_2.1.0</v>
      </c>
      <c r="B55" s="718"/>
      <c r="C55" s="1011"/>
      <c r="D55" s="1011"/>
      <c r="E55" s="623">
        <v>18</v>
      </c>
      <c r="F55" s="714" t="str">
        <f ca="1">OFFSET(G55,-1,-1)</f>
        <v>1</v>
      </c>
      <c r="G55" s="130" t="s">
        <v>1005</v>
      </c>
      <c r="H55" s="94">
        <f>AC55</f>
        <v>0</v>
      </c>
      <c r="I55" s="1018"/>
      <c r="J55" s="1018"/>
      <c r="K55" s="1018"/>
      <c r="L55" s="1018"/>
      <c r="M55" s="1018"/>
      <c r="N55" s="1018"/>
      <c r="O55" s="1018"/>
      <c r="P55" s="1018"/>
      <c r="Q55" s="130"/>
      <c r="R55" s="130"/>
      <c r="S55" s="1018"/>
      <c r="T55" s="645" t="b">
        <f ca="1">AND(F55&gt;0,Y55&gt;0)</f>
        <v>0</v>
      </c>
      <c r="U55" s="1016"/>
      <c r="V55" s="1016"/>
      <c r="W55" s="98" t="s">
        <v>170</v>
      </c>
      <c r="X55" s="1382"/>
      <c r="Y55" s="1382">
        <v>0</v>
      </c>
      <c r="Z55" s="1382"/>
      <c r="AA55" s="1483" t="s">
        <v>157</v>
      </c>
      <c r="AB55" s="222" t="str">
        <f>"2."&amp;Y55</f>
        <v>2.0</v>
      </c>
      <c r="AC55" s="368"/>
      <c r="AD55" s="214" t="s">
        <v>648</v>
      </c>
      <c r="AE55" s="1135">
        <f>AE56*AE57</f>
        <v>0</v>
      </c>
      <c r="AF55" s="11"/>
      <c r="AG55" s="11"/>
      <c r="AH55" s="1135">
        <f>AH56*AH57</f>
        <v>0</v>
      </c>
      <c r="AI55" s="217"/>
      <c r="AJ55" s="1065"/>
      <c r="AK55" s="1065"/>
      <c r="AL55" s="11"/>
      <c r="AM55" s="11"/>
      <c r="AN55" s="11"/>
      <c r="AO55" s="11"/>
      <c r="AP55" s="11"/>
      <c r="AQ55" s="11"/>
      <c r="AR55" s="11"/>
      <c r="AS55" s="1136">
        <f t="shared" ref="AS55:BB55" si="18">AS56*AS57</f>
        <v>0</v>
      </c>
      <c r="AT55" s="1136">
        <f t="shared" si="18"/>
        <v>0</v>
      </c>
      <c r="AU55" s="1136">
        <f t="shared" si="18"/>
        <v>0</v>
      </c>
      <c r="AV55" s="1135">
        <f t="shared" si="18"/>
        <v>0</v>
      </c>
      <c r="AW55" s="1135">
        <f t="shared" si="18"/>
        <v>0</v>
      </c>
      <c r="AX55" s="1135">
        <f t="shared" si="18"/>
        <v>0</v>
      </c>
      <c r="AY55" s="1135">
        <f t="shared" si="18"/>
        <v>0</v>
      </c>
      <c r="AZ55" s="1135">
        <f t="shared" si="18"/>
        <v>0</v>
      </c>
      <c r="BA55" s="1135">
        <f t="shared" si="18"/>
        <v>0</v>
      </c>
      <c r="BB55" s="1135">
        <f t="shared" si="18"/>
        <v>0</v>
      </c>
      <c r="BC55" s="22"/>
      <c r="BD55" s="160"/>
      <c r="BE55" s="160"/>
      <c r="BF55" s="934" t="s">
        <v>1006</v>
      </c>
      <c r="BG55" s="934" t="s">
        <v>1007</v>
      </c>
      <c r="BH55" s="934">
        <f>AC55</f>
        <v>0</v>
      </c>
      <c r="BI55" s="934" t="str">
        <f>AD57</f>
        <v>тыс.куб.м</v>
      </c>
      <c r="BJ55" s="935"/>
      <c r="BK55" s="935" t="b">
        <v>1</v>
      </c>
    </row>
    <row r="56" spans="1:63" s="1057" customFormat="1" ht="16.5" hidden="1" customHeight="1">
      <c r="B56" s="718"/>
      <c r="C56" s="1011"/>
      <c r="D56" s="1011"/>
      <c r="E56" s="717">
        <v>17</v>
      </c>
      <c r="F56" s="714" t="str">
        <f>F54</f>
        <v>1</v>
      </c>
      <c r="G56" s="130" t="s">
        <v>146</v>
      </c>
      <c r="H56" s="1018">
        <f>H55</f>
        <v>0</v>
      </c>
      <c r="I56" s="1018"/>
      <c r="J56" s="1018"/>
      <c r="K56" s="1018"/>
      <c r="L56" s="1018"/>
      <c r="M56" s="1018"/>
      <c r="N56" s="1018"/>
      <c r="O56" s="1018"/>
      <c r="P56" s="1018"/>
      <c r="Q56" s="130"/>
      <c r="R56" s="130"/>
      <c r="S56" s="1018"/>
      <c r="T56" s="735" t="b">
        <f ca="1">T55</f>
        <v>0</v>
      </c>
      <c r="U56" s="1016"/>
      <c r="V56" s="1016"/>
      <c r="W56" s="1016"/>
      <c r="X56" s="1382"/>
      <c r="Y56" s="1382"/>
      <c r="Z56" s="1382"/>
      <c r="AA56" s="1483"/>
      <c r="AB56" s="408" t="str">
        <f>AB55&amp;".1"</f>
        <v>2.0.1</v>
      </c>
      <c r="AC56" s="391" t="s">
        <v>759</v>
      </c>
      <c r="AD56" s="1150" t="s">
        <v>162</v>
      </c>
      <c r="AE56" s="1146"/>
      <c r="AF56" s="536">
        <f>IF(AF57=0,0,AF55/AF57)</f>
        <v>0</v>
      </c>
      <c r="AG56" s="536">
        <f>IF(AG57=0,0,AG55/AG57)</f>
        <v>0</v>
      </c>
      <c r="AH56" s="1146"/>
      <c r="AI56" s="536">
        <f t="shared" ref="AI56:AR56" si="19">IF(AI57=0,0,AI55/AI57)</f>
        <v>0</v>
      </c>
      <c r="AJ56" s="1136">
        <f t="shared" si="19"/>
        <v>0</v>
      </c>
      <c r="AK56" s="1136">
        <f t="shared" si="19"/>
        <v>0</v>
      </c>
      <c r="AL56" s="536">
        <f t="shared" si="19"/>
        <v>0</v>
      </c>
      <c r="AM56" s="536">
        <f t="shared" si="19"/>
        <v>0</v>
      </c>
      <c r="AN56" s="536">
        <f t="shared" si="19"/>
        <v>0</v>
      </c>
      <c r="AO56" s="536">
        <f t="shared" si="19"/>
        <v>0</v>
      </c>
      <c r="AP56" s="536">
        <f t="shared" si="19"/>
        <v>0</v>
      </c>
      <c r="AQ56" s="536">
        <f t="shared" si="19"/>
        <v>0</v>
      </c>
      <c r="AR56" s="536">
        <f t="shared" si="19"/>
        <v>0</v>
      </c>
      <c r="AS56" s="793"/>
      <c r="AT56" s="1065"/>
      <c r="AU56" s="1065"/>
      <c r="AV56" s="1146"/>
      <c r="AW56" s="1146"/>
      <c r="AX56" s="1146"/>
      <c r="AY56" s="1146"/>
      <c r="AZ56" s="1146"/>
      <c r="BA56" s="1146"/>
      <c r="BB56" s="1146"/>
      <c r="BC56" s="1131"/>
      <c r="BD56" s="160"/>
      <c r="BE56" s="160"/>
      <c r="BF56" s="934" t="s">
        <v>1008</v>
      </c>
      <c r="BG56" s="934" t="s">
        <v>1007</v>
      </c>
      <c r="BH56" s="934">
        <f>BH55</f>
        <v>0</v>
      </c>
      <c r="BI56" s="934" t="str">
        <f>BI55</f>
        <v>тыс.куб.м</v>
      </c>
      <c r="BJ56" s="935"/>
      <c r="BK56" s="935"/>
    </row>
    <row r="57" spans="1:63" s="1057" customFormat="1" ht="16.5" hidden="1" customHeight="1">
      <c r="A57" s="970" t="str">
        <f ca="1">"checkVolume_2."&amp;F57&amp;"."&amp;Y55</f>
        <v>checkVolume_2.1.0</v>
      </c>
      <c r="B57" s="718"/>
      <c r="C57" s="1011"/>
      <c r="D57" s="1011"/>
      <c r="E57" s="623">
        <v>17</v>
      </c>
      <c r="F57" s="714" t="str">
        <f ca="1">F55</f>
        <v>1</v>
      </c>
      <c r="G57" s="130" t="s">
        <v>146</v>
      </c>
      <c r="H57" s="94">
        <f>H55</f>
        <v>0</v>
      </c>
      <c r="I57" s="1018"/>
      <c r="J57" s="1018"/>
      <c r="K57" s="1018"/>
      <c r="L57" s="1018"/>
      <c r="M57" s="1018"/>
      <c r="N57" s="1018"/>
      <c r="O57" s="1018"/>
      <c r="P57" s="1018"/>
      <c r="Q57" s="130"/>
      <c r="R57" s="130"/>
      <c r="S57" s="1018"/>
      <c r="T57" s="645" t="b">
        <f ca="1">T55</f>
        <v>0</v>
      </c>
      <c r="U57" s="1016"/>
      <c r="V57" s="1016"/>
      <c r="W57" s="1016"/>
      <c r="X57" s="1382"/>
      <c r="Y57" s="1382"/>
      <c r="Z57" s="1382"/>
      <c r="AA57" s="1483"/>
      <c r="AB57" s="222" t="str">
        <f>AB55&amp;".2"</f>
        <v>2.0.2</v>
      </c>
      <c r="AC57" s="228" t="s">
        <v>1000</v>
      </c>
      <c r="AD57" s="49" t="s">
        <v>818</v>
      </c>
      <c r="AE57" s="11"/>
      <c r="AF57" s="11"/>
      <c r="AG57" s="11"/>
      <c r="AH57" s="11"/>
      <c r="AI57" s="217"/>
      <c r="AJ57" s="1065"/>
      <c r="AK57" s="1065"/>
      <c r="AL57" s="11"/>
      <c r="AM57" s="11"/>
      <c r="AN57" s="11"/>
      <c r="AO57" s="11"/>
      <c r="AP57" s="11"/>
      <c r="AQ57" s="11"/>
      <c r="AR57" s="11"/>
      <c r="AS57" s="217"/>
      <c r="AT57" s="1065"/>
      <c r="AU57" s="1065"/>
      <c r="AV57" s="11"/>
      <c r="AW57" s="11"/>
      <c r="AX57" s="11"/>
      <c r="AY57" s="11"/>
      <c r="AZ57" s="11"/>
      <c r="BA57" s="11"/>
      <c r="BB57" s="11"/>
      <c r="BC57" s="22"/>
      <c r="BD57" s="160"/>
      <c r="BE57" s="160"/>
      <c r="BF57" s="934" t="s">
        <v>1009</v>
      </c>
      <c r="BG57" s="934" t="s">
        <v>1007</v>
      </c>
      <c r="BH57" s="934">
        <f>BH55</f>
        <v>0</v>
      </c>
      <c r="BI57" s="934" t="str">
        <f>BI55</f>
        <v>тыс.куб.м</v>
      </c>
      <c r="BJ57" s="935"/>
      <c r="BK57" s="935"/>
    </row>
    <row r="58" spans="1:63" s="1057" customFormat="1" ht="16.5" customHeight="1">
      <c r="A58" s="1016"/>
      <c r="B58" s="718"/>
      <c r="C58" s="1011"/>
      <c r="D58" s="1011"/>
      <c r="E58" s="623">
        <v>17</v>
      </c>
      <c r="F58" s="714" t="str">
        <f>F54</f>
        <v>1</v>
      </c>
      <c r="G58" s="130" t="str">
        <f>F58&amp;"pIns5"</f>
        <v>1pIns5</v>
      </c>
      <c r="H58" s="1018"/>
      <c r="I58" s="1018"/>
      <c r="J58" s="1018"/>
      <c r="K58" s="1018"/>
      <c r="L58" s="1018"/>
      <c r="M58" s="1018"/>
      <c r="N58" s="1018"/>
      <c r="O58" s="1018"/>
      <c r="P58" s="1018"/>
      <c r="Q58" s="130"/>
      <c r="R58" s="130"/>
      <c r="S58" s="1018"/>
      <c r="T58" s="645" t="b">
        <f>F58&gt;0</f>
        <v>1</v>
      </c>
      <c r="U58" s="1016"/>
      <c r="V58" s="1016"/>
      <c r="W58" s="291" t="s">
        <v>1010</v>
      </c>
      <c r="X58" s="1382"/>
      <c r="Y58" s="1016"/>
      <c r="Z58" s="1382"/>
      <c r="AA58" s="160"/>
      <c r="AB58" s="236"/>
      <c r="AC58" s="237" t="s">
        <v>796</v>
      </c>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851"/>
      <c r="BD58" s="160"/>
      <c r="BE58" s="160"/>
      <c r="BF58" s="934" t="str">
        <f>IF(AND(ISNUMBER(VALUE(TRIM(SUBSTITUTE(AB58,".","")))),TRIM(SUBSTITUTE(AB58,".",""))&lt;&gt;""),"P"&amp;SUBSTITUTE(AB58,".",""),"")</f>
        <v/>
      </c>
      <c r="BG58" s="934"/>
      <c r="BH58" s="934"/>
      <c r="BI58" s="934"/>
      <c r="BJ58" s="935" t="s">
        <v>1007</v>
      </c>
      <c r="BK58" s="935"/>
    </row>
    <row r="59" spans="1:63" s="1057" customFormat="1" ht="16.5" customHeight="1">
      <c r="A59" s="1016"/>
      <c r="B59" s="718"/>
      <c r="C59" s="1011"/>
      <c r="D59" s="1011"/>
      <c r="E59" s="623">
        <v>17</v>
      </c>
      <c r="F59" s="714" t="str">
        <f>F58</f>
        <v>1</v>
      </c>
      <c r="G59" s="130" t="s">
        <v>1011</v>
      </c>
      <c r="H59" s="1018"/>
      <c r="I59" s="1018"/>
      <c r="J59" s="1018"/>
      <c r="K59" s="1018"/>
      <c r="L59" s="1018"/>
      <c r="M59" s="1018"/>
      <c r="N59" s="1018"/>
      <c r="O59" s="1018"/>
      <c r="P59" s="1018"/>
      <c r="Q59" s="130"/>
      <c r="R59" s="130"/>
      <c r="S59" s="1018"/>
      <c r="T59" s="645" t="b">
        <f>F59&gt;0</f>
        <v>1</v>
      </c>
      <c r="U59" s="1016"/>
      <c r="V59" s="1016"/>
      <c r="W59" s="1016"/>
      <c r="X59" s="1382"/>
      <c r="Y59" s="1016"/>
      <c r="Z59" s="1382"/>
      <c r="AA59" s="160"/>
      <c r="AB59" s="220">
        <v>3</v>
      </c>
      <c r="AC59" s="215" t="s">
        <v>1012</v>
      </c>
      <c r="AD59" s="214" t="s">
        <v>648</v>
      </c>
      <c r="AE59" s="216">
        <f t="shared" ref="AE59:BB59" si="20">SUMIF($AD60:$AD64,$AD59,AE60:AE64)</f>
        <v>0</v>
      </c>
      <c r="AF59" s="216">
        <f t="shared" si="20"/>
        <v>0</v>
      </c>
      <c r="AG59" s="216">
        <f t="shared" si="20"/>
        <v>0</v>
      </c>
      <c r="AH59" s="216">
        <f t="shared" si="20"/>
        <v>0</v>
      </c>
      <c r="AI59" s="216">
        <f t="shared" si="20"/>
        <v>0</v>
      </c>
      <c r="AJ59" s="1132">
        <f t="shared" si="20"/>
        <v>0</v>
      </c>
      <c r="AK59" s="1132">
        <f t="shared" si="20"/>
        <v>0</v>
      </c>
      <c r="AL59" s="1144">
        <f t="shared" si="20"/>
        <v>0</v>
      </c>
      <c r="AM59" s="1144">
        <f t="shared" si="20"/>
        <v>0</v>
      </c>
      <c r="AN59" s="1144">
        <f t="shared" si="20"/>
        <v>0</v>
      </c>
      <c r="AO59" s="1144">
        <f t="shared" si="20"/>
        <v>0</v>
      </c>
      <c r="AP59" s="1144">
        <f t="shared" si="20"/>
        <v>0</v>
      </c>
      <c r="AQ59" s="1144">
        <f t="shared" si="20"/>
        <v>0</v>
      </c>
      <c r="AR59" s="1144">
        <f t="shared" si="20"/>
        <v>0</v>
      </c>
      <c r="AS59" s="216">
        <f t="shared" si="20"/>
        <v>0</v>
      </c>
      <c r="AT59" s="1132">
        <f t="shared" si="20"/>
        <v>0</v>
      </c>
      <c r="AU59" s="1132">
        <f t="shared" si="20"/>
        <v>0</v>
      </c>
      <c r="AV59" s="1144">
        <f t="shared" si="20"/>
        <v>0</v>
      </c>
      <c r="AW59" s="1144">
        <f t="shared" si="20"/>
        <v>0</v>
      </c>
      <c r="AX59" s="1144">
        <f t="shared" si="20"/>
        <v>0</v>
      </c>
      <c r="AY59" s="1144">
        <f t="shared" si="20"/>
        <v>0</v>
      </c>
      <c r="AZ59" s="1144">
        <f t="shared" si="20"/>
        <v>0</v>
      </c>
      <c r="BA59" s="1144">
        <f t="shared" si="20"/>
        <v>0</v>
      </c>
      <c r="BB59" s="1144">
        <f t="shared" si="20"/>
        <v>0</v>
      </c>
      <c r="BC59" s="1106"/>
      <c r="BD59" s="160"/>
      <c r="BE59" s="160"/>
      <c r="BF59" s="934" t="s">
        <v>1013</v>
      </c>
      <c r="BG59" s="934"/>
      <c r="BH59" s="934"/>
      <c r="BI59" s="934"/>
      <c r="BJ59" s="935"/>
      <c r="BK59" s="935"/>
    </row>
    <row r="60" spans="1:63" s="1057" customFormat="1" ht="0" hidden="1" customHeight="1">
      <c r="A60" s="1016"/>
      <c r="B60" s="718"/>
      <c r="C60" s="1011"/>
      <c r="D60" s="1011"/>
      <c r="E60" s="623">
        <v>0.2</v>
      </c>
      <c r="F60" s="714" t="str">
        <f>F59</f>
        <v>1</v>
      </c>
      <c r="G60" s="1018"/>
      <c r="H60" s="1018"/>
      <c r="I60" s="1018"/>
      <c r="J60" s="1018"/>
      <c r="K60" s="1018"/>
      <c r="L60" s="1018"/>
      <c r="M60" s="1018"/>
      <c r="N60" s="1018"/>
      <c r="O60" s="1018"/>
      <c r="P60" s="1018"/>
      <c r="Q60" s="130"/>
      <c r="R60" s="130"/>
      <c r="S60" s="1018"/>
      <c r="T60" s="645" t="b">
        <v>0</v>
      </c>
      <c r="U60" s="1016"/>
      <c r="V60" s="1016"/>
      <c r="W60" s="1016"/>
      <c r="X60" s="1382"/>
      <c r="Y60" s="1016"/>
      <c r="Z60" s="1382"/>
      <c r="AA60" s="160"/>
      <c r="AB60" s="220"/>
      <c r="AC60" s="215"/>
      <c r="AD60" s="214"/>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27"/>
      <c r="BD60" s="160"/>
      <c r="BE60" s="160"/>
      <c r="BF60" s="934" t="str">
        <f>IF(AND(ISNUMBER(VALUE(TRIM(SUBSTITUTE(AB60,".","")))),TRIM(SUBSTITUTE(AB60,".",""))&lt;&gt;""),"P"&amp;SUBSTITUTE(AB60,".",""),"")</f>
        <v/>
      </c>
      <c r="BG60" s="934"/>
      <c r="BH60" s="934"/>
      <c r="BI60" s="934"/>
      <c r="BJ60" s="935"/>
      <c r="BK60" s="935"/>
    </row>
    <row r="61" spans="1:63" s="1057" customFormat="1" ht="21.75" hidden="1" customHeight="1">
      <c r="A61" s="970" t="str">
        <f ca="1">"checkCosts_3."&amp;F61&amp;"."&amp;Y61</f>
        <v>checkCosts_3.1.0</v>
      </c>
      <c r="B61" s="718"/>
      <c r="C61" s="1011"/>
      <c r="D61" s="1011"/>
      <c r="E61" s="623">
        <v>22.8</v>
      </c>
      <c r="F61" s="714" t="str">
        <f ca="1">OFFSET(G61,-1,-1)</f>
        <v>1</v>
      </c>
      <c r="G61" s="130" t="s">
        <v>1011</v>
      </c>
      <c r="H61" s="94">
        <f>AC61</f>
        <v>0</v>
      </c>
      <c r="I61" s="1018"/>
      <c r="J61" s="1018"/>
      <c r="K61" s="1018"/>
      <c r="L61" s="1018"/>
      <c r="M61" s="1018"/>
      <c r="N61" s="1018"/>
      <c r="O61" s="1018"/>
      <c r="P61" s="1018"/>
      <c r="Q61" s="130"/>
      <c r="R61" s="130"/>
      <c r="S61" s="1018"/>
      <c r="T61" s="645" t="b">
        <f ca="1">AND(F61&gt;0,Y61&gt;0)</f>
        <v>0</v>
      </c>
      <c r="U61" s="1016"/>
      <c r="V61" s="1016"/>
      <c r="W61" s="98" t="s">
        <v>170</v>
      </c>
      <c r="X61" s="1382"/>
      <c r="Y61" s="1382">
        <v>0</v>
      </c>
      <c r="Z61" s="1382"/>
      <c r="AA61" s="1483" t="s">
        <v>157</v>
      </c>
      <c r="AB61" s="222" t="str">
        <f>"3."&amp;Y61</f>
        <v>3.0</v>
      </c>
      <c r="AC61" s="5"/>
      <c r="AD61" s="214" t="s">
        <v>648</v>
      </c>
      <c r="AE61" s="1135">
        <f>AE62*AE63</f>
        <v>0</v>
      </c>
      <c r="AF61" s="11"/>
      <c r="AG61" s="11"/>
      <c r="AH61" s="1135">
        <f>AH62*AH63</f>
        <v>0</v>
      </c>
      <c r="AI61" s="217"/>
      <c r="AJ61" s="1065"/>
      <c r="AK61" s="1065"/>
      <c r="AL61" s="11"/>
      <c r="AM61" s="11"/>
      <c r="AN61" s="11"/>
      <c r="AO61" s="11"/>
      <c r="AP61" s="11"/>
      <c r="AQ61" s="11"/>
      <c r="AR61" s="11"/>
      <c r="AS61" s="1136">
        <f t="shared" ref="AS61:BB61" si="21">AS62*AS63</f>
        <v>0</v>
      </c>
      <c r="AT61" s="1136">
        <f t="shared" si="21"/>
        <v>0</v>
      </c>
      <c r="AU61" s="1136">
        <f t="shared" si="21"/>
        <v>0</v>
      </c>
      <c r="AV61" s="1135">
        <f t="shared" si="21"/>
        <v>0</v>
      </c>
      <c r="AW61" s="1135">
        <f t="shared" si="21"/>
        <v>0</v>
      </c>
      <c r="AX61" s="1135">
        <f t="shared" si="21"/>
        <v>0</v>
      </c>
      <c r="AY61" s="1135">
        <f t="shared" si="21"/>
        <v>0</v>
      </c>
      <c r="AZ61" s="1135">
        <f t="shared" si="21"/>
        <v>0</v>
      </c>
      <c r="BA61" s="1135">
        <f t="shared" si="21"/>
        <v>0</v>
      </c>
      <c r="BB61" s="1135">
        <f t="shared" si="21"/>
        <v>0</v>
      </c>
      <c r="BC61" s="22"/>
      <c r="BD61" s="160"/>
      <c r="BE61" s="160"/>
      <c r="BF61" s="934" t="s">
        <v>1014</v>
      </c>
      <c r="BG61" s="934" t="s">
        <v>1015</v>
      </c>
      <c r="BH61" s="934">
        <f>AC61</f>
        <v>0</v>
      </c>
      <c r="BI61" s="934">
        <f>AD63</f>
        <v>0</v>
      </c>
      <c r="BJ61" s="935"/>
      <c r="BK61" s="935" t="b">
        <v>1</v>
      </c>
    </row>
    <row r="62" spans="1:63" s="1057" customFormat="1" ht="16.5" hidden="1" customHeight="1">
      <c r="B62" s="718"/>
      <c r="C62" s="1011"/>
      <c r="D62" s="1011"/>
      <c r="E62" s="717">
        <v>17</v>
      </c>
      <c r="F62" s="714" t="str">
        <f>F60</f>
        <v>1</v>
      </c>
      <c r="G62" s="130" t="s">
        <v>193</v>
      </c>
      <c r="H62" s="1018">
        <f>H61</f>
        <v>0</v>
      </c>
      <c r="I62" s="1018"/>
      <c r="J62" s="1018"/>
      <c r="K62" s="1018"/>
      <c r="L62" s="1018"/>
      <c r="M62" s="1018"/>
      <c r="N62" s="1018"/>
      <c r="O62" s="1018"/>
      <c r="P62" s="1018"/>
      <c r="Q62" s="130"/>
      <c r="R62" s="130"/>
      <c r="S62" s="1018"/>
      <c r="T62" s="735" t="b">
        <f ca="1">T61</f>
        <v>0</v>
      </c>
      <c r="U62" s="1016"/>
      <c r="V62" s="1016"/>
      <c r="W62" s="1016"/>
      <c r="X62" s="1382"/>
      <c r="Y62" s="1382"/>
      <c r="Z62" s="1382"/>
      <c r="AA62" s="1483"/>
      <c r="AB62" s="408" t="str">
        <f>AB61&amp;".1"</f>
        <v>3.0.1</v>
      </c>
      <c r="AC62" s="391" t="s">
        <v>759</v>
      </c>
      <c r="AD62" s="1150" t="s">
        <v>162</v>
      </c>
      <c r="AE62" s="1146"/>
      <c r="AF62" s="536">
        <f>IF(AF63=0,0,AF61/AF63)</f>
        <v>0</v>
      </c>
      <c r="AG62" s="536">
        <f>IF(AG63=0,0,AG61/AG63)</f>
        <v>0</v>
      </c>
      <c r="AH62" s="1146"/>
      <c r="AI62" s="536">
        <f t="shared" ref="AI62:AR62" si="22">IF(AI63=0,0,AI61/AI63)</f>
        <v>0</v>
      </c>
      <c r="AJ62" s="1136">
        <f t="shared" si="22"/>
        <v>0</v>
      </c>
      <c r="AK62" s="1136">
        <f t="shared" si="22"/>
        <v>0</v>
      </c>
      <c r="AL62" s="536">
        <f t="shared" si="22"/>
        <v>0</v>
      </c>
      <c r="AM62" s="536">
        <f t="shared" si="22"/>
        <v>0</v>
      </c>
      <c r="AN62" s="536">
        <f t="shared" si="22"/>
        <v>0</v>
      </c>
      <c r="AO62" s="536">
        <f t="shared" si="22"/>
        <v>0</v>
      </c>
      <c r="AP62" s="536">
        <f t="shared" si="22"/>
        <v>0</v>
      </c>
      <c r="AQ62" s="536">
        <f t="shared" si="22"/>
        <v>0</v>
      </c>
      <c r="AR62" s="536">
        <f t="shared" si="22"/>
        <v>0</v>
      </c>
      <c r="AS62" s="793"/>
      <c r="AT62" s="1065"/>
      <c r="AU62" s="1065"/>
      <c r="AV62" s="1146"/>
      <c r="AW62" s="1146"/>
      <c r="AX62" s="1146"/>
      <c r="AY62" s="1146"/>
      <c r="AZ62" s="1146"/>
      <c r="BA62" s="1146"/>
      <c r="BB62" s="1146"/>
      <c r="BC62" s="1131"/>
      <c r="BD62" s="160"/>
      <c r="BE62" s="160"/>
      <c r="BF62" s="934" t="s">
        <v>1016</v>
      </c>
      <c r="BG62" s="934" t="s">
        <v>1015</v>
      </c>
      <c r="BH62" s="934">
        <f>BH61</f>
        <v>0</v>
      </c>
      <c r="BI62" s="934">
        <f>BI61</f>
        <v>0</v>
      </c>
      <c r="BJ62" s="935"/>
      <c r="BK62" s="935"/>
    </row>
    <row r="63" spans="1:63" s="1057" customFormat="1" ht="16.5" hidden="1" customHeight="1">
      <c r="A63" s="970" t="str">
        <f ca="1">"checkVolume_3."&amp;F63&amp;"."&amp;Y61</f>
        <v>checkVolume_3.1.0</v>
      </c>
      <c r="B63" s="718"/>
      <c r="C63" s="1011"/>
      <c r="D63" s="1011"/>
      <c r="E63" s="623">
        <v>17</v>
      </c>
      <c r="F63" s="714" t="str">
        <f ca="1">F61</f>
        <v>1</v>
      </c>
      <c r="G63" s="130" t="s">
        <v>193</v>
      </c>
      <c r="H63" s="94">
        <f>H61</f>
        <v>0</v>
      </c>
      <c r="I63" s="1018"/>
      <c r="J63" s="1018"/>
      <c r="K63" s="1018"/>
      <c r="L63" s="1018"/>
      <c r="M63" s="1018"/>
      <c r="N63" s="1018"/>
      <c r="O63" s="1018"/>
      <c r="P63" s="1018"/>
      <c r="Q63" s="130"/>
      <c r="R63" s="130"/>
      <c r="S63" s="1018"/>
      <c r="T63" s="645" t="b">
        <f ca="1">T61</f>
        <v>0</v>
      </c>
      <c r="U63" s="1016"/>
      <c r="V63" s="1016"/>
      <c r="W63" s="1016"/>
      <c r="X63" s="1382"/>
      <c r="Y63" s="1382"/>
      <c r="Z63" s="1382"/>
      <c r="AA63" s="1483"/>
      <c r="AB63" s="222" t="str">
        <f>AB61&amp;".2"</f>
        <v>3.0.2</v>
      </c>
      <c r="AC63" s="228" t="s">
        <v>1000</v>
      </c>
      <c r="AD63" s="49"/>
      <c r="AE63" s="11"/>
      <c r="AF63" s="11"/>
      <c r="AG63" s="11"/>
      <c r="AH63" s="11"/>
      <c r="AI63" s="217"/>
      <c r="AJ63" s="1065"/>
      <c r="AK63" s="1065"/>
      <c r="AL63" s="11"/>
      <c r="AM63" s="11"/>
      <c r="AN63" s="11"/>
      <c r="AO63" s="11"/>
      <c r="AP63" s="11"/>
      <c r="AQ63" s="11"/>
      <c r="AR63" s="11"/>
      <c r="AS63" s="217"/>
      <c r="AT63" s="1065"/>
      <c r="AU63" s="1065"/>
      <c r="AV63" s="11"/>
      <c r="AW63" s="11"/>
      <c r="AX63" s="11"/>
      <c r="AY63" s="11"/>
      <c r="AZ63" s="11"/>
      <c r="BA63" s="11"/>
      <c r="BB63" s="11"/>
      <c r="BC63" s="22"/>
      <c r="BD63" s="160"/>
      <c r="BE63" s="160"/>
      <c r="BF63" s="934" t="s">
        <v>1017</v>
      </c>
      <c r="BG63" s="934" t="s">
        <v>1015</v>
      </c>
      <c r="BH63" s="934">
        <f>BH61</f>
        <v>0</v>
      </c>
      <c r="BI63" s="934">
        <f>BI61</f>
        <v>0</v>
      </c>
      <c r="BJ63" s="935"/>
      <c r="BK63" s="935"/>
    </row>
    <row r="64" spans="1:63" s="1057" customFormat="1" ht="16.5" customHeight="1">
      <c r="A64" s="1016"/>
      <c r="B64" s="718"/>
      <c r="C64" s="1011"/>
      <c r="D64" s="1011"/>
      <c r="E64" s="623">
        <v>17</v>
      </c>
      <c r="F64" s="714" t="str">
        <f>F60</f>
        <v>1</v>
      </c>
      <c r="G64" s="130" t="str">
        <f>F64&amp;"pIns5"</f>
        <v>1pIns5</v>
      </c>
      <c r="H64" s="1018"/>
      <c r="I64" s="1018"/>
      <c r="J64" s="1018"/>
      <c r="K64" s="1018"/>
      <c r="L64" s="1018"/>
      <c r="M64" s="1018"/>
      <c r="N64" s="1018"/>
      <c r="O64" s="1018"/>
      <c r="P64" s="1018"/>
      <c r="Q64" s="130"/>
      <c r="R64" s="130"/>
      <c r="S64" s="1018"/>
      <c r="T64" s="645" t="b">
        <f>F64&gt;0</f>
        <v>1</v>
      </c>
      <c r="U64" s="1016"/>
      <c r="V64" s="1016"/>
      <c r="W64" s="291" t="s">
        <v>1018</v>
      </c>
      <c r="X64" s="1382"/>
      <c r="Y64" s="1016"/>
      <c r="Z64" s="1382"/>
      <c r="AA64" s="160"/>
      <c r="AB64" s="236"/>
      <c r="AC64" s="237" t="s">
        <v>796</v>
      </c>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c r="AZ64" s="237"/>
      <c r="BA64" s="237"/>
      <c r="BB64" s="237"/>
      <c r="BC64" s="851"/>
      <c r="BD64" s="160"/>
      <c r="BE64" s="160"/>
      <c r="BF64" s="934"/>
      <c r="BG64" s="934"/>
      <c r="BH64" s="934"/>
      <c r="BI64" s="934"/>
      <c r="BJ64" s="935" t="s">
        <v>1015</v>
      </c>
      <c r="BK64" s="935"/>
    </row>
    <row r="65" spans="1:63" ht="16.5" customHeight="1">
      <c r="E65" s="623">
        <v>17</v>
      </c>
      <c r="U65" s="116" t="s">
        <v>172</v>
      </c>
      <c r="V65" s="109" t="s">
        <v>1019</v>
      </c>
    </row>
    <row r="66" spans="1:63" ht="11.25" hidden="1" customHeight="1">
      <c r="E66" s="623">
        <v>0</v>
      </c>
      <c r="AB66" s="139"/>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row>
    <row r="67" spans="1:63" s="394" customFormat="1" ht="14.65" customHeight="1">
      <c r="A67" s="113"/>
      <c r="B67" s="614"/>
      <c r="C67" s="113"/>
      <c r="D67" s="113"/>
      <c r="E67" s="623">
        <v>15</v>
      </c>
      <c r="F67" s="113"/>
      <c r="Q67" s="566"/>
      <c r="R67" s="566"/>
      <c r="T67" s="113"/>
      <c r="U67" s="113"/>
      <c r="V67" s="113"/>
      <c r="W67" s="113"/>
      <c r="X67" s="113"/>
      <c r="Y67" s="113"/>
      <c r="Z67" s="113"/>
      <c r="AB67" s="1476" t="s">
        <v>557</v>
      </c>
      <c r="AC67" s="1476"/>
      <c r="AD67" s="1476"/>
      <c r="AE67" s="1476"/>
      <c r="AF67" s="1476"/>
      <c r="AG67" s="1476"/>
      <c r="AH67" s="1476"/>
      <c r="AI67" s="1477"/>
      <c r="AJ67" s="1477"/>
      <c r="AK67" s="1477"/>
      <c r="AL67" s="1477"/>
      <c r="AM67" s="1477"/>
      <c r="AN67" s="1477"/>
      <c r="AO67" s="1477"/>
      <c r="AP67" s="1477"/>
      <c r="AQ67" s="1477"/>
      <c r="AR67" s="1477"/>
      <c r="AS67" s="1477"/>
      <c r="AT67" s="1477"/>
      <c r="AU67" s="1477"/>
      <c r="AV67" s="1477"/>
      <c r="AW67" s="1477"/>
      <c r="AX67" s="1477"/>
      <c r="AY67" s="1477"/>
      <c r="AZ67" s="1477"/>
      <c r="BA67" s="1477"/>
      <c r="BB67" s="1477"/>
      <c r="BC67" s="1477"/>
      <c r="BF67" s="938"/>
      <c r="BG67" s="938"/>
      <c r="BH67" s="938"/>
      <c r="BI67" s="938"/>
      <c r="BJ67" s="939"/>
      <c r="BK67" s="939"/>
    </row>
    <row r="68" spans="1:63" s="394" customFormat="1" ht="14.65" customHeight="1">
      <c r="A68" s="113"/>
      <c r="B68" s="614"/>
      <c r="C68" s="113"/>
      <c r="D68" s="113"/>
      <c r="E68" s="623">
        <v>15</v>
      </c>
      <c r="F68" s="113"/>
      <c r="Q68" s="566"/>
      <c r="R68" s="566"/>
      <c r="T68" s="113"/>
      <c r="U68" s="113"/>
      <c r="V68" s="113"/>
      <c r="W68" s="113"/>
      <c r="X68" s="113"/>
      <c r="Y68" s="113"/>
      <c r="Z68" s="113"/>
      <c r="AA68" s="713"/>
      <c r="AB68" s="1478"/>
      <c r="AC68" s="1478"/>
      <c r="AD68" s="1478"/>
      <c r="AE68" s="1478"/>
      <c r="AF68" s="1478"/>
      <c r="AG68" s="1478"/>
      <c r="AH68" s="1478"/>
      <c r="AI68" s="1479"/>
      <c r="AJ68" s="1480"/>
      <c r="AK68" s="1480"/>
      <c r="AL68" s="1480"/>
      <c r="AM68" s="1480"/>
      <c r="AN68" s="1480"/>
      <c r="AO68" s="1480"/>
      <c r="AP68" s="1480"/>
      <c r="AQ68" s="1480"/>
      <c r="AR68" s="1480"/>
      <c r="AS68" s="1479"/>
      <c r="AT68" s="1480"/>
      <c r="AU68" s="1480"/>
      <c r="AV68" s="1480"/>
      <c r="AW68" s="1480"/>
      <c r="AX68" s="1480"/>
      <c r="AY68" s="1480"/>
      <c r="AZ68" s="1480"/>
      <c r="BA68" s="1480"/>
      <c r="BB68" s="1480"/>
      <c r="BC68" s="1479"/>
      <c r="BF68" s="938"/>
      <c r="BG68" s="938"/>
      <c r="BH68" s="938"/>
      <c r="BI68" s="938"/>
      <c r="BJ68" s="939"/>
      <c r="BK68" s="939"/>
    </row>
    <row r="69" spans="1:63" s="394" customFormat="1" ht="14.65" hidden="1" customHeight="1">
      <c r="A69" s="113"/>
      <c r="B69" s="614"/>
      <c r="C69" s="113"/>
      <c r="D69" s="113"/>
      <c r="E69" s="623">
        <v>15</v>
      </c>
      <c r="F69" s="113"/>
      <c r="Q69" s="566"/>
      <c r="R69" s="566"/>
      <c r="T69" s="634" t="b">
        <f>ROW(W69)&gt;ROW(W$69)</f>
        <v>0</v>
      </c>
      <c r="U69" s="113"/>
      <c r="V69" s="116"/>
      <c r="W69" s="113" t="s">
        <v>170</v>
      </c>
      <c r="X69" s="113"/>
      <c r="Y69" s="113"/>
      <c r="Z69" s="113"/>
      <c r="AA69" s="709" t="s">
        <v>157</v>
      </c>
      <c r="AB69" s="1484"/>
      <c r="AC69" s="1484"/>
      <c r="AD69" s="1484"/>
      <c r="AE69" s="1484"/>
      <c r="AF69" s="1484"/>
      <c r="AG69" s="1484"/>
      <c r="AH69" s="1484"/>
      <c r="AI69" s="1479"/>
      <c r="AJ69" s="1480"/>
      <c r="AK69" s="1480"/>
      <c r="AL69" s="1480"/>
      <c r="AM69" s="1480"/>
      <c r="AN69" s="1480"/>
      <c r="AO69" s="1480"/>
      <c r="AP69" s="1480"/>
      <c r="AQ69" s="1480"/>
      <c r="AR69" s="1480"/>
      <c r="AS69" s="1479"/>
      <c r="AT69" s="1480"/>
      <c r="AU69" s="1480"/>
      <c r="AV69" s="1480"/>
      <c r="AW69" s="1480"/>
      <c r="AX69" s="1480"/>
      <c r="AY69" s="1480"/>
      <c r="AZ69" s="1480"/>
      <c r="BA69" s="1480"/>
      <c r="BB69" s="1480"/>
      <c r="BC69" s="1480"/>
      <c r="BF69" s="938"/>
      <c r="BG69" s="938"/>
      <c r="BH69" s="938"/>
      <c r="BI69" s="938"/>
      <c r="BJ69" s="939"/>
      <c r="BK69" s="939"/>
    </row>
    <row r="70" spans="1:63" s="394" customFormat="1" ht="14.65" customHeight="1">
      <c r="A70" s="113"/>
      <c r="B70" s="614"/>
      <c r="C70" s="113"/>
      <c r="D70" s="113"/>
      <c r="E70" s="623">
        <v>15</v>
      </c>
      <c r="F70" s="113"/>
      <c r="Q70" s="566"/>
      <c r="R70" s="566"/>
      <c r="T70" s="113"/>
      <c r="U70" s="113"/>
      <c r="V70" s="113"/>
      <c r="W70" s="109" t="s">
        <v>1020</v>
      </c>
      <c r="X70" s="113"/>
      <c r="Y70" s="113"/>
      <c r="Z70" s="113"/>
      <c r="AB70" s="1420" t="s">
        <v>558</v>
      </c>
      <c r="AC70" s="1421"/>
      <c r="AD70" s="299"/>
      <c r="AE70" s="299"/>
      <c r="AF70" s="300"/>
      <c r="AG70" s="300"/>
      <c r="AH70" s="300"/>
      <c r="AI70" s="300"/>
      <c r="AJ70" s="300"/>
      <c r="AK70" s="300"/>
      <c r="AL70" s="300"/>
      <c r="AM70" s="300"/>
      <c r="AN70" s="300"/>
      <c r="AO70" s="300"/>
      <c r="AP70" s="300"/>
      <c r="AQ70" s="300"/>
      <c r="AR70" s="300"/>
      <c r="AS70" s="300"/>
      <c r="AT70" s="300"/>
      <c r="AU70" s="300"/>
      <c r="AV70" s="300"/>
      <c r="AW70" s="300"/>
      <c r="AX70" s="300"/>
      <c r="AY70" s="300"/>
      <c r="AZ70" s="300"/>
      <c r="BA70" s="300"/>
      <c r="BB70" s="300"/>
      <c r="BC70" s="301"/>
      <c r="BF70" s="938"/>
      <c r="BG70" s="938"/>
      <c r="BH70" s="938"/>
      <c r="BI70" s="938"/>
      <c r="BJ70" s="939"/>
      <c r="BK70" s="939"/>
    </row>
  </sheetData>
  <sheetProtection formatColumns="0" formatRows="0" insertRows="0" deleteColumns="0" deleteRows="0" sort="0" autoFilter="0"/>
  <mergeCells count="24">
    <mergeCell ref="X46:X64"/>
    <mergeCell ref="Y49:Y51"/>
    <mergeCell ref="Y55:Y57"/>
    <mergeCell ref="Y61:Y63"/>
    <mergeCell ref="Z46:Z64"/>
    <mergeCell ref="X27:X45"/>
    <mergeCell ref="Y30:Y32"/>
    <mergeCell ref="Y36:Y38"/>
    <mergeCell ref="Y42:Y44"/>
    <mergeCell ref="Z27:Z45"/>
    <mergeCell ref="AB69:BC69"/>
    <mergeCell ref="AB70:AC70"/>
    <mergeCell ref="AB67:BC67"/>
    <mergeCell ref="AB68:BC68"/>
    <mergeCell ref="AA36:AA38"/>
    <mergeCell ref="AA42:AA44"/>
    <mergeCell ref="AA49:AA51"/>
    <mergeCell ref="AA55:AA57"/>
    <mergeCell ref="AA61:AA63"/>
    <mergeCell ref="AB24:AB25"/>
    <mergeCell ref="AC24:AC25"/>
    <mergeCell ref="AD24:AD25"/>
    <mergeCell ref="BC24:BC25"/>
    <mergeCell ref="AA30:AA32"/>
  </mergeCells>
  <dataValidations count="1">
    <dataValidation type="decimal" allowBlank="1" showErrorMessage="1" errorTitle="Ошибка" error="Допускается ввод только неотрицательных чисел!" sqref="AE30:BB32 AE42:BB44 AE36:BB38 AE49:AE50 AF49:AF50 AG49:AG50 AH49:AH50 AI49:AI50 AJ49:AJ50 AK49:AK50 AL49:AL50 AM49:AM50 AN49:AN50 AO49:AO50 AP49:AP50 AQ49:AQ50 AR49:AR50 AS49:AS50 AT49:AT50 AU49:AU50 AV49:AV50 AW49:AW50 AX49:AX50 AY49:AY50 AZ49:AZ50 BA49:BA50 BB49:BB50 AE51 AF51 AG51 AH51 AI51 AJ51 AK51 AL51 AM51 AN51 AO51 AP51 AQ51 AR51 AS51 AT51 AU51 AV51 AW51 AX51 AY51 AZ51 BA51 BB51 AE55:AE56 AF55:AF56 AG55:AG56 AH55:AH56 AI55:AI56 AJ55:AJ56 AK55:AK56 AL55:AL56 AM55:AM56 AN55:AN56 AO55:AO56 AP55:AP56 AQ55:AQ56 AR55:AR56 AS55:AS56 AT55:AT56 AU55:AU56 AV55:AV56 AW55:AW56 AX55:AX56 AY55:AY56 AZ55:AZ56 BA55:BA56 BB55:BB56 AE57 AF57 AG57 AH57 AI57 AJ57 AK57 AL57 AM57 AN57 AO57 AP57 AQ57 AR57 AS57 AT57 AU57 AV57 AW57 AX57 AY57 AZ57 BA57 BB57 AE61:AE62 AF61:AF62 AG61:AG62 AH61:AH62 AI61:AI62 AJ61:AJ62 AK61:AK62 AL61:AL62 AM61:AM62 AN61:AN62 AO61:AO62 AP61:AP62 AQ61:AQ62 AR61:AR62 AS61:AS62 AT61:AT62 AU61:AU62 AV61:AV62 AW61:AW62 AX61:AX62 AY61:AY62 AZ61:AZ62 BA61:BA62 BB61:BB62 AE63 AF63 AG63 AH63 AI63 AJ63 AK63 AL63 AM63 AN63 AO63 AP63 AQ63 AR63 AS63 AT63 AU63 AV63 AW63 AX63 AY63 AZ63 BA63 BB63">
      <formula1>0</formula1>
      <formula2>9.99999999999999E+23</formula2>
    </dataValidation>
  </dataValidations>
  <pageMargins left="0.35" right="0.35" top="0.4" bottom="0.4" header="0.31" footer="0.31"/>
  <pageSetup paperSize="9" scale="46" orientation="portrait"/>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pageSetUpPr fitToPage="1"/>
  </sheetPr>
  <dimension ref="A1:AR83"/>
  <sheetViews>
    <sheetView showGridLines="0" workbookViewId="0">
      <pane xSplit="30" ySplit="25" topLeftCell="AE26" activePane="bottomRight" state="frozen"/>
      <selection pane="topRight" activeCell="AE1" sqref="AE1"/>
      <selection pane="bottomLeft" activeCell="A26" sqref="A26"/>
      <selection pane="bottomRight" activeCell="AA21" sqref="AA21"/>
    </sheetView>
  </sheetViews>
  <sheetFormatPr defaultColWidth="9.140625" defaultRowHeight="11.25" customHeight="1"/>
  <cols>
    <col min="1" max="1" width="3.5703125" style="1012" hidden="1" customWidth="1"/>
    <col min="2" max="2" width="8.5703125" style="718" hidden="1" customWidth="1"/>
    <col min="3" max="4" width="3.5703125" style="1012" hidden="1" customWidth="1"/>
    <col min="5" max="5" width="8.42578125" style="717" hidden="1" customWidth="1"/>
    <col min="6" max="6" width="3.5703125" style="1012" hidden="1" customWidth="1"/>
    <col min="7" max="16" width="3.5703125" style="394" hidden="1" customWidth="1"/>
    <col min="17" max="18" width="3.5703125" style="719" hidden="1" customWidth="1"/>
    <col min="19" max="19" width="3.5703125" style="394" hidden="1" customWidth="1"/>
    <col min="20" max="20" width="8.5703125" style="1012" hidden="1" customWidth="1"/>
    <col min="21" max="21" width="6" style="1012" hidden="1" customWidth="1"/>
    <col min="22" max="23" width="6.28515625" style="1012" hidden="1" customWidth="1"/>
    <col min="24" max="25" width="5.7109375" style="1012" hidden="1" customWidth="1"/>
    <col min="26" max="26" width="5.42578125" style="1012" hidden="1" customWidth="1"/>
    <col min="27" max="27" width="3" style="394" customWidth="1"/>
    <col min="28" max="28" width="5.140625" style="394" customWidth="1"/>
    <col min="29" max="29" width="56.7109375" style="394" customWidth="1"/>
    <col min="30" max="30" width="12.140625" style="394" customWidth="1"/>
    <col min="31" max="36" width="13.140625" style="394" customWidth="1"/>
    <col min="37" max="37" width="30.7109375" style="394" customWidth="1"/>
    <col min="38" max="38" width="3" style="394" customWidth="1"/>
    <col min="39" max="39" width="9.140625" style="394" hidden="1"/>
    <col min="40" max="40" width="26.28515625" style="930" hidden="1" customWidth="1"/>
    <col min="41" max="41" width="11.7109375" style="930" hidden="1" customWidth="1"/>
    <col min="42" max="42" width="11.28515625" style="930" hidden="1" customWidth="1"/>
    <col min="43" max="43" width="16.140625" style="940" hidden="1" customWidth="1"/>
    <col min="44" max="44" width="9.140625" style="940" hidden="1"/>
  </cols>
  <sheetData>
    <row r="1" spans="1:44" s="1012" customFormat="1" ht="12" hidden="1" customHeight="1">
      <c r="B1" s="614"/>
      <c r="E1" s="614"/>
      <c r="F1" s="634" t="s">
        <v>77</v>
      </c>
      <c r="G1" s="150"/>
      <c r="H1" s="150"/>
      <c r="I1" s="150"/>
      <c r="J1" s="150"/>
      <c r="K1" s="150"/>
      <c r="L1" s="150"/>
      <c r="M1" s="150"/>
      <c r="N1" s="150"/>
      <c r="O1" s="150"/>
      <c r="P1" s="150"/>
      <c r="Q1" s="566"/>
      <c r="R1" s="566"/>
      <c r="S1" s="150"/>
      <c r="T1" s="634" t="s">
        <v>78</v>
      </c>
      <c r="U1" s="634" t="s">
        <v>83</v>
      </c>
      <c r="V1" s="634" t="s">
        <v>79</v>
      </c>
      <c r="W1" s="634" t="s">
        <v>80</v>
      </c>
      <c r="X1" s="634" t="s">
        <v>81</v>
      </c>
      <c r="Y1" s="645" t="s">
        <v>274</v>
      </c>
      <c r="Z1" s="634" t="s">
        <v>85</v>
      </c>
      <c r="AA1" s="645" t="s">
        <v>82</v>
      </c>
      <c r="AB1" s="645" t="s">
        <v>84</v>
      </c>
      <c r="AC1" s="645" t="s">
        <v>84</v>
      </c>
      <c r="AN1" s="912" t="s">
        <v>275</v>
      </c>
      <c r="AO1" s="912" t="s">
        <v>276</v>
      </c>
      <c r="AP1" s="912" t="s">
        <v>277</v>
      </c>
      <c r="AQ1" s="915" t="s">
        <v>280</v>
      </c>
      <c r="AR1" s="915" t="s">
        <v>281</v>
      </c>
    </row>
    <row r="2" spans="1:44" s="718" customFormat="1" ht="12" hidden="1" customHeight="1">
      <c r="B2" s="703" t="s">
        <v>15</v>
      </c>
      <c r="G2" s="721"/>
      <c r="H2" s="721"/>
      <c r="I2" s="721"/>
      <c r="J2" s="721"/>
      <c r="K2" s="721"/>
      <c r="L2" s="721"/>
      <c r="M2" s="721"/>
      <c r="N2" s="721"/>
      <c r="O2" s="721"/>
      <c r="P2" s="721"/>
      <c r="Q2" s="721"/>
      <c r="R2" s="721"/>
      <c r="S2" s="721"/>
      <c r="AI2" s="635" t="b">
        <f>AI6&lt;=last_year_vis</f>
        <v>1</v>
      </c>
      <c r="AJ2" s="635" t="b">
        <f>AJ6&lt;=last_year_vis</f>
        <v>1</v>
      </c>
      <c r="AN2" s="905"/>
      <c r="AO2" s="905"/>
      <c r="AP2" s="905"/>
      <c r="AQ2" s="916"/>
      <c r="AR2" s="916"/>
    </row>
    <row r="3" spans="1:44" s="1012" customFormat="1" ht="12" hidden="1" customHeight="1">
      <c r="B3" s="614"/>
      <c r="E3" s="614"/>
      <c r="G3" s="150"/>
      <c r="H3" s="150"/>
      <c r="I3" s="150"/>
      <c r="J3" s="150"/>
      <c r="K3" s="150"/>
      <c r="L3" s="150"/>
      <c r="M3" s="150"/>
      <c r="N3" s="150"/>
      <c r="O3" s="150"/>
      <c r="P3" s="150"/>
      <c r="Q3" s="566"/>
      <c r="R3" s="566"/>
      <c r="S3" s="150"/>
      <c r="AN3" s="912"/>
      <c r="AO3" s="912"/>
      <c r="AP3" s="912"/>
      <c r="AQ3" s="915"/>
      <c r="AR3" s="915"/>
    </row>
    <row r="4" spans="1:44" s="1012" customFormat="1" ht="12" hidden="1" customHeight="1">
      <c r="B4" s="614"/>
      <c r="E4" s="614"/>
      <c r="G4" s="150"/>
      <c r="H4" s="150"/>
      <c r="I4" s="150"/>
      <c r="J4" s="150"/>
      <c r="K4" s="150"/>
      <c r="L4" s="150"/>
      <c r="M4" s="150"/>
      <c r="N4" s="150"/>
      <c r="O4" s="150"/>
      <c r="P4" s="150"/>
      <c r="Q4" s="566"/>
      <c r="R4" s="566"/>
      <c r="S4" s="150"/>
      <c r="AN4" s="912"/>
      <c r="AO4" s="912"/>
      <c r="AP4" s="912"/>
      <c r="AQ4" s="915"/>
      <c r="AR4" s="915"/>
    </row>
    <row r="5" spans="1:44" s="717" customFormat="1" ht="12" hidden="1" customHeight="1">
      <c r="A5" s="614"/>
      <c r="B5" s="614"/>
      <c r="C5" s="614"/>
      <c r="D5" s="614"/>
      <c r="E5" s="623" t="s">
        <v>16</v>
      </c>
      <c r="G5" s="722"/>
      <c r="H5" s="722"/>
      <c r="I5" s="722"/>
      <c r="J5" s="722"/>
      <c r="K5" s="722"/>
      <c r="L5" s="722"/>
      <c r="M5" s="722"/>
      <c r="N5" s="722"/>
      <c r="O5" s="722"/>
      <c r="P5" s="722"/>
      <c r="Q5" s="722"/>
      <c r="R5" s="722"/>
      <c r="S5" s="722"/>
      <c r="AA5" s="623">
        <v>3</v>
      </c>
      <c r="AB5" s="623">
        <v>5.13</v>
      </c>
      <c r="AC5" s="623">
        <v>56.75</v>
      </c>
      <c r="AD5" s="623">
        <v>12.13</v>
      </c>
      <c r="AE5" s="623">
        <v>13.13</v>
      </c>
      <c r="AF5" s="623">
        <v>13.13</v>
      </c>
      <c r="AG5" s="623">
        <v>13.13</v>
      </c>
      <c r="AH5" s="623">
        <v>13.13</v>
      </c>
      <c r="AI5" s="623">
        <v>13.13</v>
      </c>
      <c r="AJ5" s="623">
        <v>13.13</v>
      </c>
      <c r="AK5" s="623">
        <v>30.75</v>
      </c>
      <c r="AL5" s="623">
        <v>3</v>
      </c>
      <c r="AN5" s="905"/>
      <c r="AO5" s="905"/>
      <c r="AP5" s="905"/>
      <c r="AQ5" s="916"/>
      <c r="AR5" s="916"/>
    </row>
    <row r="6" spans="1:44" s="1012" customFormat="1" ht="12" hidden="1" customHeight="1">
      <c r="B6" s="614"/>
      <c r="E6" s="623"/>
      <c r="G6" s="150"/>
      <c r="H6" s="150"/>
      <c r="I6" s="150"/>
      <c r="J6" s="150"/>
      <c r="K6" s="150"/>
      <c r="L6" s="150"/>
      <c r="M6" s="150"/>
      <c r="N6" s="150"/>
      <c r="O6" s="150"/>
      <c r="P6" s="150"/>
      <c r="Q6" s="566"/>
      <c r="R6" s="566"/>
      <c r="S6" s="150"/>
      <c r="AE6" s="113">
        <f>god-2</f>
        <v>2024</v>
      </c>
      <c r="AF6" s="113">
        <f>god-2</f>
        <v>2024</v>
      </c>
      <c r="AG6" s="113">
        <f>god-2</f>
        <v>2024</v>
      </c>
      <c r="AH6" s="113">
        <f>god-1</f>
        <v>2025</v>
      </c>
      <c r="AI6" s="113">
        <f>god</f>
        <v>2026</v>
      </c>
      <c r="AJ6" s="113">
        <f>god</f>
        <v>2026</v>
      </c>
      <c r="AK6" s="120"/>
      <c r="AN6" s="912"/>
      <c r="AO6" s="912"/>
      <c r="AP6" s="912"/>
      <c r="AQ6" s="915"/>
      <c r="AR6" s="915"/>
    </row>
    <row r="7" spans="1:44" ht="12" hidden="1" customHeight="1">
      <c r="F7" s="150"/>
      <c r="T7" s="150"/>
      <c r="U7" s="150"/>
      <c r="V7" s="150"/>
      <c r="W7" s="150"/>
      <c r="X7" s="150"/>
      <c r="Y7" s="150"/>
      <c r="Z7" s="150"/>
      <c r="AE7" s="150" t="str">
        <f t="shared" ref="AE7:AJ7" si="0">AE25</f>
        <v>Принято органом регулирования</v>
      </c>
      <c r="AF7" s="150" t="str">
        <f t="shared" si="0"/>
        <v>Факт по данным организации</v>
      </c>
      <c r="AG7" s="150" t="str">
        <f t="shared" si="0"/>
        <v>Факт, принятый органом регулирования</v>
      </c>
      <c r="AH7" s="150" t="str">
        <f t="shared" si="0"/>
        <v>Принято органом регулирования</v>
      </c>
      <c r="AI7" s="150" t="str">
        <f t="shared" si="0"/>
        <v>Предложение организации</v>
      </c>
      <c r="AJ7" s="150" t="str">
        <f t="shared" si="0"/>
        <v>Принято органом регулирования</v>
      </c>
    </row>
    <row r="8" spans="1:44" ht="12" hidden="1" customHeight="1">
      <c r="F8" s="150"/>
      <c r="T8" s="150"/>
      <c r="U8" s="150"/>
      <c r="V8" s="150"/>
      <c r="W8" s="150"/>
      <c r="X8" s="150"/>
      <c r="Y8" s="150"/>
      <c r="Z8" s="150"/>
      <c r="AE8" s="150" t="str">
        <f t="shared" ref="AE8:AJ8" si="1">AE6&amp;AE7</f>
        <v>2024Принято органом регулирования</v>
      </c>
      <c r="AF8" s="150" t="str">
        <f t="shared" si="1"/>
        <v>2024Факт по данным организации</v>
      </c>
      <c r="AG8" s="150" t="str">
        <f t="shared" si="1"/>
        <v>2024Факт, принятый органом регулирования</v>
      </c>
      <c r="AH8" s="150" t="str">
        <f t="shared" si="1"/>
        <v>2025Принято органом регулирования</v>
      </c>
      <c r="AI8" s="150" t="str">
        <f t="shared" si="1"/>
        <v>2026Предложение организации</v>
      </c>
      <c r="AJ8" s="150" t="str">
        <f t="shared" si="1"/>
        <v>2026Принято органом регулирования</v>
      </c>
    </row>
    <row r="9" spans="1:44" s="928" customFormat="1" ht="12" hidden="1" customHeight="1">
      <c r="A9" s="890" t="s">
        <v>327</v>
      </c>
      <c r="B9" s="878"/>
      <c r="E9" s="878"/>
      <c r="Q9" s="892"/>
      <c r="R9" s="892"/>
      <c r="AE9" s="891">
        <f>god-2</f>
        <v>2024</v>
      </c>
      <c r="AF9" s="891">
        <f>god-2</f>
        <v>2024</v>
      </c>
      <c r="AG9" s="891">
        <f>god-2</f>
        <v>2024</v>
      </c>
      <c r="AH9" s="891">
        <f>god-1</f>
        <v>2025</v>
      </c>
      <c r="AI9" s="891">
        <f>god</f>
        <v>2026</v>
      </c>
      <c r="AJ9" s="891">
        <f>god</f>
        <v>2026</v>
      </c>
      <c r="AN9" s="912"/>
      <c r="AO9" s="912"/>
      <c r="AP9" s="912"/>
      <c r="AQ9" s="915"/>
      <c r="AR9" s="915"/>
    </row>
    <row r="10" spans="1:44" s="928" customFormat="1" ht="12" hidden="1" customHeight="1">
      <c r="A10" s="890" t="s">
        <v>328</v>
      </c>
      <c r="B10" s="878"/>
      <c r="E10" s="878"/>
      <c r="Q10" s="892"/>
      <c r="R10" s="892"/>
      <c r="AE10" s="891" t="str">
        <f t="shared" ref="AE10:AJ10" si="2">AE25</f>
        <v>Принято органом регулирования</v>
      </c>
      <c r="AF10" s="891" t="str">
        <f t="shared" si="2"/>
        <v>Факт по данным организации</v>
      </c>
      <c r="AG10" s="891" t="str">
        <f t="shared" si="2"/>
        <v>Факт, принятый органом регулирования</v>
      </c>
      <c r="AH10" s="891" t="str">
        <f t="shared" si="2"/>
        <v>Принято органом регулирования</v>
      </c>
      <c r="AI10" s="891" t="str">
        <f t="shared" si="2"/>
        <v>Предложение организации</v>
      </c>
      <c r="AJ10" s="891" t="str">
        <f t="shared" si="2"/>
        <v>Принято органом регулирования</v>
      </c>
      <c r="AN10" s="912"/>
      <c r="AO10" s="912"/>
      <c r="AP10" s="912"/>
      <c r="AQ10" s="915"/>
      <c r="AR10" s="915"/>
    </row>
    <row r="11" spans="1:44" s="931" customFormat="1" ht="12" hidden="1" customHeight="1">
      <c r="A11" s="890" t="s">
        <v>329</v>
      </c>
      <c r="B11" s="878"/>
      <c r="C11" s="891"/>
      <c r="D11" s="891"/>
      <c r="E11" s="878"/>
      <c r="Q11" s="914"/>
      <c r="R11" s="914"/>
      <c r="AK11" s="913" t="str">
        <f>AK24</f>
        <v>Ссылка на правовую норму (основание для принятия показателя в расчет тарифа)</v>
      </c>
      <c r="AN11" s="912"/>
      <c r="AO11" s="912"/>
      <c r="AP11" s="912"/>
      <c r="AQ11" s="915"/>
      <c r="AR11" s="915"/>
    </row>
    <row r="12" spans="1:44" s="928" customFormat="1" ht="12" hidden="1" customHeight="1">
      <c r="A12" s="890" t="s">
        <v>286</v>
      </c>
      <c r="B12" s="878"/>
      <c r="E12" s="878"/>
      <c r="G12" s="913"/>
      <c r="H12" s="913"/>
      <c r="I12" s="913"/>
      <c r="J12" s="913"/>
      <c r="K12" s="913"/>
      <c r="L12" s="913"/>
      <c r="M12" s="913"/>
      <c r="N12" s="913"/>
      <c r="O12" s="913"/>
      <c r="P12" s="913"/>
      <c r="Q12" s="914"/>
      <c r="R12" s="914"/>
      <c r="S12" s="913"/>
      <c r="AC12" s="891" t="s">
        <v>277</v>
      </c>
      <c r="AN12" s="912"/>
      <c r="AO12" s="912"/>
      <c r="AP12" s="912"/>
      <c r="AQ12" s="915"/>
      <c r="AR12" s="915"/>
    </row>
    <row r="13" spans="1:44" s="1012" customFormat="1" ht="12" hidden="1" customHeight="1">
      <c r="B13" s="614"/>
      <c r="E13" s="623"/>
      <c r="G13" s="150"/>
      <c r="H13" s="150"/>
      <c r="I13" s="150"/>
      <c r="J13" s="150"/>
      <c r="K13" s="150"/>
      <c r="L13" s="150"/>
      <c r="M13" s="150"/>
      <c r="N13" s="150"/>
      <c r="O13" s="150"/>
      <c r="P13" s="150"/>
      <c r="Q13" s="566"/>
      <c r="R13" s="566"/>
      <c r="S13" s="150"/>
      <c r="AN13" s="912"/>
      <c r="AO13" s="912"/>
      <c r="AP13" s="912"/>
      <c r="AQ13" s="915"/>
      <c r="AR13" s="915"/>
    </row>
    <row r="14" spans="1:44" s="1012" customFormat="1" ht="12" hidden="1" customHeight="1">
      <c r="B14" s="614"/>
      <c r="E14" s="623"/>
      <c r="G14" s="150"/>
      <c r="H14" s="150"/>
      <c r="I14" s="150"/>
      <c r="J14" s="150"/>
      <c r="K14" s="150"/>
      <c r="L14" s="150"/>
      <c r="M14" s="150"/>
      <c r="N14" s="150"/>
      <c r="O14" s="150"/>
      <c r="P14" s="150"/>
      <c r="Q14" s="566"/>
      <c r="R14" s="566"/>
      <c r="S14" s="150"/>
      <c r="AN14" s="912"/>
      <c r="AO14" s="912"/>
      <c r="AP14" s="912"/>
      <c r="AQ14" s="915"/>
      <c r="AR14" s="915"/>
    </row>
    <row r="15" spans="1:44" s="1012" customFormat="1" ht="12" hidden="1" customHeight="1">
      <c r="B15" s="614"/>
      <c r="E15" s="623"/>
      <c r="G15" s="150"/>
      <c r="H15" s="150"/>
      <c r="I15" s="150"/>
      <c r="J15" s="150"/>
      <c r="K15" s="150"/>
      <c r="L15" s="150"/>
      <c r="M15" s="150"/>
      <c r="N15" s="150"/>
      <c r="O15" s="150"/>
      <c r="P15" s="150"/>
      <c r="Q15" s="566"/>
      <c r="R15" s="566"/>
      <c r="S15" s="150"/>
      <c r="AN15" s="912"/>
      <c r="AO15" s="912"/>
      <c r="AP15" s="912"/>
      <c r="AQ15" s="915"/>
      <c r="AR15" s="915"/>
    </row>
    <row r="16" spans="1:44" s="1012" customFormat="1" ht="12" hidden="1" customHeight="1">
      <c r="B16" s="614"/>
      <c r="E16" s="623"/>
      <c r="G16" s="150"/>
      <c r="H16" s="150"/>
      <c r="I16" s="150"/>
      <c r="J16" s="150"/>
      <c r="K16" s="150"/>
      <c r="L16" s="150"/>
      <c r="M16" s="150"/>
      <c r="N16" s="150"/>
      <c r="O16" s="150"/>
      <c r="P16" s="150"/>
      <c r="Q16" s="566"/>
      <c r="R16" s="566"/>
      <c r="S16" s="150"/>
      <c r="AN16" s="912"/>
      <c r="AO16" s="912"/>
      <c r="AP16" s="912"/>
      <c r="AQ16" s="915"/>
      <c r="AR16" s="915"/>
    </row>
    <row r="17" spans="1:44" s="1012" customFormat="1" ht="12" hidden="1" customHeight="1">
      <c r="B17" s="614"/>
      <c r="E17" s="623"/>
      <c r="G17" s="150"/>
      <c r="H17" s="150"/>
      <c r="I17" s="150"/>
      <c r="J17" s="150"/>
      <c r="K17" s="150"/>
      <c r="L17" s="150"/>
      <c r="M17" s="150"/>
      <c r="N17" s="150"/>
      <c r="O17" s="150"/>
      <c r="P17" s="150"/>
      <c r="Q17" s="566"/>
      <c r="R17" s="566"/>
      <c r="S17" s="150"/>
      <c r="AK17" s="120"/>
      <c r="AN17" s="912"/>
      <c r="AO17" s="912"/>
      <c r="AP17" s="912"/>
      <c r="AQ17" s="915"/>
      <c r="AR17" s="915"/>
    </row>
    <row r="18" spans="1:44" s="1012" customFormat="1" ht="12" hidden="1" customHeight="1">
      <c r="A18" s="775" t="s">
        <v>385</v>
      </c>
      <c r="B18" s="614"/>
      <c r="E18" s="623"/>
      <c r="G18" s="150"/>
      <c r="H18" s="150"/>
      <c r="I18" s="150"/>
      <c r="J18" s="150"/>
      <c r="K18" s="150"/>
      <c r="L18" s="150"/>
      <c r="M18" s="150"/>
      <c r="N18" s="150"/>
      <c r="O18" s="150"/>
      <c r="P18" s="150"/>
      <c r="Q18" s="566"/>
      <c r="R18" s="566"/>
      <c r="S18" s="150"/>
      <c r="AC18" s="113" t="s">
        <v>164</v>
      </c>
      <c r="AN18" s="912"/>
      <c r="AO18" s="912"/>
      <c r="AP18" s="912"/>
      <c r="AQ18" s="915"/>
      <c r="AR18" s="915"/>
    </row>
    <row r="19" spans="1:44" s="1012" customFormat="1" ht="12" hidden="1" customHeight="1">
      <c r="B19" s="614"/>
      <c r="E19" s="623"/>
      <c r="G19" s="150"/>
      <c r="H19" s="150"/>
      <c r="I19" s="150"/>
      <c r="J19" s="150"/>
      <c r="K19" s="150"/>
      <c r="L19" s="150"/>
      <c r="M19" s="150"/>
      <c r="N19" s="150"/>
      <c r="O19" s="150"/>
      <c r="P19" s="150"/>
      <c r="Q19" s="566"/>
      <c r="R19" s="566"/>
      <c r="S19" s="150"/>
      <c r="AN19" s="912"/>
      <c r="AO19" s="912"/>
      <c r="AP19" s="912"/>
      <c r="AQ19" s="915"/>
      <c r="AR19" s="915"/>
    </row>
    <row r="20" spans="1:44" s="1012" customFormat="1" ht="12" hidden="1" customHeight="1">
      <c r="B20" s="614"/>
      <c r="E20" s="623"/>
      <c r="G20" s="150"/>
      <c r="H20" s="150"/>
      <c r="I20" s="150"/>
      <c r="J20" s="150"/>
      <c r="K20" s="150"/>
      <c r="L20" s="150"/>
      <c r="M20" s="150"/>
      <c r="N20" s="150"/>
      <c r="O20" s="150"/>
      <c r="P20" s="150"/>
      <c r="Q20" s="566"/>
      <c r="R20" s="566"/>
      <c r="S20" s="150"/>
      <c r="AN20" s="912"/>
      <c r="AO20" s="912"/>
      <c r="AP20" s="912"/>
      <c r="AQ20" s="915"/>
      <c r="AR20" s="915"/>
    </row>
    <row r="21" spans="1:44" ht="14.65" customHeight="1">
      <c r="E21" s="623">
        <v>15</v>
      </c>
      <c r="AA21" s="646"/>
      <c r="AC21" s="315" t="str">
        <f>tpl_title</f>
        <v>Кемеровская область / 2026 / АО "СУЭК-Кузбасс" (ИНН:4212024138, КПП:421201001) / ДПР: 2024-2028</v>
      </c>
    </row>
    <row r="22" spans="1:44" s="750" customFormat="1" ht="19.5" customHeight="1">
      <c r="A22" s="116"/>
      <c r="B22" s="614"/>
      <c r="C22" s="116"/>
      <c r="D22" s="116"/>
      <c r="E22" s="623">
        <v>20.100000000000001</v>
      </c>
      <c r="F22" s="116"/>
      <c r="Q22" s="566"/>
      <c r="R22" s="566"/>
      <c r="T22" s="116"/>
      <c r="U22" s="116"/>
      <c r="V22" s="116"/>
      <c r="W22" s="116"/>
      <c r="X22" s="116"/>
      <c r="Y22" s="116"/>
      <c r="Z22" s="116"/>
      <c r="AB22" s="306" t="s">
        <v>47</v>
      </c>
      <c r="AC22" s="316"/>
      <c r="AD22" s="316"/>
      <c r="AE22" s="316"/>
      <c r="AF22" s="316"/>
      <c r="AG22" s="316"/>
      <c r="AH22" s="316"/>
      <c r="AI22" s="316"/>
      <c r="AJ22" s="316"/>
      <c r="AK22" s="316"/>
      <c r="AN22" s="909"/>
      <c r="AO22" s="909"/>
      <c r="AP22" s="909"/>
      <c r="AQ22" s="917"/>
      <c r="AR22" s="917"/>
    </row>
    <row r="23" spans="1:44" s="750" customFormat="1" ht="11.1" customHeight="1">
      <c r="A23" s="116"/>
      <c r="B23" s="614"/>
      <c r="C23" s="116"/>
      <c r="D23" s="116"/>
      <c r="E23" s="623">
        <v>11.4</v>
      </c>
      <c r="F23" s="116"/>
      <c r="Q23" s="566"/>
      <c r="R23" s="566"/>
      <c r="T23" s="116"/>
      <c r="U23" s="116"/>
      <c r="V23" s="116"/>
      <c r="W23" s="116"/>
      <c r="X23" s="116"/>
      <c r="Y23" s="116"/>
      <c r="Z23" s="116"/>
      <c r="AB23" s="317"/>
      <c r="AC23" s="208"/>
      <c r="AD23" s="208"/>
      <c r="AE23" s="208"/>
      <c r="AF23" s="208"/>
      <c r="AG23" s="208"/>
      <c r="AH23" s="208"/>
      <c r="AI23" s="208"/>
      <c r="AJ23" s="208"/>
      <c r="AK23" s="208"/>
      <c r="AN23" s="909"/>
      <c r="AO23" s="909"/>
      <c r="AP23" s="909"/>
      <c r="AQ23" s="917"/>
      <c r="AR23" s="917"/>
    </row>
    <row r="24" spans="1:44" s="152" customFormat="1" ht="14.65" customHeight="1">
      <c r="A24" s="109"/>
      <c r="B24" s="618"/>
      <c r="C24" s="109"/>
      <c r="D24" s="109"/>
      <c r="E24" s="629">
        <v>15</v>
      </c>
      <c r="F24" s="109"/>
      <c r="Q24" s="712"/>
      <c r="R24" s="566"/>
      <c r="T24" s="109"/>
      <c r="U24" s="109"/>
      <c r="V24" s="109"/>
      <c r="W24" s="109"/>
      <c r="X24" s="109"/>
      <c r="Y24" s="109"/>
      <c r="Z24" s="109"/>
      <c r="AB24" s="1476" t="s">
        <v>809</v>
      </c>
      <c r="AC24" s="1487" t="s">
        <v>164</v>
      </c>
      <c r="AD24" s="1476" t="s">
        <v>331</v>
      </c>
      <c r="AE24" s="107" t="str">
        <f>god-2&amp;" год"</f>
        <v>2024 год</v>
      </c>
      <c r="AF24" s="1003" t="str">
        <f>god-2&amp;" год"</f>
        <v>2024 год</v>
      </c>
      <c r="AG24" s="107" t="str">
        <f>god-2&amp;" год"</f>
        <v>2024 год</v>
      </c>
      <c r="AH24" s="107" t="str">
        <f>god-1&amp;" год"</f>
        <v>2025 год</v>
      </c>
      <c r="AI24" s="1001" t="str">
        <f>god&amp;" год"</f>
        <v>2026 год</v>
      </c>
      <c r="AJ24" s="108" t="str">
        <f>god&amp;" год"</f>
        <v>2026 год</v>
      </c>
      <c r="AK24" s="1417" t="s">
        <v>486</v>
      </c>
      <c r="AN24" s="912"/>
      <c r="AO24" s="918"/>
      <c r="AP24" s="918"/>
      <c r="AQ24" s="919"/>
      <c r="AR24" s="919"/>
    </row>
    <row r="25" spans="1:44" s="152" customFormat="1" ht="43.9" customHeight="1">
      <c r="A25" s="109"/>
      <c r="B25" s="618"/>
      <c r="C25" s="109"/>
      <c r="D25" s="109"/>
      <c r="E25" s="629">
        <v>45</v>
      </c>
      <c r="F25" s="109"/>
      <c r="Q25" s="712"/>
      <c r="R25" s="566"/>
      <c r="T25" s="109"/>
      <c r="U25" s="109"/>
      <c r="V25" s="109"/>
      <c r="W25" s="109"/>
      <c r="X25" s="109"/>
      <c r="Y25" s="109"/>
      <c r="Z25" s="109"/>
      <c r="AB25" s="1486"/>
      <c r="AC25" s="1486"/>
      <c r="AD25" s="1486"/>
      <c r="AE25" s="107" t="s">
        <v>304</v>
      </c>
      <c r="AF25" s="1003" t="s">
        <v>487</v>
      </c>
      <c r="AG25" s="107" t="s">
        <v>488</v>
      </c>
      <c r="AH25" s="107" t="s">
        <v>304</v>
      </c>
      <c r="AI25" s="1002" t="s">
        <v>305</v>
      </c>
      <c r="AJ25" s="324" t="s">
        <v>304</v>
      </c>
      <c r="AK25" s="1486"/>
      <c r="AN25" s="912"/>
      <c r="AO25" s="918"/>
      <c r="AP25" s="918"/>
      <c r="AQ25" s="919"/>
      <c r="AR25" s="919"/>
    </row>
    <row r="26" spans="1:44" s="152" customFormat="1" ht="15" hidden="1" customHeight="1">
      <c r="A26" s="109"/>
      <c r="B26" s="618"/>
      <c r="C26" s="109"/>
      <c r="D26" s="109"/>
      <c r="E26" s="629">
        <v>0</v>
      </c>
      <c r="F26" s="109"/>
      <c r="Q26" s="712"/>
      <c r="R26" s="566"/>
      <c r="T26" s="109"/>
      <c r="U26" s="109"/>
      <c r="V26" s="109"/>
      <c r="W26" s="109"/>
      <c r="X26" s="109"/>
      <c r="Y26" s="109"/>
      <c r="Z26" s="109"/>
      <c r="AB26" s="402"/>
      <c r="AC26" s="400"/>
      <c r="AD26" s="400"/>
      <c r="AE26" s="403"/>
      <c r="AF26" s="403"/>
      <c r="AG26" s="403"/>
      <c r="AH26" s="403"/>
      <c r="AI26" s="109"/>
      <c r="AJ26" s="109"/>
      <c r="AK26" s="400"/>
      <c r="AN26" s="912"/>
      <c r="AO26" s="918"/>
      <c r="AP26" s="918"/>
      <c r="AQ26" s="919"/>
      <c r="AR26" s="919"/>
    </row>
    <row r="27" spans="1:44" s="1015" customFormat="1" ht="11.1" hidden="1" customHeight="1">
      <c r="E27" s="629">
        <v>11.4</v>
      </c>
      <c r="F27" s="714">
        <f>X27</f>
        <v>0</v>
      </c>
      <c r="G27" s="566" t="s">
        <v>46</v>
      </c>
      <c r="T27" s="645" t="b">
        <f>F27&gt;0</f>
        <v>0</v>
      </c>
      <c r="V27" s="109" t="s">
        <v>228</v>
      </c>
      <c r="X27" s="1400">
        <v>0</v>
      </c>
      <c r="Z27" s="1400"/>
      <c r="AB27" s="247" t="str">
        <f>INDEX('Общие сведения'!$AG$169:$AG$202,MATCH($F27,'Общие сведения'!$Z$169:$Z$202,0))</f>
        <v>Тариф 0 (Теплоснабжение) - Тарифы на теплоноситель</v>
      </c>
      <c r="AC27" s="197"/>
      <c r="AD27" s="197"/>
      <c r="AE27" s="297">
        <f t="shared" ref="AE27:AJ27" si="3">AE28+AE34+AE40+AE46</f>
        <v>0</v>
      </c>
      <c r="AF27" s="297">
        <f t="shared" si="3"/>
        <v>0</v>
      </c>
      <c r="AG27" s="297">
        <f t="shared" si="3"/>
        <v>0</v>
      </c>
      <c r="AH27" s="297">
        <f t="shared" si="3"/>
        <v>0</v>
      </c>
      <c r="AI27" s="297">
        <f t="shared" si="3"/>
        <v>0</v>
      </c>
      <c r="AJ27" s="297">
        <f t="shared" si="3"/>
        <v>0</v>
      </c>
      <c r="AK27" s="852"/>
      <c r="AN27" s="912"/>
      <c r="AO27" s="918"/>
      <c r="AP27" s="918"/>
      <c r="AQ27" s="919"/>
      <c r="AR27" s="919"/>
    </row>
    <row r="28" spans="1:44" s="1015" customFormat="1" ht="18.399999999999999" hidden="1" customHeight="1">
      <c r="E28" s="629">
        <v>18.8</v>
      </c>
      <c r="F28" s="714">
        <f t="shared" ref="F28:F51" ca="1" si="4">OFFSET(G28,-1,-1)</f>
        <v>0</v>
      </c>
      <c r="G28" s="566" t="s">
        <v>1021</v>
      </c>
      <c r="H28" s="150" t="s">
        <v>1022</v>
      </c>
      <c r="K28" s="150" t="str">
        <f ca="1">F28&amp;"komm"</f>
        <v>0komm</v>
      </c>
      <c r="L28" s="152">
        <f>AK28</f>
        <v>0</v>
      </c>
      <c r="T28" s="645" t="b">
        <f ca="1">F28&gt;0</f>
        <v>0</v>
      </c>
      <c r="X28" s="1400"/>
      <c r="Z28" s="1400"/>
      <c r="AB28" s="318">
        <v>1</v>
      </c>
      <c r="AC28" s="319" t="s">
        <v>1023</v>
      </c>
      <c r="AD28" s="96" t="s">
        <v>648</v>
      </c>
      <c r="AE28" s="50"/>
      <c r="AF28" s="50"/>
      <c r="AG28" s="50"/>
      <c r="AH28" s="50"/>
      <c r="AI28" s="216">
        <f>SUMIFS(AI29:AI33,$AD29:$AD33,$AD28)</f>
        <v>0</v>
      </c>
      <c r="AJ28" s="216">
        <f>SUMIFS(AJ29:AJ33,$AD29:$AD33,$AD28)</f>
        <v>0</v>
      </c>
      <c r="AK28" s="45"/>
      <c r="AN28" s="912" t="s">
        <v>1024</v>
      </c>
      <c r="AO28" s="918"/>
      <c r="AP28" s="918"/>
      <c r="AQ28" s="919"/>
      <c r="AR28" s="919"/>
    </row>
    <row r="29" spans="1:44" s="1015" customFormat="1" ht="11.25" hidden="1" customHeight="1">
      <c r="E29" s="629">
        <v>0</v>
      </c>
      <c r="F29" s="714">
        <f t="shared" ca="1" si="4"/>
        <v>0</v>
      </c>
      <c r="T29" s="645" t="b">
        <f ca="1">F29&gt;0</f>
        <v>0</v>
      </c>
      <c r="X29" s="1400"/>
      <c r="Z29" s="1400"/>
      <c r="AB29" s="318"/>
      <c r="AC29" s="319"/>
      <c r="AD29" s="96"/>
      <c r="AE29" s="107"/>
      <c r="AF29" s="107"/>
      <c r="AG29" s="107"/>
      <c r="AH29" s="107"/>
      <c r="AI29" s="218"/>
      <c r="AJ29" s="218"/>
      <c r="AK29" s="666"/>
      <c r="AN29" s="912" t="s">
        <v>162</v>
      </c>
      <c r="AO29" s="918"/>
      <c r="AP29" s="918"/>
      <c r="AQ29" s="919"/>
      <c r="AR29" s="919"/>
    </row>
    <row r="30" spans="1:44" s="1015" customFormat="1" ht="16.5" hidden="1" customHeight="1">
      <c r="E30" s="629">
        <v>17</v>
      </c>
      <c r="F30" s="714">
        <f t="shared" ca="1" si="4"/>
        <v>0</v>
      </c>
      <c r="H30" s="150" t="s">
        <v>1022</v>
      </c>
      <c r="I30" s="150">
        <f>AC30</f>
        <v>0</v>
      </c>
      <c r="T30" s="645" t="b">
        <f ca="1">AND(F30&gt;0,Y30&gt;0)</f>
        <v>0</v>
      </c>
      <c r="W30" s="98" t="s">
        <v>170</v>
      </c>
      <c r="X30" s="1400"/>
      <c r="Y30" s="1400">
        <v>0</v>
      </c>
      <c r="Z30" s="1400"/>
      <c r="AA30" s="1483" t="s">
        <v>157</v>
      </c>
      <c r="AB30" s="318" t="str">
        <f>"1."&amp;Y30</f>
        <v>1.0</v>
      </c>
      <c r="AC30" s="5"/>
      <c r="AD30" s="96" t="s">
        <v>648</v>
      </c>
      <c r="AE30" s="107"/>
      <c r="AF30" s="107"/>
      <c r="AG30" s="107"/>
      <c r="AH30" s="107"/>
      <c r="AI30" s="217">
        <f>AI31*AI32*12/1000</f>
        <v>0</v>
      </c>
      <c r="AJ30" s="217">
        <f>AJ31*AJ32*12/1000</f>
        <v>0</v>
      </c>
      <c r="AK30" s="45"/>
      <c r="AN30" s="912" t="s">
        <v>1025</v>
      </c>
      <c r="AO30" s="918" t="s">
        <v>1026</v>
      </c>
      <c r="AP30" s="918">
        <f>AC30</f>
        <v>0</v>
      </c>
      <c r="AQ30" s="919"/>
      <c r="AR30" s="919" t="b">
        <v>1</v>
      </c>
    </row>
    <row r="31" spans="1:44" s="1015" customFormat="1" ht="16.5" hidden="1" customHeight="1">
      <c r="E31" s="629">
        <v>17</v>
      </c>
      <c r="F31" s="714">
        <f t="shared" ca="1" si="4"/>
        <v>0</v>
      </c>
      <c r="G31" s="566" t="s">
        <v>1027</v>
      </c>
      <c r="H31" s="150" t="str">
        <f>H30&amp;"_1"</f>
        <v>L1_1</v>
      </c>
      <c r="I31" s="150">
        <f>I30</f>
        <v>0</v>
      </c>
      <c r="T31" s="645" t="b">
        <f ca="1">T30</f>
        <v>0</v>
      </c>
      <c r="X31" s="1400"/>
      <c r="Y31" s="1400"/>
      <c r="Z31" s="1400"/>
      <c r="AA31" s="1483"/>
      <c r="AB31" s="318" t="str">
        <f>AB30&amp;".1"</f>
        <v>1.0.1</v>
      </c>
      <c r="AC31" s="228" t="s">
        <v>1028</v>
      </c>
      <c r="AD31" s="96" t="s">
        <v>1029</v>
      </c>
      <c r="AE31" s="107"/>
      <c r="AF31" s="107"/>
      <c r="AG31" s="107"/>
      <c r="AH31" s="107"/>
      <c r="AI31" s="234"/>
      <c r="AJ31" s="234"/>
      <c r="AK31" s="45"/>
      <c r="AN31" s="912" t="s">
        <v>1030</v>
      </c>
      <c r="AO31" s="918" t="s">
        <v>1026</v>
      </c>
      <c r="AP31" s="918">
        <f>AP30</f>
        <v>0</v>
      </c>
      <c r="AQ31" s="919"/>
      <c r="AR31" s="919"/>
    </row>
    <row r="32" spans="1:44" s="1015" customFormat="1" ht="16.5" hidden="1" customHeight="1">
      <c r="E32" s="629">
        <v>17</v>
      </c>
      <c r="F32" s="714">
        <f t="shared" ca="1" si="4"/>
        <v>0</v>
      </c>
      <c r="H32" s="150" t="str">
        <f>H30&amp;"_2"</f>
        <v>L1_2</v>
      </c>
      <c r="I32" s="150">
        <f>I31</f>
        <v>0</v>
      </c>
      <c r="T32" s="645" t="b">
        <f ca="1">T31</f>
        <v>0</v>
      </c>
      <c r="X32" s="1400"/>
      <c r="Y32" s="1400"/>
      <c r="Z32" s="1400"/>
      <c r="AA32" s="1483"/>
      <c r="AB32" s="318" t="str">
        <f>AB30&amp;".2"</f>
        <v>1.0.2</v>
      </c>
      <c r="AC32" s="228" t="s">
        <v>1031</v>
      </c>
      <c r="AD32" s="96" t="s">
        <v>1032</v>
      </c>
      <c r="AE32" s="107"/>
      <c r="AF32" s="107"/>
      <c r="AG32" s="107"/>
      <c r="AH32" s="107"/>
      <c r="AI32" s="234"/>
      <c r="AJ32" s="234"/>
      <c r="AK32" s="45"/>
      <c r="AN32" s="912" t="s">
        <v>1033</v>
      </c>
      <c r="AO32" s="918" t="s">
        <v>1026</v>
      </c>
      <c r="AP32" s="918">
        <f>AP31</f>
        <v>0</v>
      </c>
      <c r="AQ32" s="919"/>
      <c r="AR32" s="919"/>
    </row>
    <row r="33" spans="5:44" s="1015" customFormat="1" ht="16.5" hidden="1" customHeight="1">
      <c r="E33" s="629">
        <v>17</v>
      </c>
      <c r="F33" s="714">
        <f t="shared" ca="1" si="4"/>
        <v>0</v>
      </c>
      <c r="H33" s="150" t="str">
        <f ca="1">F33&amp;"pIns1"</f>
        <v>0pIns1</v>
      </c>
      <c r="T33" s="645" t="b">
        <f ca="1">F33&gt;0</f>
        <v>0</v>
      </c>
      <c r="W33" s="291" t="s">
        <v>764</v>
      </c>
      <c r="X33" s="1400"/>
      <c r="Z33" s="1400"/>
      <c r="AB33" s="236"/>
      <c r="AC33" s="237" t="s">
        <v>172</v>
      </c>
      <c r="AD33" s="237"/>
      <c r="AE33" s="237"/>
      <c r="AF33" s="237"/>
      <c r="AG33" s="237"/>
      <c r="AH33" s="237"/>
      <c r="AI33" s="237"/>
      <c r="AJ33" s="237"/>
      <c r="AK33" s="851"/>
      <c r="AN33" s="912" t="s">
        <v>162</v>
      </c>
      <c r="AO33" s="918"/>
      <c r="AP33" s="918"/>
      <c r="AQ33" s="919" t="s">
        <v>1026</v>
      </c>
      <c r="AR33" s="919"/>
    </row>
    <row r="34" spans="5:44" s="1015" customFormat="1" ht="24.2" hidden="1" customHeight="1">
      <c r="E34" s="629">
        <v>24.8</v>
      </c>
      <c r="F34" s="714">
        <f t="shared" ca="1" si="4"/>
        <v>0</v>
      </c>
      <c r="G34" s="566" t="s">
        <v>1034</v>
      </c>
      <c r="H34" s="150" t="s">
        <v>1011</v>
      </c>
      <c r="T34" s="645" t="b">
        <f ca="1">F34&gt;0</f>
        <v>0</v>
      </c>
      <c r="X34" s="1400"/>
      <c r="Z34" s="1400"/>
      <c r="AB34" s="318" t="s">
        <v>343</v>
      </c>
      <c r="AC34" s="319" t="s">
        <v>1035</v>
      </c>
      <c r="AD34" s="96" t="s">
        <v>648</v>
      </c>
      <c r="AE34" s="50"/>
      <c r="AF34" s="50"/>
      <c r="AG34" s="50"/>
      <c r="AH34" s="50"/>
      <c r="AI34" s="216">
        <f>SUMIFS(AI35:AI39,$AD35:$AD39,$AD34)</f>
        <v>0</v>
      </c>
      <c r="AJ34" s="216">
        <f>SUMIFS(AJ35:AJ39,$AD35:$AD39,$AD34)</f>
        <v>0</v>
      </c>
      <c r="AK34" s="45"/>
      <c r="AN34" s="912" t="s">
        <v>1036</v>
      </c>
      <c r="AO34" s="918"/>
      <c r="AP34" s="918"/>
      <c r="AQ34" s="919"/>
      <c r="AR34" s="919"/>
    </row>
    <row r="35" spans="5:44" s="1015" customFormat="1" ht="9" hidden="1" customHeight="1">
      <c r="E35" s="629">
        <v>0</v>
      </c>
      <c r="F35" s="714">
        <f t="shared" ca="1" si="4"/>
        <v>0</v>
      </c>
      <c r="T35" s="645" t="b">
        <f ca="1">F35&gt;0</f>
        <v>0</v>
      </c>
      <c r="X35" s="1400"/>
      <c r="Z35" s="1400"/>
      <c r="AB35" s="318"/>
      <c r="AC35" s="319"/>
      <c r="AD35" s="96"/>
      <c r="AE35" s="107"/>
      <c r="AF35" s="107"/>
      <c r="AG35" s="107"/>
      <c r="AH35" s="107"/>
      <c r="AI35" s="218"/>
      <c r="AJ35" s="218"/>
      <c r="AK35" s="666"/>
      <c r="AN35" s="912"/>
      <c r="AO35" s="918"/>
      <c r="AP35" s="918"/>
      <c r="AQ35" s="919"/>
      <c r="AR35" s="919"/>
    </row>
    <row r="36" spans="5:44" s="1015" customFormat="1" ht="16.5" hidden="1" customHeight="1">
      <c r="E36" s="629">
        <v>17</v>
      </c>
      <c r="F36" s="714">
        <f t="shared" ca="1" si="4"/>
        <v>0</v>
      </c>
      <c r="H36" s="150" t="s">
        <v>1011</v>
      </c>
      <c r="I36" s="150">
        <f>AC36</f>
        <v>0</v>
      </c>
      <c r="T36" s="645" t="b">
        <f ca="1">AND(F36&gt;0,Y36&gt;0)</f>
        <v>0</v>
      </c>
      <c r="W36" s="98" t="s">
        <v>170</v>
      </c>
      <c r="X36" s="1400"/>
      <c r="Y36" s="1400">
        <v>0</v>
      </c>
      <c r="Z36" s="1400"/>
      <c r="AA36" s="1483" t="s">
        <v>157</v>
      </c>
      <c r="AB36" s="318" t="str">
        <f>"2."&amp;Y36</f>
        <v>2.0</v>
      </c>
      <c r="AC36" s="5"/>
      <c r="AD36" s="96" t="s">
        <v>648</v>
      </c>
      <c r="AE36" s="107"/>
      <c r="AF36" s="107"/>
      <c r="AG36" s="107"/>
      <c r="AH36" s="107"/>
      <c r="AI36" s="217">
        <f>AI37*AI38*12/1000</f>
        <v>0</v>
      </c>
      <c r="AJ36" s="217">
        <f>AJ37*AJ38*12/1000</f>
        <v>0</v>
      </c>
      <c r="AK36" s="45"/>
      <c r="AN36" s="912" t="s">
        <v>1037</v>
      </c>
      <c r="AO36" s="918" t="s">
        <v>1038</v>
      </c>
      <c r="AP36" s="918">
        <f>AC36</f>
        <v>0</v>
      </c>
      <c r="AQ36" s="919"/>
      <c r="AR36" s="919" t="b">
        <v>1</v>
      </c>
    </row>
    <row r="37" spans="5:44" s="1015" customFormat="1" ht="16.5" hidden="1" customHeight="1">
      <c r="E37" s="629">
        <v>17</v>
      </c>
      <c r="F37" s="714">
        <f t="shared" ca="1" si="4"/>
        <v>0</v>
      </c>
      <c r="G37" s="566" t="s">
        <v>1039</v>
      </c>
      <c r="H37" s="150" t="str">
        <f>H36&amp;"_1"</f>
        <v>L5_1</v>
      </c>
      <c r="I37" s="150">
        <f>I36</f>
        <v>0</v>
      </c>
      <c r="T37" s="645" t="b">
        <f ca="1">T36</f>
        <v>0</v>
      </c>
      <c r="X37" s="1400"/>
      <c r="Y37" s="1400"/>
      <c r="Z37" s="1400"/>
      <c r="AA37" s="1483"/>
      <c r="AB37" s="318" t="str">
        <f>AB36&amp;".1"</f>
        <v>2.0.1</v>
      </c>
      <c r="AC37" s="228" t="s">
        <v>1028</v>
      </c>
      <c r="AD37" s="96" t="s">
        <v>1029</v>
      </c>
      <c r="AE37" s="107"/>
      <c r="AF37" s="107"/>
      <c r="AG37" s="107"/>
      <c r="AH37" s="107"/>
      <c r="AI37" s="234"/>
      <c r="AJ37" s="234"/>
      <c r="AK37" s="45"/>
      <c r="AN37" s="912" t="s">
        <v>1040</v>
      </c>
      <c r="AO37" s="918" t="s">
        <v>1038</v>
      </c>
      <c r="AP37" s="918">
        <f>AP36</f>
        <v>0</v>
      </c>
      <c r="AQ37" s="919"/>
      <c r="AR37" s="919"/>
    </row>
    <row r="38" spans="5:44" s="1015" customFormat="1" ht="16.5" hidden="1" customHeight="1">
      <c r="E38" s="629">
        <v>17</v>
      </c>
      <c r="F38" s="714">
        <f t="shared" ca="1" si="4"/>
        <v>0</v>
      </c>
      <c r="H38" s="150" t="str">
        <f>H36&amp;"_2"</f>
        <v>L5_2</v>
      </c>
      <c r="I38" s="150">
        <f>I37</f>
        <v>0</v>
      </c>
      <c r="T38" s="645" t="b">
        <f ca="1">T37</f>
        <v>0</v>
      </c>
      <c r="X38" s="1400"/>
      <c r="Y38" s="1400"/>
      <c r="Z38" s="1400"/>
      <c r="AA38" s="1483"/>
      <c r="AB38" s="318" t="str">
        <f>AB36&amp;".2"</f>
        <v>2.0.2</v>
      </c>
      <c r="AC38" s="228" t="s">
        <v>1031</v>
      </c>
      <c r="AD38" s="96" t="s">
        <v>1032</v>
      </c>
      <c r="AE38" s="107"/>
      <c r="AF38" s="107"/>
      <c r="AG38" s="107"/>
      <c r="AH38" s="107"/>
      <c r="AI38" s="234"/>
      <c r="AJ38" s="234"/>
      <c r="AK38" s="45"/>
      <c r="AN38" s="912" t="s">
        <v>1041</v>
      </c>
      <c r="AO38" s="918" t="s">
        <v>1038</v>
      </c>
      <c r="AP38" s="918">
        <f>AP37</f>
        <v>0</v>
      </c>
      <c r="AQ38" s="919"/>
      <c r="AR38" s="919"/>
    </row>
    <row r="39" spans="5:44" s="1015" customFormat="1" ht="16.5" hidden="1" customHeight="1">
      <c r="E39" s="629">
        <v>17</v>
      </c>
      <c r="F39" s="714">
        <f t="shared" ca="1" si="4"/>
        <v>0</v>
      </c>
      <c r="H39" s="150" t="str">
        <f ca="1">F39&amp;"pIns3"</f>
        <v>0pIns3</v>
      </c>
      <c r="T39" s="645" t="b">
        <f ca="1">F39&gt;0</f>
        <v>0</v>
      </c>
      <c r="W39" s="291" t="s">
        <v>775</v>
      </c>
      <c r="X39" s="1400"/>
      <c r="Z39" s="1400"/>
      <c r="AB39" s="236"/>
      <c r="AC39" s="237" t="s">
        <v>172</v>
      </c>
      <c r="AD39" s="237"/>
      <c r="AE39" s="237"/>
      <c r="AF39" s="237"/>
      <c r="AG39" s="237"/>
      <c r="AH39" s="237"/>
      <c r="AI39" s="237"/>
      <c r="AJ39" s="237"/>
      <c r="AK39" s="851"/>
      <c r="AN39" s="912" t="s">
        <v>162</v>
      </c>
      <c r="AO39" s="918"/>
      <c r="AP39" s="918"/>
      <c r="AQ39" s="919" t="s">
        <v>1038</v>
      </c>
      <c r="AR39" s="919"/>
    </row>
    <row r="40" spans="5:44" s="1015" customFormat="1" ht="24.2" hidden="1" customHeight="1">
      <c r="E40" s="629">
        <v>24.8</v>
      </c>
      <c r="F40" s="714">
        <f t="shared" ca="1" si="4"/>
        <v>0</v>
      </c>
      <c r="G40" s="566" t="s">
        <v>1042</v>
      </c>
      <c r="H40" s="150" t="s">
        <v>1011</v>
      </c>
      <c r="T40" s="645" t="b">
        <f ca="1">F40&gt;0</f>
        <v>0</v>
      </c>
      <c r="X40" s="1400"/>
      <c r="Z40" s="1400"/>
      <c r="AB40" s="318" t="s">
        <v>520</v>
      </c>
      <c r="AC40" s="319" t="s">
        <v>1043</v>
      </c>
      <c r="AD40" s="96" t="s">
        <v>648</v>
      </c>
      <c r="AE40" s="50"/>
      <c r="AF40" s="50"/>
      <c r="AG40" s="50"/>
      <c r="AH40" s="50"/>
      <c r="AI40" s="216">
        <f>SUMIFS(AI41:AI45,$AD41:$AD45,$AD40)</f>
        <v>0</v>
      </c>
      <c r="AJ40" s="216">
        <f>SUMIFS(AJ41:AJ45,$AD41:$AD45,$AD40)</f>
        <v>0</v>
      </c>
      <c r="AK40" s="45"/>
      <c r="AN40" s="912" t="s">
        <v>1044</v>
      </c>
      <c r="AO40" s="918"/>
      <c r="AP40" s="918"/>
      <c r="AQ40" s="919"/>
      <c r="AR40" s="919"/>
    </row>
    <row r="41" spans="5:44" s="1015" customFormat="1" ht="9" hidden="1" customHeight="1">
      <c r="E41" s="629">
        <v>0</v>
      </c>
      <c r="F41" s="714">
        <f t="shared" ca="1" si="4"/>
        <v>0</v>
      </c>
      <c r="T41" s="645" t="b">
        <f ca="1">F41&gt;0</f>
        <v>0</v>
      </c>
      <c r="X41" s="1400"/>
      <c r="Z41" s="1400"/>
      <c r="AB41" s="318"/>
      <c r="AC41" s="319"/>
      <c r="AD41" s="96"/>
      <c r="AE41" s="107"/>
      <c r="AF41" s="107"/>
      <c r="AG41" s="107"/>
      <c r="AH41" s="107"/>
      <c r="AI41" s="218"/>
      <c r="AJ41" s="218"/>
      <c r="AK41" s="666"/>
      <c r="AN41" s="912"/>
      <c r="AO41" s="918"/>
      <c r="AP41" s="918"/>
      <c r="AQ41" s="919"/>
      <c r="AR41" s="919"/>
    </row>
    <row r="42" spans="5:44" s="1015" customFormat="1" ht="16.5" hidden="1" customHeight="1">
      <c r="E42" s="629">
        <v>17</v>
      </c>
      <c r="F42" s="714">
        <f t="shared" ca="1" si="4"/>
        <v>0</v>
      </c>
      <c r="H42" s="150" t="s">
        <v>1011</v>
      </c>
      <c r="I42" s="150">
        <f>AC42</f>
        <v>0</v>
      </c>
      <c r="T42" s="645" t="b">
        <f ca="1">AND(F42&gt;0,Y42&gt;0)</f>
        <v>0</v>
      </c>
      <c r="W42" s="98" t="s">
        <v>170</v>
      </c>
      <c r="X42" s="1400"/>
      <c r="Y42" s="1400">
        <v>0</v>
      </c>
      <c r="Z42" s="1400"/>
      <c r="AA42" s="1483" t="s">
        <v>157</v>
      </c>
      <c r="AB42" s="318" t="str">
        <f>"3."&amp;Y42</f>
        <v>3.0</v>
      </c>
      <c r="AC42" s="5"/>
      <c r="AD42" s="96" t="s">
        <v>648</v>
      </c>
      <c r="AE42" s="107"/>
      <c r="AF42" s="107"/>
      <c r="AG42" s="107"/>
      <c r="AH42" s="107"/>
      <c r="AI42" s="217">
        <f>AI43*AI44*12/1000</f>
        <v>0</v>
      </c>
      <c r="AJ42" s="217">
        <f>AJ43*AJ44*12/1000</f>
        <v>0</v>
      </c>
      <c r="AK42" s="45"/>
      <c r="AN42" s="912" t="s">
        <v>1045</v>
      </c>
      <c r="AO42" s="918" t="s">
        <v>1046</v>
      </c>
      <c r="AP42" s="918">
        <f>AC42</f>
        <v>0</v>
      </c>
      <c r="AQ42" s="919"/>
      <c r="AR42" s="919" t="b">
        <v>1</v>
      </c>
    </row>
    <row r="43" spans="5:44" s="1015" customFormat="1" ht="16.5" hidden="1" customHeight="1">
      <c r="E43" s="629">
        <v>17</v>
      </c>
      <c r="F43" s="714">
        <f t="shared" ca="1" si="4"/>
        <v>0</v>
      </c>
      <c r="G43" s="566" t="s">
        <v>1047</v>
      </c>
      <c r="H43" s="150" t="str">
        <f>H42&amp;"_1"</f>
        <v>L5_1</v>
      </c>
      <c r="I43" s="150">
        <f>I42</f>
        <v>0</v>
      </c>
      <c r="T43" s="645" t="b">
        <f ca="1">T42</f>
        <v>0</v>
      </c>
      <c r="X43" s="1400"/>
      <c r="Y43" s="1400"/>
      <c r="Z43" s="1400"/>
      <c r="AA43" s="1483"/>
      <c r="AB43" s="318" t="str">
        <f>AB42&amp;".1"</f>
        <v>3.0.1</v>
      </c>
      <c r="AC43" s="228" t="s">
        <v>1028</v>
      </c>
      <c r="AD43" s="96" t="s">
        <v>1029</v>
      </c>
      <c r="AE43" s="107"/>
      <c r="AF43" s="107"/>
      <c r="AG43" s="107"/>
      <c r="AH43" s="107"/>
      <c r="AI43" s="234"/>
      <c r="AJ43" s="234"/>
      <c r="AK43" s="45"/>
      <c r="AN43" s="912" t="s">
        <v>1048</v>
      </c>
      <c r="AO43" s="918" t="s">
        <v>1046</v>
      </c>
      <c r="AP43" s="918">
        <f>AP42</f>
        <v>0</v>
      </c>
      <c r="AQ43" s="919"/>
      <c r="AR43" s="919"/>
    </row>
    <row r="44" spans="5:44" s="1015" customFormat="1" ht="16.5" hidden="1" customHeight="1">
      <c r="E44" s="629">
        <v>17</v>
      </c>
      <c r="F44" s="714">
        <f t="shared" ca="1" si="4"/>
        <v>0</v>
      </c>
      <c r="H44" s="150" t="str">
        <f>H42&amp;"_2"</f>
        <v>L5_2</v>
      </c>
      <c r="I44" s="150">
        <f>I43</f>
        <v>0</v>
      </c>
      <c r="T44" s="645" t="b">
        <f ca="1">T43</f>
        <v>0</v>
      </c>
      <c r="X44" s="1400"/>
      <c r="Y44" s="1400"/>
      <c r="Z44" s="1400"/>
      <c r="AA44" s="1483"/>
      <c r="AB44" s="318" t="str">
        <f>AB42&amp;".2"</f>
        <v>3.0.2</v>
      </c>
      <c r="AC44" s="228" t="s">
        <v>1031</v>
      </c>
      <c r="AD44" s="96" t="s">
        <v>1032</v>
      </c>
      <c r="AE44" s="107"/>
      <c r="AF44" s="107"/>
      <c r="AG44" s="107"/>
      <c r="AH44" s="107"/>
      <c r="AI44" s="234"/>
      <c r="AJ44" s="234"/>
      <c r="AK44" s="45"/>
      <c r="AN44" s="912" t="s">
        <v>1049</v>
      </c>
      <c r="AO44" s="918" t="s">
        <v>1046</v>
      </c>
      <c r="AP44" s="918">
        <f>AP43</f>
        <v>0</v>
      </c>
      <c r="AQ44" s="919"/>
      <c r="AR44" s="919"/>
    </row>
    <row r="45" spans="5:44" s="1015" customFormat="1" ht="16.5" hidden="1" customHeight="1">
      <c r="E45" s="629">
        <v>17</v>
      </c>
      <c r="F45" s="714">
        <f t="shared" ca="1" si="4"/>
        <v>0</v>
      </c>
      <c r="H45" s="150" t="str">
        <f ca="1">F45&amp;"pIns3"</f>
        <v>0pIns3</v>
      </c>
      <c r="T45" s="645" t="b">
        <f ca="1">F45&gt;0</f>
        <v>0</v>
      </c>
      <c r="W45" s="291" t="s">
        <v>1018</v>
      </c>
      <c r="X45" s="1400"/>
      <c r="Z45" s="1400"/>
      <c r="AB45" s="236"/>
      <c r="AC45" s="237" t="s">
        <v>172</v>
      </c>
      <c r="AD45" s="237"/>
      <c r="AE45" s="237"/>
      <c r="AF45" s="237"/>
      <c r="AG45" s="237"/>
      <c r="AH45" s="237"/>
      <c r="AI45" s="237"/>
      <c r="AJ45" s="237"/>
      <c r="AK45" s="851"/>
      <c r="AN45" s="912" t="s">
        <v>162</v>
      </c>
      <c r="AO45" s="918"/>
      <c r="AP45" s="918"/>
      <c r="AQ45" s="919" t="s">
        <v>1046</v>
      </c>
      <c r="AR45" s="919"/>
    </row>
    <row r="46" spans="5:44" s="1015" customFormat="1" ht="24.2" hidden="1" customHeight="1">
      <c r="E46" s="629">
        <v>24.8</v>
      </c>
      <c r="F46" s="714">
        <f t="shared" ca="1" si="4"/>
        <v>0</v>
      </c>
      <c r="G46" s="566" t="s">
        <v>1050</v>
      </c>
      <c r="H46" s="150" t="s">
        <v>1011</v>
      </c>
      <c r="T46" s="645" t="b">
        <f ca="1">F46&gt;0</f>
        <v>0</v>
      </c>
      <c r="X46" s="1400"/>
      <c r="Z46" s="1400"/>
      <c r="AB46" s="318" t="s">
        <v>527</v>
      </c>
      <c r="AC46" s="319" t="s">
        <v>1051</v>
      </c>
      <c r="AD46" s="96" t="s">
        <v>648</v>
      </c>
      <c r="AE46" s="50"/>
      <c r="AF46" s="50"/>
      <c r="AG46" s="50"/>
      <c r="AH46" s="50"/>
      <c r="AI46" s="216">
        <f>SUMIFS(AI47:AI51,$AD47:$AD51,$AD46)</f>
        <v>0</v>
      </c>
      <c r="AJ46" s="216">
        <f>SUMIFS(AJ47:AJ51,$AD47:$AD51,$AD46)</f>
        <v>0</v>
      </c>
      <c r="AK46" s="45"/>
      <c r="AN46" s="912" t="s">
        <v>1052</v>
      </c>
      <c r="AO46" s="918"/>
      <c r="AP46" s="918"/>
      <c r="AQ46" s="919"/>
      <c r="AR46" s="919"/>
    </row>
    <row r="47" spans="5:44" s="1015" customFormat="1" ht="9" hidden="1" customHeight="1">
      <c r="E47" s="629">
        <v>0</v>
      </c>
      <c r="F47" s="714">
        <f t="shared" ca="1" si="4"/>
        <v>0</v>
      </c>
      <c r="T47" s="645" t="b">
        <f ca="1">F47&gt;0</f>
        <v>0</v>
      </c>
      <c r="X47" s="1400"/>
      <c r="Z47" s="1400"/>
      <c r="AB47" s="318"/>
      <c r="AC47" s="319"/>
      <c r="AD47" s="96"/>
      <c r="AE47" s="107"/>
      <c r="AF47" s="107"/>
      <c r="AG47" s="107"/>
      <c r="AH47" s="107"/>
      <c r="AI47" s="218"/>
      <c r="AJ47" s="218"/>
      <c r="AK47" s="666"/>
      <c r="AN47" s="912"/>
      <c r="AO47" s="918"/>
      <c r="AP47" s="918"/>
      <c r="AQ47" s="919"/>
      <c r="AR47" s="919"/>
    </row>
    <row r="48" spans="5:44" s="1015" customFormat="1" ht="16.5" hidden="1" customHeight="1">
      <c r="E48" s="629">
        <v>17</v>
      </c>
      <c r="F48" s="714">
        <f t="shared" ca="1" si="4"/>
        <v>0</v>
      </c>
      <c r="H48" s="150" t="s">
        <v>1011</v>
      </c>
      <c r="I48" s="150">
        <f>AC48</f>
        <v>0</v>
      </c>
      <c r="T48" s="645" t="b">
        <f ca="1">AND(F48&gt;0,Y48&gt;0)</f>
        <v>0</v>
      </c>
      <c r="W48" s="98" t="s">
        <v>170</v>
      </c>
      <c r="X48" s="1400"/>
      <c r="Y48" s="1400">
        <v>0</v>
      </c>
      <c r="Z48" s="1400"/>
      <c r="AA48" s="1483" t="s">
        <v>157</v>
      </c>
      <c r="AB48" s="318" t="str">
        <f>"4."&amp;Y48</f>
        <v>4.0</v>
      </c>
      <c r="AC48" s="5"/>
      <c r="AD48" s="96" t="s">
        <v>648</v>
      </c>
      <c r="AE48" s="107"/>
      <c r="AF48" s="107"/>
      <c r="AG48" s="107"/>
      <c r="AH48" s="107"/>
      <c r="AI48" s="217">
        <f>AI49*AI50*12/1000</f>
        <v>0</v>
      </c>
      <c r="AJ48" s="217">
        <f>AJ49*AJ50*12/1000</f>
        <v>0</v>
      </c>
      <c r="AK48" s="45"/>
      <c r="AN48" s="912" t="s">
        <v>1053</v>
      </c>
      <c r="AO48" s="918" t="s">
        <v>1054</v>
      </c>
      <c r="AP48" s="918">
        <f>AC48</f>
        <v>0</v>
      </c>
      <c r="AQ48" s="919"/>
      <c r="AR48" s="919" t="b">
        <v>1</v>
      </c>
    </row>
    <row r="49" spans="1:44" s="1015" customFormat="1" ht="16.5" hidden="1" customHeight="1">
      <c r="E49" s="629">
        <v>17</v>
      </c>
      <c r="F49" s="714">
        <f t="shared" ca="1" si="4"/>
        <v>0</v>
      </c>
      <c r="G49" s="566" t="s">
        <v>1055</v>
      </c>
      <c r="H49" s="150" t="str">
        <f>H48&amp;"_1"</f>
        <v>L5_1</v>
      </c>
      <c r="I49" s="150">
        <f>I48</f>
        <v>0</v>
      </c>
      <c r="T49" s="645" t="b">
        <f ca="1">T48</f>
        <v>0</v>
      </c>
      <c r="X49" s="1400"/>
      <c r="Y49" s="1400"/>
      <c r="Z49" s="1400"/>
      <c r="AA49" s="1483"/>
      <c r="AB49" s="318" t="str">
        <f>AB48&amp;".1"</f>
        <v>4.0.1</v>
      </c>
      <c r="AC49" s="228" t="s">
        <v>1028</v>
      </c>
      <c r="AD49" s="96" t="s">
        <v>1029</v>
      </c>
      <c r="AE49" s="107"/>
      <c r="AF49" s="107"/>
      <c r="AG49" s="107"/>
      <c r="AH49" s="107"/>
      <c r="AI49" s="234"/>
      <c r="AJ49" s="234"/>
      <c r="AK49" s="45"/>
      <c r="AN49" s="912" t="s">
        <v>1056</v>
      </c>
      <c r="AO49" s="918" t="s">
        <v>1054</v>
      </c>
      <c r="AP49" s="918">
        <f>AP48</f>
        <v>0</v>
      </c>
      <c r="AQ49" s="919"/>
      <c r="AR49" s="919"/>
    </row>
    <row r="50" spans="1:44" s="1015" customFormat="1" ht="16.5" hidden="1" customHeight="1">
      <c r="E50" s="629">
        <v>17</v>
      </c>
      <c r="F50" s="714">
        <f t="shared" ca="1" si="4"/>
        <v>0</v>
      </c>
      <c r="H50" s="150" t="str">
        <f>H48&amp;"_2"</f>
        <v>L5_2</v>
      </c>
      <c r="I50" s="150">
        <f>I49</f>
        <v>0</v>
      </c>
      <c r="T50" s="645" t="b">
        <f ca="1">T49</f>
        <v>0</v>
      </c>
      <c r="X50" s="1400"/>
      <c r="Y50" s="1400"/>
      <c r="Z50" s="1400"/>
      <c r="AA50" s="1483"/>
      <c r="AB50" s="318" t="str">
        <f>AB48&amp;".2"</f>
        <v>4.0.2</v>
      </c>
      <c r="AC50" s="228" t="s">
        <v>1031</v>
      </c>
      <c r="AD50" s="96" t="s">
        <v>1032</v>
      </c>
      <c r="AE50" s="107"/>
      <c r="AF50" s="107"/>
      <c r="AG50" s="107"/>
      <c r="AH50" s="107"/>
      <c r="AI50" s="234"/>
      <c r="AJ50" s="234"/>
      <c r="AK50" s="45"/>
      <c r="AN50" s="912" t="s">
        <v>1057</v>
      </c>
      <c r="AO50" s="918" t="s">
        <v>1054</v>
      </c>
      <c r="AP50" s="918">
        <f>AP49</f>
        <v>0</v>
      </c>
      <c r="AQ50" s="919"/>
      <c r="AR50" s="919"/>
    </row>
    <row r="51" spans="1:44" s="1015" customFormat="1" ht="16.5" hidden="1" customHeight="1">
      <c r="E51" s="629">
        <v>17</v>
      </c>
      <c r="F51" s="714">
        <f t="shared" ca="1" si="4"/>
        <v>0</v>
      </c>
      <c r="H51" s="150" t="str">
        <f ca="1">F51&amp;"pIns3"</f>
        <v>0pIns3</v>
      </c>
      <c r="T51" s="645" t="b">
        <f ca="1">F51&gt;0</f>
        <v>0</v>
      </c>
      <c r="W51" s="291" t="s">
        <v>1058</v>
      </c>
      <c r="X51" s="1400"/>
      <c r="Z51" s="1400"/>
      <c r="AB51" s="236"/>
      <c r="AC51" s="237" t="s">
        <v>172</v>
      </c>
      <c r="AD51" s="237"/>
      <c r="AE51" s="237"/>
      <c r="AF51" s="237"/>
      <c r="AG51" s="237"/>
      <c r="AH51" s="237"/>
      <c r="AI51" s="237"/>
      <c r="AJ51" s="237"/>
      <c r="AK51" s="238"/>
      <c r="AN51" s="912"/>
      <c r="AO51" s="918"/>
      <c r="AP51" s="918"/>
      <c r="AQ51" s="919" t="s">
        <v>1054</v>
      </c>
      <c r="AR51" s="919"/>
    </row>
    <row r="52" spans="1:44" s="618" customFormat="1" ht="10.5" customHeight="1">
      <c r="A52" s="1015"/>
      <c r="B52" s="1015"/>
      <c r="C52" s="1015"/>
      <c r="D52" s="1015"/>
      <c r="E52" s="629">
        <v>11.4</v>
      </c>
      <c r="F52" s="714" t="str">
        <f>X52</f>
        <v>1</v>
      </c>
      <c r="G52" s="566" t="s">
        <v>46</v>
      </c>
      <c r="H52" s="1015"/>
      <c r="I52" s="1015"/>
      <c r="J52" s="1015"/>
      <c r="K52" s="1015"/>
      <c r="L52" s="1015"/>
      <c r="M52" s="1015"/>
      <c r="N52" s="1015"/>
      <c r="O52" s="1015"/>
      <c r="P52" s="1015"/>
      <c r="Q52" s="1015"/>
      <c r="R52" s="1015"/>
      <c r="S52" s="1015"/>
      <c r="T52" s="645" t="b">
        <f>F52&gt;0</f>
        <v>1</v>
      </c>
      <c r="U52" s="1015"/>
      <c r="V52" s="109" t="str">
        <f>'Покупка услуг'!$AB$46</f>
        <v>Тариф 1 (Теплоснабжение) - Тарифы на теплоноситель (Не определено)</v>
      </c>
      <c r="W52" s="1015"/>
      <c r="X52" s="1400" t="s">
        <v>247</v>
      </c>
      <c r="Y52" s="1015"/>
      <c r="Z52" s="1400"/>
      <c r="AA52" s="1015"/>
      <c r="AB52" s="247" t="str">
        <f>IF(ISBLANK('Покупка услуг'!$AB$46),"",'Покупка услуг'!$AB$46)</f>
        <v>Тариф 1 (Теплоснабжение) - Тарифы на теплоноситель (Не определено)</v>
      </c>
      <c r="AC52" s="197"/>
      <c r="AD52" s="197"/>
      <c r="AE52" s="297">
        <f t="shared" ref="AE52:AJ52" si="5">AE53+AE59+AE65+AE71</f>
        <v>0</v>
      </c>
      <c r="AF52" s="297">
        <f t="shared" si="5"/>
        <v>0</v>
      </c>
      <c r="AG52" s="297">
        <f t="shared" si="5"/>
        <v>0</v>
      </c>
      <c r="AH52" s="297">
        <f t="shared" si="5"/>
        <v>0</v>
      </c>
      <c r="AI52" s="297">
        <f t="shared" si="5"/>
        <v>0</v>
      </c>
      <c r="AJ52" s="297">
        <f t="shared" si="5"/>
        <v>0</v>
      </c>
      <c r="AK52" s="852"/>
      <c r="AL52" s="1015"/>
      <c r="AM52" s="1015"/>
      <c r="AN52" s="912"/>
      <c r="AO52" s="918"/>
      <c r="AP52" s="918"/>
      <c r="AQ52" s="919"/>
      <c r="AR52" s="919"/>
    </row>
    <row r="53" spans="1:44" s="618" customFormat="1" ht="18" customHeight="1">
      <c r="A53" s="1015"/>
      <c r="B53" s="1015"/>
      <c r="C53" s="1015"/>
      <c r="D53" s="1015"/>
      <c r="E53" s="629">
        <v>18.8</v>
      </c>
      <c r="F53" s="714" t="str">
        <f t="shared" ref="F53:F76" ca="1" si="6">OFFSET(G53,-1,-1)</f>
        <v>1</v>
      </c>
      <c r="G53" s="566" t="s">
        <v>1021</v>
      </c>
      <c r="H53" s="150" t="s">
        <v>1022</v>
      </c>
      <c r="I53" s="1015"/>
      <c r="J53" s="1015"/>
      <c r="K53" s="150" t="str">
        <f ca="1">F53&amp;"komm"</f>
        <v>1komm</v>
      </c>
      <c r="L53" s="152">
        <f>AK53</f>
        <v>0</v>
      </c>
      <c r="M53" s="1015"/>
      <c r="N53" s="1015"/>
      <c r="O53" s="1015"/>
      <c r="P53" s="1015"/>
      <c r="Q53" s="1015"/>
      <c r="R53" s="1015"/>
      <c r="S53" s="1015"/>
      <c r="T53" s="645" t="b">
        <f ca="1">F53&gt;0</f>
        <v>1</v>
      </c>
      <c r="U53" s="1015"/>
      <c r="V53" s="1015"/>
      <c r="W53" s="1015"/>
      <c r="X53" s="1400"/>
      <c r="Y53" s="1015"/>
      <c r="Z53" s="1400"/>
      <c r="AA53" s="1015"/>
      <c r="AB53" s="318">
        <v>1</v>
      </c>
      <c r="AC53" s="319" t="s">
        <v>1023</v>
      </c>
      <c r="AD53" s="96" t="s">
        <v>648</v>
      </c>
      <c r="AE53" s="1151"/>
      <c r="AF53" s="1151"/>
      <c r="AG53" s="1151"/>
      <c r="AH53" s="1151"/>
      <c r="AI53" s="216">
        <f>SUMIFS(AI54:AI58,$AD54:$AD58,$AD53)</f>
        <v>0</v>
      </c>
      <c r="AJ53" s="216">
        <f>SUMIFS(AJ54:AJ58,$AD54:$AD58,$AD53)</f>
        <v>0</v>
      </c>
      <c r="AK53" s="1145"/>
      <c r="AL53" s="1015"/>
      <c r="AM53" s="1015"/>
      <c r="AN53" s="912" t="s">
        <v>1024</v>
      </c>
      <c r="AO53" s="918"/>
      <c r="AP53" s="918"/>
      <c r="AQ53" s="919"/>
      <c r="AR53" s="919"/>
    </row>
    <row r="54" spans="1:44" s="618" customFormat="1" ht="11.25" hidden="1" customHeight="1">
      <c r="A54" s="1015"/>
      <c r="B54" s="1015"/>
      <c r="C54" s="1015"/>
      <c r="D54" s="1015"/>
      <c r="E54" s="629">
        <v>0</v>
      </c>
      <c r="F54" s="714" t="str">
        <f t="shared" ca="1" si="6"/>
        <v>1</v>
      </c>
      <c r="G54" s="1015"/>
      <c r="H54" s="1015"/>
      <c r="I54" s="1015"/>
      <c r="J54" s="1015"/>
      <c r="K54" s="1015"/>
      <c r="L54" s="1015"/>
      <c r="M54" s="1015"/>
      <c r="N54" s="1015"/>
      <c r="O54" s="1015"/>
      <c r="P54" s="1015"/>
      <c r="Q54" s="1015"/>
      <c r="R54" s="1015"/>
      <c r="S54" s="1015"/>
      <c r="T54" s="645" t="b">
        <f ca="1">F54&gt;0</f>
        <v>1</v>
      </c>
      <c r="U54" s="1015"/>
      <c r="V54" s="1015"/>
      <c r="W54" s="1015"/>
      <c r="X54" s="1400"/>
      <c r="Y54" s="1015"/>
      <c r="Z54" s="1400"/>
      <c r="AA54" s="1015"/>
      <c r="AB54" s="318"/>
      <c r="AC54" s="319"/>
      <c r="AD54" s="96"/>
      <c r="AE54" s="107"/>
      <c r="AF54" s="107"/>
      <c r="AG54" s="107"/>
      <c r="AH54" s="107"/>
      <c r="AI54" s="218"/>
      <c r="AJ54" s="218"/>
      <c r="AK54" s="666"/>
      <c r="AL54" s="1015"/>
      <c r="AM54" s="1015"/>
      <c r="AN54" s="912" t="s">
        <v>162</v>
      </c>
      <c r="AO54" s="918"/>
      <c r="AP54" s="918"/>
      <c r="AQ54" s="919"/>
      <c r="AR54" s="919"/>
    </row>
    <row r="55" spans="1:44" s="618" customFormat="1" ht="16.5" hidden="1" customHeight="1">
      <c r="A55" s="1015"/>
      <c r="B55" s="1015"/>
      <c r="C55" s="1015"/>
      <c r="D55" s="1015"/>
      <c r="E55" s="629">
        <v>17</v>
      </c>
      <c r="F55" s="714" t="str">
        <f t="shared" ca="1" si="6"/>
        <v>1</v>
      </c>
      <c r="G55" s="1015"/>
      <c r="H55" s="150" t="s">
        <v>1022</v>
      </c>
      <c r="I55" s="150">
        <f>AC55</f>
        <v>0</v>
      </c>
      <c r="J55" s="1015"/>
      <c r="K55" s="1015"/>
      <c r="L55" s="1015"/>
      <c r="M55" s="1015"/>
      <c r="N55" s="1015"/>
      <c r="O55" s="1015"/>
      <c r="P55" s="1015"/>
      <c r="Q55" s="1015"/>
      <c r="R55" s="1015"/>
      <c r="S55" s="1015"/>
      <c r="T55" s="645" t="b">
        <f ca="1">AND(F55&gt;0,Y55&gt;0)</f>
        <v>0</v>
      </c>
      <c r="U55" s="1015"/>
      <c r="V55" s="1015"/>
      <c r="W55" s="98" t="s">
        <v>170</v>
      </c>
      <c r="X55" s="1400"/>
      <c r="Y55" s="1400">
        <v>0</v>
      </c>
      <c r="Z55" s="1400"/>
      <c r="AA55" s="1483" t="s">
        <v>157</v>
      </c>
      <c r="AB55" s="318" t="str">
        <f>"1."&amp;Y55</f>
        <v>1.0</v>
      </c>
      <c r="AC55" s="5"/>
      <c r="AD55" s="96" t="s">
        <v>648</v>
      </c>
      <c r="AE55" s="107"/>
      <c r="AF55" s="107"/>
      <c r="AG55" s="107"/>
      <c r="AH55" s="107"/>
      <c r="AI55" s="217">
        <f>AI56*AI57*12/1000</f>
        <v>0</v>
      </c>
      <c r="AJ55" s="217">
        <f>AJ56*AJ57*12/1000</f>
        <v>0</v>
      </c>
      <c r="AK55" s="45"/>
      <c r="AL55" s="1015"/>
      <c r="AM55" s="1015"/>
      <c r="AN55" s="912" t="s">
        <v>1025</v>
      </c>
      <c r="AO55" s="918" t="s">
        <v>1026</v>
      </c>
      <c r="AP55" s="918">
        <f>AC55</f>
        <v>0</v>
      </c>
      <c r="AQ55" s="919"/>
      <c r="AR55" s="919" t="b">
        <v>1</v>
      </c>
    </row>
    <row r="56" spans="1:44" s="618" customFormat="1" ht="16.5" hidden="1" customHeight="1">
      <c r="A56" s="1015"/>
      <c r="B56" s="1015"/>
      <c r="C56" s="1015"/>
      <c r="D56" s="1015"/>
      <c r="E56" s="629">
        <v>17</v>
      </c>
      <c r="F56" s="714" t="str">
        <f t="shared" ca="1" si="6"/>
        <v>1</v>
      </c>
      <c r="G56" s="566" t="s">
        <v>1027</v>
      </c>
      <c r="H56" s="150" t="str">
        <f>H55&amp;"_1"</f>
        <v>L1_1</v>
      </c>
      <c r="I56" s="150">
        <f>I55</f>
        <v>0</v>
      </c>
      <c r="J56" s="1015"/>
      <c r="K56" s="1015"/>
      <c r="L56" s="1015"/>
      <c r="M56" s="1015"/>
      <c r="N56" s="1015"/>
      <c r="O56" s="1015"/>
      <c r="P56" s="1015"/>
      <c r="Q56" s="1015"/>
      <c r="R56" s="1015"/>
      <c r="S56" s="1015"/>
      <c r="T56" s="645" t="b">
        <f ca="1">T55</f>
        <v>0</v>
      </c>
      <c r="U56" s="1015"/>
      <c r="V56" s="1015"/>
      <c r="W56" s="1015"/>
      <c r="X56" s="1400"/>
      <c r="Y56" s="1400"/>
      <c r="Z56" s="1400"/>
      <c r="AA56" s="1483"/>
      <c r="AB56" s="318" t="str">
        <f>AB55&amp;".1"</f>
        <v>1.0.1</v>
      </c>
      <c r="AC56" s="228" t="s">
        <v>1028</v>
      </c>
      <c r="AD56" s="96" t="s">
        <v>1029</v>
      </c>
      <c r="AE56" s="107"/>
      <c r="AF56" s="107"/>
      <c r="AG56" s="107"/>
      <c r="AH56" s="107"/>
      <c r="AI56" s="234"/>
      <c r="AJ56" s="234"/>
      <c r="AK56" s="45"/>
      <c r="AL56" s="1015"/>
      <c r="AM56" s="1015"/>
      <c r="AN56" s="912" t="s">
        <v>1030</v>
      </c>
      <c r="AO56" s="918" t="s">
        <v>1026</v>
      </c>
      <c r="AP56" s="918">
        <f>AP55</f>
        <v>0</v>
      </c>
      <c r="AQ56" s="919"/>
      <c r="AR56" s="919"/>
    </row>
    <row r="57" spans="1:44" s="618" customFormat="1" ht="16.5" hidden="1" customHeight="1">
      <c r="A57" s="1015"/>
      <c r="B57" s="1015"/>
      <c r="C57" s="1015"/>
      <c r="D57" s="1015"/>
      <c r="E57" s="629">
        <v>17</v>
      </c>
      <c r="F57" s="714" t="str">
        <f t="shared" ca="1" si="6"/>
        <v>1</v>
      </c>
      <c r="G57" s="1015"/>
      <c r="H57" s="150" t="str">
        <f>H55&amp;"_2"</f>
        <v>L1_2</v>
      </c>
      <c r="I57" s="150">
        <f>I56</f>
        <v>0</v>
      </c>
      <c r="J57" s="1015"/>
      <c r="K57" s="1015"/>
      <c r="L57" s="1015"/>
      <c r="M57" s="1015"/>
      <c r="N57" s="1015"/>
      <c r="O57" s="1015"/>
      <c r="P57" s="1015"/>
      <c r="Q57" s="1015"/>
      <c r="R57" s="1015"/>
      <c r="S57" s="1015"/>
      <c r="T57" s="645" t="b">
        <f ca="1">T56</f>
        <v>0</v>
      </c>
      <c r="U57" s="1015"/>
      <c r="V57" s="1015"/>
      <c r="W57" s="1015"/>
      <c r="X57" s="1400"/>
      <c r="Y57" s="1400"/>
      <c r="Z57" s="1400"/>
      <c r="AA57" s="1483"/>
      <c r="AB57" s="318" t="str">
        <f>AB55&amp;".2"</f>
        <v>1.0.2</v>
      </c>
      <c r="AC57" s="228" t="s">
        <v>1031</v>
      </c>
      <c r="AD57" s="96" t="s">
        <v>1032</v>
      </c>
      <c r="AE57" s="107"/>
      <c r="AF57" s="107"/>
      <c r="AG57" s="107"/>
      <c r="AH57" s="107"/>
      <c r="AI57" s="234"/>
      <c r="AJ57" s="234"/>
      <c r="AK57" s="45"/>
      <c r="AL57" s="1015"/>
      <c r="AM57" s="1015"/>
      <c r="AN57" s="912" t="s">
        <v>1033</v>
      </c>
      <c r="AO57" s="918" t="s">
        <v>1026</v>
      </c>
      <c r="AP57" s="918">
        <f>AP56</f>
        <v>0</v>
      </c>
      <c r="AQ57" s="919"/>
      <c r="AR57" s="919"/>
    </row>
    <row r="58" spans="1:44" s="618" customFormat="1" ht="16.5" customHeight="1">
      <c r="A58" s="1015"/>
      <c r="B58" s="1015"/>
      <c r="C58" s="1015"/>
      <c r="D58" s="1015"/>
      <c r="E58" s="629">
        <v>17</v>
      </c>
      <c r="F58" s="714" t="str">
        <f t="shared" ca="1" si="6"/>
        <v>1</v>
      </c>
      <c r="G58" s="1015"/>
      <c r="H58" s="150" t="str">
        <f ca="1">F58&amp;"pIns1"</f>
        <v>1pIns1</v>
      </c>
      <c r="I58" s="1015"/>
      <c r="J58" s="1015"/>
      <c r="K58" s="1015"/>
      <c r="L58" s="1015"/>
      <c r="M58" s="1015"/>
      <c r="N58" s="1015"/>
      <c r="O58" s="1015"/>
      <c r="P58" s="1015"/>
      <c r="Q58" s="1015"/>
      <c r="R58" s="1015"/>
      <c r="S58" s="1015"/>
      <c r="T58" s="645" t="b">
        <f ca="1">F58&gt;0</f>
        <v>1</v>
      </c>
      <c r="U58" s="1015"/>
      <c r="V58" s="1015"/>
      <c r="W58" s="291" t="s">
        <v>764</v>
      </c>
      <c r="X58" s="1400"/>
      <c r="Y58" s="1015"/>
      <c r="Z58" s="1400"/>
      <c r="AA58" s="1015"/>
      <c r="AB58" s="236"/>
      <c r="AC58" s="237" t="s">
        <v>172</v>
      </c>
      <c r="AD58" s="237"/>
      <c r="AE58" s="237"/>
      <c r="AF58" s="237"/>
      <c r="AG58" s="237"/>
      <c r="AH58" s="237"/>
      <c r="AI58" s="237"/>
      <c r="AJ58" s="237"/>
      <c r="AK58" s="851"/>
      <c r="AL58" s="1015"/>
      <c r="AM58" s="1015"/>
      <c r="AN58" s="912" t="s">
        <v>162</v>
      </c>
      <c r="AO58" s="918"/>
      <c r="AP58" s="918"/>
      <c r="AQ58" s="919" t="s">
        <v>1026</v>
      </c>
      <c r="AR58" s="919"/>
    </row>
    <row r="59" spans="1:44" s="618" customFormat="1" ht="24" customHeight="1">
      <c r="A59" s="1015"/>
      <c r="B59" s="1015"/>
      <c r="C59" s="1015"/>
      <c r="D59" s="1015"/>
      <c r="E59" s="629">
        <v>24.8</v>
      </c>
      <c r="F59" s="714" t="str">
        <f t="shared" ca="1" si="6"/>
        <v>1</v>
      </c>
      <c r="G59" s="566" t="s">
        <v>1034</v>
      </c>
      <c r="H59" s="150" t="s">
        <v>1011</v>
      </c>
      <c r="I59" s="1015"/>
      <c r="J59" s="1015"/>
      <c r="K59" s="1015"/>
      <c r="L59" s="1015"/>
      <c r="M59" s="1015"/>
      <c r="N59" s="1015"/>
      <c r="O59" s="1015"/>
      <c r="P59" s="1015"/>
      <c r="Q59" s="1015"/>
      <c r="R59" s="1015"/>
      <c r="S59" s="1015"/>
      <c r="T59" s="645" t="b">
        <f ca="1">F59&gt;0</f>
        <v>1</v>
      </c>
      <c r="U59" s="1015"/>
      <c r="V59" s="1015"/>
      <c r="W59" s="1015"/>
      <c r="X59" s="1400"/>
      <c r="Y59" s="1015"/>
      <c r="Z59" s="1400"/>
      <c r="AA59" s="1015"/>
      <c r="AB59" s="318" t="s">
        <v>343</v>
      </c>
      <c r="AC59" s="319" t="s">
        <v>1035</v>
      </c>
      <c r="AD59" s="96" t="s">
        <v>648</v>
      </c>
      <c r="AE59" s="1151"/>
      <c r="AF59" s="1151"/>
      <c r="AG59" s="1151"/>
      <c r="AH59" s="1151"/>
      <c r="AI59" s="216">
        <f>SUMIFS(AI60:AI64,$AD60:$AD64,$AD59)</f>
        <v>0</v>
      </c>
      <c r="AJ59" s="216">
        <f>SUMIFS(AJ60:AJ64,$AD60:$AD64,$AD59)</f>
        <v>0</v>
      </c>
      <c r="AK59" s="1145"/>
      <c r="AL59" s="1015"/>
      <c r="AM59" s="1015"/>
      <c r="AN59" s="912" t="s">
        <v>1036</v>
      </c>
      <c r="AO59" s="918"/>
      <c r="AP59" s="918"/>
      <c r="AQ59" s="919"/>
      <c r="AR59" s="919"/>
    </row>
    <row r="60" spans="1:44" s="618" customFormat="1" ht="9" hidden="1" customHeight="1">
      <c r="A60" s="1015"/>
      <c r="B60" s="1015"/>
      <c r="C60" s="1015"/>
      <c r="D60" s="1015"/>
      <c r="E60" s="629">
        <v>0</v>
      </c>
      <c r="F60" s="714" t="str">
        <f t="shared" ca="1" si="6"/>
        <v>1</v>
      </c>
      <c r="G60" s="1015"/>
      <c r="H60" s="1015"/>
      <c r="I60" s="1015"/>
      <c r="J60" s="1015"/>
      <c r="K60" s="1015"/>
      <c r="L60" s="1015"/>
      <c r="M60" s="1015"/>
      <c r="N60" s="1015"/>
      <c r="O60" s="1015"/>
      <c r="P60" s="1015"/>
      <c r="Q60" s="1015"/>
      <c r="R60" s="1015"/>
      <c r="S60" s="1015"/>
      <c r="T60" s="645" t="b">
        <f ca="1">F60&gt;0</f>
        <v>1</v>
      </c>
      <c r="U60" s="1015"/>
      <c r="V60" s="1015"/>
      <c r="W60" s="1015"/>
      <c r="X60" s="1400"/>
      <c r="Y60" s="1015"/>
      <c r="Z60" s="1400"/>
      <c r="AA60" s="1015"/>
      <c r="AB60" s="318"/>
      <c r="AC60" s="319"/>
      <c r="AD60" s="96"/>
      <c r="AE60" s="107"/>
      <c r="AF60" s="107"/>
      <c r="AG60" s="107"/>
      <c r="AH60" s="107"/>
      <c r="AI60" s="218"/>
      <c r="AJ60" s="218"/>
      <c r="AK60" s="666"/>
      <c r="AL60" s="1015"/>
      <c r="AM60" s="1015"/>
      <c r="AN60" s="912"/>
      <c r="AO60" s="918"/>
      <c r="AP60" s="918"/>
      <c r="AQ60" s="919"/>
      <c r="AR60" s="919"/>
    </row>
    <row r="61" spans="1:44" s="618" customFormat="1" ht="16.5" hidden="1" customHeight="1">
      <c r="A61" s="1015"/>
      <c r="B61" s="1015"/>
      <c r="C61" s="1015"/>
      <c r="D61" s="1015"/>
      <c r="E61" s="629">
        <v>17</v>
      </c>
      <c r="F61" s="714" t="str">
        <f t="shared" ca="1" si="6"/>
        <v>1</v>
      </c>
      <c r="G61" s="1015"/>
      <c r="H61" s="150" t="s">
        <v>1011</v>
      </c>
      <c r="I61" s="150">
        <f>AC61</f>
        <v>0</v>
      </c>
      <c r="J61" s="1015"/>
      <c r="K61" s="1015"/>
      <c r="L61" s="1015"/>
      <c r="M61" s="1015"/>
      <c r="N61" s="1015"/>
      <c r="O61" s="1015"/>
      <c r="P61" s="1015"/>
      <c r="Q61" s="1015"/>
      <c r="R61" s="1015"/>
      <c r="S61" s="1015"/>
      <c r="T61" s="645" t="b">
        <f ca="1">AND(F61&gt;0,Y61&gt;0)</f>
        <v>0</v>
      </c>
      <c r="U61" s="1015"/>
      <c r="V61" s="1015"/>
      <c r="W61" s="98" t="s">
        <v>170</v>
      </c>
      <c r="X61" s="1400"/>
      <c r="Y61" s="1400">
        <v>0</v>
      </c>
      <c r="Z61" s="1400"/>
      <c r="AA61" s="1483" t="s">
        <v>157</v>
      </c>
      <c r="AB61" s="318" t="str">
        <f>"2."&amp;Y61</f>
        <v>2.0</v>
      </c>
      <c r="AC61" s="5"/>
      <c r="AD61" s="96" t="s">
        <v>648</v>
      </c>
      <c r="AE61" s="107"/>
      <c r="AF61" s="107"/>
      <c r="AG61" s="107"/>
      <c r="AH61" s="107"/>
      <c r="AI61" s="217">
        <f>AI62*AI63*12/1000</f>
        <v>0</v>
      </c>
      <c r="AJ61" s="217">
        <f>AJ62*AJ63*12/1000</f>
        <v>0</v>
      </c>
      <c r="AK61" s="45"/>
      <c r="AL61" s="1015"/>
      <c r="AM61" s="1015"/>
      <c r="AN61" s="912" t="s">
        <v>1037</v>
      </c>
      <c r="AO61" s="918" t="s">
        <v>1038</v>
      </c>
      <c r="AP61" s="918">
        <f>AC61</f>
        <v>0</v>
      </c>
      <c r="AQ61" s="919"/>
      <c r="AR61" s="919" t="b">
        <v>1</v>
      </c>
    </row>
    <row r="62" spans="1:44" s="618" customFormat="1" ht="16.5" hidden="1" customHeight="1">
      <c r="A62" s="1015"/>
      <c r="B62" s="1015"/>
      <c r="C62" s="1015"/>
      <c r="D62" s="1015"/>
      <c r="E62" s="629">
        <v>17</v>
      </c>
      <c r="F62" s="714" t="str">
        <f t="shared" ca="1" si="6"/>
        <v>1</v>
      </c>
      <c r="G62" s="566" t="s">
        <v>1039</v>
      </c>
      <c r="H62" s="150" t="str">
        <f>H61&amp;"_1"</f>
        <v>L5_1</v>
      </c>
      <c r="I62" s="150">
        <f>I61</f>
        <v>0</v>
      </c>
      <c r="J62" s="1015"/>
      <c r="K62" s="1015"/>
      <c r="L62" s="1015"/>
      <c r="M62" s="1015"/>
      <c r="N62" s="1015"/>
      <c r="O62" s="1015"/>
      <c r="P62" s="1015"/>
      <c r="Q62" s="1015"/>
      <c r="R62" s="1015"/>
      <c r="S62" s="1015"/>
      <c r="T62" s="645" t="b">
        <f ca="1">T61</f>
        <v>0</v>
      </c>
      <c r="U62" s="1015"/>
      <c r="V62" s="1015"/>
      <c r="W62" s="1015"/>
      <c r="X62" s="1400"/>
      <c r="Y62" s="1400"/>
      <c r="Z62" s="1400"/>
      <c r="AA62" s="1483"/>
      <c r="AB62" s="318" t="str">
        <f>AB61&amp;".1"</f>
        <v>2.0.1</v>
      </c>
      <c r="AC62" s="228" t="s">
        <v>1028</v>
      </c>
      <c r="AD62" s="96" t="s">
        <v>1029</v>
      </c>
      <c r="AE62" s="107"/>
      <c r="AF62" s="107"/>
      <c r="AG62" s="107"/>
      <c r="AH62" s="107"/>
      <c r="AI62" s="234"/>
      <c r="AJ62" s="234"/>
      <c r="AK62" s="45"/>
      <c r="AL62" s="1015"/>
      <c r="AM62" s="1015"/>
      <c r="AN62" s="912" t="s">
        <v>1040</v>
      </c>
      <c r="AO62" s="918" t="s">
        <v>1038</v>
      </c>
      <c r="AP62" s="918">
        <f>AP61</f>
        <v>0</v>
      </c>
      <c r="AQ62" s="919"/>
      <c r="AR62" s="919"/>
    </row>
    <row r="63" spans="1:44" s="618" customFormat="1" ht="16.5" hidden="1" customHeight="1">
      <c r="A63" s="1015"/>
      <c r="B63" s="1015"/>
      <c r="C63" s="1015"/>
      <c r="D63" s="1015"/>
      <c r="E63" s="629">
        <v>17</v>
      </c>
      <c r="F63" s="714" t="str">
        <f t="shared" ca="1" si="6"/>
        <v>1</v>
      </c>
      <c r="G63" s="1015"/>
      <c r="H63" s="150" t="str">
        <f>H61&amp;"_2"</f>
        <v>L5_2</v>
      </c>
      <c r="I63" s="150">
        <f>I62</f>
        <v>0</v>
      </c>
      <c r="J63" s="1015"/>
      <c r="K63" s="1015"/>
      <c r="L63" s="1015"/>
      <c r="M63" s="1015"/>
      <c r="N63" s="1015"/>
      <c r="O63" s="1015"/>
      <c r="P63" s="1015"/>
      <c r="Q63" s="1015"/>
      <c r="R63" s="1015"/>
      <c r="S63" s="1015"/>
      <c r="T63" s="645" t="b">
        <f ca="1">T62</f>
        <v>0</v>
      </c>
      <c r="U63" s="1015"/>
      <c r="V63" s="1015"/>
      <c r="W63" s="1015"/>
      <c r="X63" s="1400"/>
      <c r="Y63" s="1400"/>
      <c r="Z63" s="1400"/>
      <c r="AA63" s="1483"/>
      <c r="AB63" s="318" t="str">
        <f>AB61&amp;".2"</f>
        <v>2.0.2</v>
      </c>
      <c r="AC63" s="228" t="s">
        <v>1031</v>
      </c>
      <c r="AD63" s="96" t="s">
        <v>1032</v>
      </c>
      <c r="AE63" s="107"/>
      <c r="AF63" s="107"/>
      <c r="AG63" s="107"/>
      <c r="AH63" s="107"/>
      <c r="AI63" s="234"/>
      <c r="AJ63" s="234"/>
      <c r="AK63" s="45"/>
      <c r="AL63" s="1015"/>
      <c r="AM63" s="1015"/>
      <c r="AN63" s="912" t="s">
        <v>1041</v>
      </c>
      <c r="AO63" s="918" t="s">
        <v>1038</v>
      </c>
      <c r="AP63" s="918">
        <f>AP62</f>
        <v>0</v>
      </c>
      <c r="AQ63" s="919"/>
      <c r="AR63" s="919"/>
    </row>
    <row r="64" spans="1:44" s="618" customFormat="1" ht="16.5" customHeight="1">
      <c r="A64" s="1015"/>
      <c r="B64" s="1015"/>
      <c r="C64" s="1015"/>
      <c r="D64" s="1015"/>
      <c r="E64" s="629">
        <v>17</v>
      </c>
      <c r="F64" s="714" t="str">
        <f t="shared" ca="1" si="6"/>
        <v>1</v>
      </c>
      <c r="G64" s="1015"/>
      <c r="H64" s="150" t="str">
        <f ca="1">F64&amp;"pIns3"</f>
        <v>1pIns3</v>
      </c>
      <c r="I64" s="1015"/>
      <c r="J64" s="1015"/>
      <c r="K64" s="1015"/>
      <c r="L64" s="1015"/>
      <c r="M64" s="1015"/>
      <c r="N64" s="1015"/>
      <c r="O64" s="1015"/>
      <c r="P64" s="1015"/>
      <c r="Q64" s="1015"/>
      <c r="R64" s="1015"/>
      <c r="S64" s="1015"/>
      <c r="T64" s="645" t="b">
        <f ca="1">F64&gt;0</f>
        <v>1</v>
      </c>
      <c r="U64" s="1015"/>
      <c r="V64" s="1015"/>
      <c r="W64" s="291" t="s">
        <v>775</v>
      </c>
      <c r="X64" s="1400"/>
      <c r="Y64" s="1015"/>
      <c r="Z64" s="1400"/>
      <c r="AA64" s="1015"/>
      <c r="AB64" s="236"/>
      <c r="AC64" s="237" t="s">
        <v>172</v>
      </c>
      <c r="AD64" s="237"/>
      <c r="AE64" s="237"/>
      <c r="AF64" s="237"/>
      <c r="AG64" s="237"/>
      <c r="AH64" s="237"/>
      <c r="AI64" s="237"/>
      <c r="AJ64" s="237"/>
      <c r="AK64" s="851"/>
      <c r="AL64" s="1015"/>
      <c r="AM64" s="1015"/>
      <c r="AN64" s="912" t="s">
        <v>162</v>
      </c>
      <c r="AO64" s="918"/>
      <c r="AP64" s="918"/>
      <c r="AQ64" s="919" t="s">
        <v>1038</v>
      </c>
      <c r="AR64" s="919"/>
    </row>
    <row r="65" spans="1:44" s="618" customFormat="1" ht="24" customHeight="1">
      <c r="A65" s="1015"/>
      <c r="B65" s="1015"/>
      <c r="C65" s="1015"/>
      <c r="D65" s="1015"/>
      <c r="E65" s="629">
        <v>24.8</v>
      </c>
      <c r="F65" s="714" t="str">
        <f t="shared" ca="1" si="6"/>
        <v>1</v>
      </c>
      <c r="G65" s="566" t="s">
        <v>1042</v>
      </c>
      <c r="H65" s="150" t="s">
        <v>1011</v>
      </c>
      <c r="I65" s="1015"/>
      <c r="J65" s="1015"/>
      <c r="K65" s="1015"/>
      <c r="L65" s="1015"/>
      <c r="M65" s="1015"/>
      <c r="N65" s="1015"/>
      <c r="O65" s="1015"/>
      <c r="P65" s="1015"/>
      <c r="Q65" s="1015"/>
      <c r="R65" s="1015"/>
      <c r="S65" s="1015"/>
      <c r="T65" s="645" t="b">
        <f ca="1">F65&gt;0</f>
        <v>1</v>
      </c>
      <c r="U65" s="1015"/>
      <c r="V65" s="1015"/>
      <c r="W65" s="1015"/>
      <c r="X65" s="1400"/>
      <c r="Y65" s="1015"/>
      <c r="Z65" s="1400"/>
      <c r="AA65" s="1015"/>
      <c r="AB65" s="318" t="s">
        <v>520</v>
      </c>
      <c r="AC65" s="319" t="s">
        <v>1043</v>
      </c>
      <c r="AD65" s="96" t="s">
        <v>648</v>
      </c>
      <c r="AE65" s="1151"/>
      <c r="AF65" s="1151"/>
      <c r="AG65" s="1151"/>
      <c r="AH65" s="1151"/>
      <c r="AI65" s="216">
        <f>SUMIFS(AI66:AI70,$AD66:$AD70,$AD65)</f>
        <v>0</v>
      </c>
      <c r="AJ65" s="216">
        <f>SUMIFS(AJ66:AJ70,$AD66:$AD70,$AD65)</f>
        <v>0</v>
      </c>
      <c r="AK65" s="1145"/>
      <c r="AL65" s="1015"/>
      <c r="AM65" s="1015"/>
      <c r="AN65" s="912" t="s">
        <v>1044</v>
      </c>
      <c r="AO65" s="918"/>
      <c r="AP65" s="918"/>
      <c r="AQ65" s="919"/>
      <c r="AR65" s="919"/>
    </row>
    <row r="66" spans="1:44" s="618" customFormat="1" ht="9" hidden="1" customHeight="1">
      <c r="A66" s="1015"/>
      <c r="B66" s="1015"/>
      <c r="C66" s="1015"/>
      <c r="D66" s="1015"/>
      <c r="E66" s="629">
        <v>0</v>
      </c>
      <c r="F66" s="714" t="str">
        <f t="shared" ca="1" si="6"/>
        <v>1</v>
      </c>
      <c r="G66" s="1015"/>
      <c r="H66" s="1015"/>
      <c r="I66" s="1015"/>
      <c r="J66" s="1015"/>
      <c r="K66" s="1015"/>
      <c r="L66" s="1015"/>
      <c r="M66" s="1015"/>
      <c r="N66" s="1015"/>
      <c r="O66" s="1015"/>
      <c r="P66" s="1015"/>
      <c r="Q66" s="1015"/>
      <c r="R66" s="1015"/>
      <c r="S66" s="1015"/>
      <c r="T66" s="645" t="b">
        <f ca="1">F66&gt;0</f>
        <v>1</v>
      </c>
      <c r="U66" s="1015"/>
      <c r="V66" s="1015"/>
      <c r="W66" s="1015"/>
      <c r="X66" s="1400"/>
      <c r="Y66" s="1015"/>
      <c r="Z66" s="1400"/>
      <c r="AA66" s="1015"/>
      <c r="AB66" s="318"/>
      <c r="AC66" s="319"/>
      <c r="AD66" s="96"/>
      <c r="AE66" s="107"/>
      <c r="AF66" s="107"/>
      <c r="AG66" s="107"/>
      <c r="AH66" s="107"/>
      <c r="AI66" s="218"/>
      <c r="AJ66" s="218"/>
      <c r="AK66" s="666"/>
      <c r="AL66" s="1015"/>
      <c r="AM66" s="1015"/>
      <c r="AN66" s="912"/>
      <c r="AO66" s="918"/>
      <c r="AP66" s="918"/>
      <c r="AQ66" s="919"/>
      <c r="AR66" s="919"/>
    </row>
    <row r="67" spans="1:44" s="618" customFormat="1" ht="16.5" hidden="1" customHeight="1">
      <c r="A67" s="1015"/>
      <c r="B67" s="1015"/>
      <c r="C67" s="1015"/>
      <c r="D67" s="1015"/>
      <c r="E67" s="629">
        <v>17</v>
      </c>
      <c r="F67" s="714" t="str">
        <f t="shared" ca="1" si="6"/>
        <v>1</v>
      </c>
      <c r="G67" s="1015"/>
      <c r="H67" s="150" t="s">
        <v>1011</v>
      </c>
      <c r="I67" s="150">
        <f>AC67</f>
        <v>0</v>
      </c>
      <c r="J67" s="1015"/>
      <c r="K67" s="1015"/>
      <c r="L67" s="1015"/>
      <c r="M67" s="1015"/>
      <c r="N67" s="1015"/>
      <c r="O67" s="1015"/>
      <c r="P67" s="1015"/>
      <c r="Q67" s="1015"/>
      <c r="R67" s="1015"/>
      <c r="S67" s="1015"/>
      <c r="T67" s="645" t="b">
        <f ca="1">AND(F67&gt;0,Y67&gt;0)</f>
        <v>0</v>
      </c>
      <c r="U67" s="1015"/>
      <c r="V67" s="1015"/>
      <c r="W67" s="98" t="s">
        <v>170</v>
      </c>
      <c r="X67" s="1400"/>
      <c r="Y67" s="1400">
        <v>0</v>
      </c>
      <c r="Z67" s="1400"/>
      <c r="AA67" s="1483" t="s">
        <v>157</v>
      </c>
      <c r="AB67" s="318" t="str">
        <f>"3."&amp;Y67</f>
        <v>3.0</v>
      </c>
      <c r="AC67" s="5"/>
      <c r="AD67" s="96" t="s">
        <v>648</v>
      </c>
      <c r="AE67" s="107"/>
      <c r="AF67" s="107"/>
      <c r="AG67" s="107"/>
      <c r="AH67" s="107"/>
      <c r="AI67" s="217">
        <f>AI68*AI69*12/1000</f>
        <v>0</v>
      </c>
      <c r="AJ67" s="217">
        <f>AJ68*AJ69*12/1000</f>
        <v>0</v>
      </c>
      <c r="AK67" s="45"/>
      <c r="AL67" s="1015"/>
      <c r="AM67" s="1015"/>
      <c r="AN67" s="912" t="s">
        <v>1045</v>
      </c>
      <c r="AO67" s="918" t="s">
        <v>1046</v>
      </c>
      <c r="AP67" s="918">
        <f>AC67</f>
        <v>0</v>
      </c>
      <c r="AQ67" s="919"/>
      <c r="AR67" s="919" t="b">
        <v>1</v>
      </c>
    </row>
    <row r="68" spans="1:44" s="618" customFormat="1" ht="16.5" hidden="1" customHeight="1">
      <c r="A68" s="1015"/>
      <c r="B68" s="1015"/>
      <c r="C68" s="1015"/>
      <c r="D68" s="1015"/>
      <c r="E68" s="629">
        <v>17</v>
      </c>
      <c r="F68" s="714" t="str">
        <f t="shared" ca="1" si="6"/>
        <v>1</v>
      </c>
      <c r="G68" s="566" t="s">
        <v>1047</v>
      </c>
      <c r="H68" s="150" t="str">
        <f>H67&amp;"_1"</f>
        <v>L5_1</v>
      </c>
      <c r="I68" s="150">
        <f>I67</f>
        <v>0</v>
      </c>
      <c r="J68" s="1015"/>
      <c r="K68" s="1015"/>
      <c r="L68" s="1015"/>
      <c r="M68" s="1015"/>
      <c r="N68" s="1015"/>
      <c r="O68" s="1015"/>
      <c r="P68" s="1015"/>
      <c r="Q68" s="1015"/>
      <c r="R68" s="1015"/>
      <c r="S68" s="1015"/>
      <c r="T68" s="645" t="b">
        <f ca="1">T67</f>
        <v>0</v>
      </c>
      <c r="U68" s="1015"/>
      <c r="V68" s="1015"/>
      <c r="W68" s="1015"/>
      <c r="X68" s="1400"/>
      <c r="Y68" s="1400"/>
      <c r="Z68" s="1400"/>
      <c r="AA68" s="1483"/>
      <c r="AB68" s="318" t="str">
        <f>AB67&amp;".1"</f>
        <v>3.0.1</v>
      </c>
      <c r="AC68" s="228" t="s">
        <v>1028</v>
      </c>
      <c r="AD68" s="96" t="s">
        <v>1029</v>
      </c>
      <c r="AE68" s="107"/>
      <c r="AF68" s="107"/>
      <c r="AG68" s="107"/>
      <c r="AH68" s="107"/>
      <c r="AI68" s="234"/>
      <c r="AJ68" s="234"/>
      <c r="AK68" s="45"/>
      <c r="AL68" s="1015"/>
      <c r="AM68" s="1015"/>
      <c r="AN68" s="912" t="s">
        <v>1048</v>
      </c>
      <c r="AO68" s="918" t="s">
        <v>1046</v>
      </c>
      <c r="AP68" s="918">
        <f>AP67</f>
        <v>0</v>
      </c>
      <c r="AQ68" s="919"/>
      <c r="AR68" s="919"/>
    </row>
    <row r="69" spans="1:44" s="618" customFormat="1" ht="16.5" hidden="1" customHeight="1">
      <c r="A69" s="1015"/>
      <c r="B69" s="1015"/>
      <c r="C69" s="1015"/>
      <c r="D69" s="1015"/>
      <c r="E69" s="629">
        <v>17</v>
      </c>
      <c r="F69" s="714" t="str">
        <f t="shared" ca="1" si="6"/>
        <v>1</v>
      </c>
      <c r="G69" s="1015"/>
      <c r="H69" s="150" t="str">
        <f>H67&amp;"_2"</f>
        <v>L5_2</v>
      </c>
      <c r="I69" s="150">
        <f>I68</f>
        <v>0</v>
      </c>
      <c r="J69" s="1015"/>
      <c r="K69" s="1015"/>
      <c r="L69" s="1015"/>
      <c r="M69" s="1015"/>
      <c r="N69" s="1015"/>
      <c r="O69" s="1015"/>
      <c r="P69" s="1015"/>
      <c r="Q69" s="1015"/>
      <c r="R69" s="1015"/>
      <c r="S69" s="1015"/>
      <c r="T69" s="645" t="b">
        <f ca="1">T68</f>
        <v>0</v>
      </c>
      <c r="U69" s="1015"/>
      <c r="V69" s="1015"/>
      <c r="W69" s="1015"/>
      <c r="X69" s="1400"/>
      <c r="Y69" s="1400"/>
      <c r="Z69" s="1400"/>
      <c r="AA69" s="1483"/>
      <c r="AB69" s="318" t="str">
        <f>AB67&amp;".2"</f>
        <v>3.0.2</v>
      </c>
      <c r="AC69" s="228" t="s">
        <v>1031</v>
      </c>
      <c r="AD69" s="96" t="s">
        <v>1032</v>
      </c>
      <c r="AE69" s="107"/>
      <c r="AF69" s="107"/>
      <c r="AG69" s="107"/>
      <c r="AH69" s="107"/>
      <c r="AI69" s="234"/>
      <c r="AJ69" s="234"/>
      <c r="AK69" s="45"/>
      <c r="AL69" s="1015"/>
      <c r="AM69" s="1015"/>
      <c r="AN69" s="912" t="s">
        <v>1049</v>
      </c>
      <c r="AO69" s="918" t="s">
        <v>1046</v>
      </c>
      <c r="AP69" s="918">
        <f>AP68</f>
        <v>0</v>
      </c>
      <c r="AQ69" s="919"/>
      <c r="AR69" s="919"/>
    </row>
    <row r="70" spans="1:44" s="618" customFormat="1" ht="16.5" customHeight="1">
      <c r="A70" s="1015"/>
      <c r="B70" s="1015"/>
      <c r="C70" s="1015"/>
      <c r="D70" s="1015"/>
      <c r="E70" s="629">
        <v>17</v>
      </c>
      <c r="F70" s="714" t="str">
        <f t="shared" ca="1" si="6"/>
        <v>1</v>
      </c>
      <c r="G70" s="1015"/>
      <c r="H70" s="150" t="str">
        <f ca="1">F70&amp;"pIns3"</f>
        <v>1pIns3</v>
      </c>
      <c r="I70" s="1015"/>
      <c r="J70" s="1015"/>
      <c r="K70" s="1015"/>
      <c r="L70" s="1015"/>
      <c r="M70" s="1015"/>
      <c r="N70" s="1015"/>
      <c r="O70" s="1015"/>
      <c r="P70" s="1015"/>
      <c r="Q70" s="1015"/>
      <c r="R70" s="1015"/>
      <c r="S70" s="1015"/>
      <c r="T70" s="645" t="b">
        <f ca="1">F70&gt;0</f>
        <v>1</v>
      </c>
      <c r="U70" s="1015"/>
      <c r="V70" s="1015"/>
      <c r="W70" s="291" t="s">
        <v>1018</v>
      </c>
      <c r="X70" s="1400"/>
      <c r="Y70" s="1015"/>
      <c r="Z70" s="1400"/>
      <c r="AA70" s="1015"/>
      <c r="AB70" s="236"/>
      <c r="AC70" s="237" t="s">
        <v>172</v>
      </c>
      <c r="AD70" s="237"/>
      <c r="AE70" s="237"/>
      <c r="AF70" s="237"/>
      <c r="AG70" s="237"/>
      <c r="AH70" s="237"/>
      <c r="AI70" s="237"/>
      <c r="AJ70" s="237"/>
      <c r="AK70" s="851"/>
      <c r="AL70" s="1015"/>
      <c r="AM70" s="1015"/>
      <c r="AN70" s="912" t="s">
        <v>162</v>
      </c>
      <c r="AO70" s="918"/>
      <c r="AP70" s="918"/>
      <c r="AQ70" s="919" t="s">
        <v>1046</v>
      </c>
      <c r="AR70" s="919"/>
    </row>
    <row r="71" spans="1:44" s="618" customFormat="1" ht="24" customHeight="1">
      <c r="A71" s="1015"/>
      <c r="B71" s="1015"/>
      <c r="C71" s="1015"/>
      <c r="D71" s="1015"/>
      <c r="E71" s="629">
        <v>24.8</v>
      </c>
      <c r="F71" s="714" t="str">
        <f t="shared" ca="1" si="6"/>
        <v>1</v>
      </c>
      <c r="G71" s="566" t="s">
        <v>1050</v>
      </c>
      <c r="H71" s="150" t="s">
        <v>1011</v>
      </c>
      <c r="I71" s="1015"/>
      <c r="J71" s="1015"/>
      <c r="K71" s="1015"/>
      <c r="L71" s="1015"/>
      <c r="M71" s="1015"/>
      <c r="N71" s="1015"/>
      <c r="O71" s="1015"/>
      <c r="P71" s="1015"/>
      <c r="Q71" s="1015"/>
      <c r="R71" s="1015"/>
      <c r="S71" s="1015"/>
      <c r="T71" s="645" t="b">
        <f ca="1">F71&gt;0</f>
        <v>1</v>
      </c>
      <c r="U71" s="1015"/>
      <c r="V71" s="1015"/>
      <c r="W71" s="1015"/>
      <c r="X71" s="1400"/>
      <c r="Y71" s="1015"/>
      <c r="Z71" s="1400"/>
      <c r="AA71" s="1015"/>
      <c r="AB71" s="318" t="s">
        <v>527</v>
      </c>
      <c r="AC71" s="319" t="s">
        <v>1051</v>
      </c>
      <c r="AD71" s="96" t="s">
        <v>648</v>
      </c>
      <c r="AE71" s="1151"/>
      <c r="AF71" s="1151"/>
      <c r="AG71" s="1151"/>
      <c r="AH71" s="1151"/>
      <c r="AI71" s="216">
        <f>SUMIFS(AI72:AI76,$AD72:$AD76,$AD71)</f>
        <v>0</v>
      </c>
      <c r="AJ71" s="216">
        <f>SUMIFS(AJ72:AJ76,$AD72:$AD76,$AD71)</f>
        <v>0</v>
      </c>
      <c r="AK71" s="1145"/>
      <c r="AL71" s="1015"/>
      <c r="AM71" s="1015"/>
      <c r="AN71" s="912" t="s">
        <v>1052</v>
      </c>
      <c r="AO71" s="918"/>
      <c r="AP71" s="918"/>
      <c r="AQ71" s="919"/>
      <c r="AR71" s="919"/>
    </row>
    <row r="72" spans="1:44" s="618" customFormat="1" ht="9" hidden="1" customHeight="1">
      <c r="A72" s="1015"/>
      <c r="B72" s="1015"/>
      <c r="C72" s="1015"/>
      <c r="D72" s="1015"/>
      <c r="E72" s="629">
        <v>0</v>
      </c>
      <c r="F72" s="714" t="str">
        <f t="shared" ca="1" si="6"/>
        <v>1</v>
      </c>
      <c r="G72" s="1015"/>
      <c r="H72" s="1015"/>
      <c r="I72" s="1015"/>
      <c r="J72" s="1015"/>
      <c r="K72" s="1015"/>
      <c r="L72" s="1015"/>
      <c r="M72" s="1015"/>
      <c r="N72" s="1015"/>
      <c r="O72" s="1015"/>
      <c r="P72" s="1015"/>
      <c r="Q72" s="1015"/>
      <c r="R72" s="1015"/>
      <c r="S72" s="1015"/>
      <c r="T72" s="645" t="b">
        <f ca="1">F72&gt;0</f>
        <v>1</v>
      </c>
      <c r="U72" s="1015"/>
      <c r="V72" s="1015"/>
      <c r="W72" s="1015"/>
      <c r="X72" s="1400"/>
      <c r="Y72" s="1015"/>
      <c r="Z72" s="1400"/>
      <c r="AA72" s="1015"/>
      <c r="AB72" s="318"/>
      <c r="AC72" s="319"/>
      <c r="AD72" s="96"/>
      <c r="AE72" s="107"/>
      <c r="AF72" s="107"/>
      <c r="AG72" s="107"/>
      <c r="AH72" s="107"/>
      <c r="AI72" s="218"/>
      <c r="AJ72" s="218"/>
      <c r="AK72" s="666"/>
      <c r="AL72" s="1015"/>
      <c r="AM72" s="1015"/>
      <c r="AN72" s="912"/>
      <c r="AO72" s="918"/>
      <c r="AP72" s="918"/>
      <c r="AQ72" s="919"/>
      <c r="AR72" s="919"/>
    </row>
    <row r="73" spans="1:44" s="618" customFormat="1" ht="16.5" hidden="1" customHeight="1">
      <c r="A73" s="1015"/>
      <c r="B73" s="1015"/>
      <c r="C73" s="1015"/>
      <c r="D73" s="1015"/>
      <c r="E73" s="629">
        <v>17</v>
      </c>
      <c r="F73" s="714" t="str">
        <f t="shared" ca="1" si="6"/>
        <v>1</v>
      </c>
      <c r="G73" s="1015"/>
      <c r="H73" s="150" t="s">
        <v>1011</v>
      </c>
      <c r="I73" s="150">
        <f>AC73</f>
        <v>0</v>
      </c>
      <c r="J73" s="1015"/>
      <c r="K73" s="1015"/>
      <c r="L73" s="1015"/>
      <c r="M73" s="1015"/>
      <c r="N73" s="1015"/>
      <c r="O73" s="1015"/>
      <c r="P73" s="1015"/>
      <c r="Q73" s="1015"/>
      <c r="R73" s="1015"/>
      <c r="S73" s="1015"/>
      <c r="T73" s="645" t="b">
        <f ca="1">AND(F73&gt;0,Y73&gt;0)</f>
        <v>0</v>
      </c>
      <c r="U73" s="1015"/>
      <c r="V73" s="1015"/>
      <c r="W73" s="98" t="s">
        <v>170</v>
      </c>
      <c r="X73" s="1400"/>
      <c r="Y73" s="1400">
        <v>0</v>
      </c>
      <c r="Z73" s="1400"/>
      <c r="AA73" s="1483" t="s">
        <v>157</v>
      </c>
      <c r="AB73" s="318" t="str">
        <f>"4."&amp;Y73</f>
        <v>4.0</v>
      </c>
      <c r="AC73" s="5"/>
      <c r="AD73" s="96" t="s">
        <v>648</v>
      </c>
      <c r="AE73" s="107"/>
      <c r="AF73" s="107"/>
      <c r="AG73" s="107"/>
      <c r="AH73" s="107"/>
      <c r="AI73" s="217">
        <f>AI74*AI75*12/1000</f>
        <v>0</v>
      </c>
      <c r="AJ73" s="217">
        <f>AJ74*AJ75*12/1000</f>
        <v>0</v>
      </c>
      <c r="AK73" s="45"/>
      <c r="AL73" s="1015"/>
      <c r="AM73" s="1015"/>
      <c r="AN73" s="912" t="s">
        <v>1053</v>
      </c>
      <c r="AO73" s="918" t="s">
        <v>1054</v>
      </c>
      <c r="AP73" s="918">
        <f>AC73</f>
        <v>0</v>
      </c>
      <c r="AQ73" s="919"/>
      <c r="AR73" s="919" t="b">
        <v>1</v>
      </c>
    </row>
    <row r="74" spans="1:44" s="618" customFormat="1" ht="16.5" hidden="1" customHeight="1">
      <c r="A74" s="1015"/>
      <c r="B74" s="1015"/>
      <c r="C74" s="1015"/>
      <c r="D74" s="1015"/>
      <c r="E74" s="629">
        <v>17</v>
      </c>
      <c r="F74" s="714" t="str">
        <f t="shared" ca="1" si="6"/>
        <v>1</v>
      </c>
      <c r="G74" s="566" t="s">
        <v>1055</v>
      </c>
      <c r="H74" s="150" t="str">
        <f>H73&amp;"_1"</f>
        <v>L5_1</v>
      </c>
      <c r="I74" s="150">
        <f>I73</f>
        <v>0</v>
      </c>
      <c r="J74" s="1015"/>
      <c r="K74" s="1015"/>
      <c r="L74" s="1015"/>
      <c r="M74" s="1015"/>
      <c r="N74" s="1015"/>
      <c r="O74" s="1015"/>
      <c r="P74" s="1015"/>
      <c r="Q74" s="1015"/>
      <c r="R74" s="1015"/>
      <c r="S74" s="1015"/>
      <c r="T74" s="645" t="b">
        <f ca="1">T73</f>
        <v>0</v>
      </c>
      <c r="U74" s="1015"/>
      <c r="V74" s="1015"/>
      <c r="W74" s="1015"/>
      <c r="X74" s="1400"/>
      <c r="Y74" s="1400"/>
      <c r="Z74" s="1400"/>
      <c r="AA74" s="1483"/>
      <c r="AB74" s="318" t="str">
        <f>AB73&amp;".1"</f>
        <v>4.0.1</v>
      </c>
      <c r="AC74" s="228" t="s">
        <v>1028</v>
      </c>
      <c r="AD74" s="96" t="s">
        <v>1029</v>
      </c>
      <c r="AE74" s="107"/>
      <c r="AF74" s="107"/>
      <c r="AG74" s="107"/>
      <c r="AH74" s="107"/>
      <c r="AI74" s="234"/>
      <c r="AJ74" s="234"/>
      <c r="AK74" s="45"/>
      <c r="AL74" s="1015"/>
      <c r="AM74" s="1015"/>
      <c r="AN74" s="912" t="s">
        <v>1056</v>
      </c>
      <c r="AO74" s="918" t="s">
        <v>1054</v>
      </c>
      <c r="AP74" s="918">
        <f>AP73</f>
        <v>0</v>
      </c>
      <c r="AQ74" s="919"/>
      <c r="AR74" s="919"/>
    </row>
    <row r="75" spans="1:44" s="618" customFormat="1" ht="16.5" hidden="1" customHeight="1">
      <c r="A75" s="1015"/>
      <c r="B75" s="1015"/>
      <c r="C75" s="1015"/>
      <c r="D75" s="1015"/>
      <c r="E75" s="629">
        <v>17</v>
      </c>
      <c r="F75" s="714" t="str">
        <f t="shared" ca="1" si="6"/>
        <v>1</v>
      </c>
      <c r="G75" s="1015"/>
      <c r="H75" s="150" t="str">
        <f>H73&amp;"_2"</f>
        <v>L5_2</v>
      </c>
      <c r="I75" s="150">
        <f>I74</f>
        <v>0</v>
      </c>
      <c r="J75" s="1015"/>
      <c r="K75" s="1015"/>
      <c r="L75" s="1015"/>
      <c r="M75" s="1015"/>
      <c r="N75" s="1015"/>
      <c r="O75" s="1015"/>
      <c r="P75" s="1015"/>
      <c r="Q75" s="1015"/>
      <c r="R75" s="1015"/>
      <c r="S75" s="1015"/>
      <c r="T75" s="645" t="b">
        <f ca="1">T74</f>
        <v>0</v>
      </c>
      <c r="U75" s="1015"/>
      <c r="V75" s="1015"/>
      <c r="W75" s="1015"/>
      <c r="X75" s="1400"/>
      <c r="Y75" s="1400"/>
      <c r="Z75" s="1400"/>
      <c r="AA75" s="1483"/>
      <c r="AB75" s="318" t="str">
        <f>AB73&amp;".2"</f>
        <v>4.0.2</v>
      </c>
      <c r="AC75" s="228" t="s">
        <v>1031</v>
      </c>
      <c r="AD75" s="96" t="s">
        <v>1032</v>
      </c>
      <c r="AE75" s="107"/>
      <c r="AF75" s="107"/>
      <c r="AG75" s="107"/>
      <c r="AH75" s="107"/>
      <c r="AI75" s="234"/>
      <c r="AJ75" s="234"/>
      <c r="AK75" s="45"/>
      <c r="AL75" s="1015"/>
      <c r="AM75" s="1015"/>
      <c r="AN75" s="912" t="s">
        <v>1057</v>
      </c>
      <c r="AO75" s="918" t="s">
        <v>1054</v>
      </c>
      <c r="AP75" s="918">
        <f>AP74</f>
        <v>0</v>
      </c>
      <c r="AQ75" s="919"/>
      <c r="AR75" s="919"/>
    </row>
    <row r="76" spans="1:44" s="618" customFormat="1" ht="16.5" customHeight="1">
      <c r="A76" s="1015"/>
      <c r="B76" s="1015"/>
      <c r="C76" s="1015"/>
      <c r="D76" s="1015"/>
      <c r="E76" s="629">
        <v>17</v>
      </c>
      <c r="F76" s="714" t="str">
        <f t="shared" ca="1" si="6"/>
        <v>1</v>
      </c>
      <c r="G76" s="1015"/>
      <c r="H76" s="150" t="str">
        <f ca="1">F76&amp;"pIns3"</f>
        <v>1pIns3</v>
      </c>
      <c r="I76" s="1015"/>
      <c r="J76" s="1015"/>
      <c r="K76" s="1015"/>
      <c r="L76" s="1015"/>
      <c r="M76" s="1015"/>
      <c r="N76" s="1015"/>
      <c r="O76" s="1015"/>
      <c r="P76" s="1015"/>
      <c r="Q76" s="1015"/>
      <c r="R76" s="1015"/>
      <c r="S76" s="1015"/>
      <c r="T76" s="645" t="b">
        <f ca="1">F76&gt;0</f>
        <v>1</v>
      </c>
      <c r="U76" s="1015"/>
      <c r="V76" s="1015"/>
      <c r="W76" s="291" t="s">
        <v>1058</v>
      </c>
      <c r="X76" s="1400"/>
      <c r="Y76" s="1015"/>
      <c r="Z76" s="1400"/>
      <c r="AA76" s="1015"/>
      <c r="AB76" s="236"/>
      <c r="AC76" s="237" t="s">
        <v>172</v>
      </c>
      <c r="AD76" s="237"/>
      <c r="AE76" s="237"/>
      <c r="AF76" s="237"/>
      <c r="AG76" s="237"/>
      <c r="AH76" s="237"/>
      <c r="AI76" s="237"/>
      <c r="AJ76" s="237"/>
      <c r="AK76" s="238"/>
      <c r="AL76" s="1015"/>
      <c r="AM76" s="1015"/>
      <c r="AN76" s="912"/>
      <c r="AO76" s="918"/>
      <c r="AP76" s="918"/>
      <c r="AQ76" s="919" t="s">
        <v>1054</v>
      </c>
      <c r="AR76" s="919"/>
    </row>
    <row r="77" spans="1:44" ht="11.1" customHeight="1">
      <c r="E77" s="623">
        <v>11.4</v>
      </c>
      <c r="U77" s="116" t="s">
        <v>172</v>
      </c>
      <c r="V77" s="109" t="s">
        <v>1059</v>
      </c>
    </row>
    <row r="78" spans="1:44" ht="11.25" hidden="1" customHeight="1">
      <c r="E78" s="623">
        <v>0</v>
      </c>
    </row>
    <row r="79" spans="1:44" ht="14.65" customHeight="1">
      <c r="E79" s="623">
        <v>15</v>
      </c>
      <c r="AB79" s="1476" t="s">
        <v>557</v>
      </c>
      <c r="AC79" s="1476"/>
      <c r="AD79" s="1476"/>
      <c r="AE79" s="1476"/>
      <c r="AF79" s="1476"/>
      <c r="AG79" s="1476"/>
      <c r="AH79" s="1476"/>
      <c r="AI79" s="1477"/>
      <c r="AJ79" s="1477"/>
      <c r="AK79" s="1477"/>
    </row>
    <row r="80" spans="1:44" ht="14.65" customHeight="1">
      <c r="E80" s="623">
        <v>15</v>
      </c>
      <c r="AA80" s="713"/>
      <c r="AB80" s="1478"/>
      <c r="AC80" s="1478"/>
      <c r="AD80" s="1478"/>
      <c r="AE80" s="1478"/>
      <c r="AF80" s="1478"/>
      <c r="AG80" s="1478"/>
      <c r="AH80" s="1478"/>
      <c r="AI80" s="1479"/>
      <c r="AJ80" s="1479"/>
      <c r="AK80" s="1479"/>
    </row>
    <row r="81" spans="5:38" ht="14.65" hidden="1" customHeight="1">
      <c r="E81" s="623">
        <v>15</v>
      </c>
      <c r="T81" s="634" t="b">
        <f>ROW(W81)&gt;ROW(W$81)</f>
        <v>0</v>
      </c>
      <c r="V81" s="116"/>
      <c r="W81" s="113" t="s">
        <v>170</v>
      </c>
      <c r="AA81" s="709" t="s">
        <v>157</v>
      </c>
      <c r="AB81" s="1484"/>
      <c r="AC81" s="1484"/>
      <c r="AD81" s="1484"/>
      <c r="AE81" s="1484"/>
      <c r="AF81" s="1484"/>
      <c r="AG81" s="1484"/>
      <c r="AH81" s="1484"/>
      <c r="AI81" s="1479"/>
      <c r="AJ81" s="1479"/>
      <c r="AK81" s="1480"/>
    </row>
    <row r="82" spans="5:38" ht="14.65" customHeight="1">
      <c r="E82" s="623">
        <v>15</v>
      </c>
      <c r="W82" s="109" t="s">
        <v>808</v>
      </c>
      <c r="AB82" s="1420" t="s">
        <v>558</v>
      </c>
      <c r="AC82" s="1421"/>
      <c r="AD82" s="299"/>
      <c r="AE82" s="299"/>
      <c r="AF82" s="300"/>
      <c r="AG82" s="300"/>
      <c r="AH82" s="300"/>
      <c r="AI82" s="300"/>
      <c r="AJ82" s="300"/>
      <c r="AK82" s="301"/>
    </row>
    <row r="83" spans="5:38" ht="11.25" customHeight="1">
      <c r="AL83" s="150"/>
    </row>
  </sheetData>
  <sheetProtection formatColumns="0" formatRows="0" insertRows="0" deleteColumns="0" deleteRows="0" sort="0" autoFilter="0"/>
  <mergeCells count="28">
    <mergeCell ref="Z52:Z76"/>
    <mergeCell ref="X52:X76"/>
    <mergeCell ref="Y55:Y57"/>
    <mergeCell ref="Y61:Y63"/>
    <mergeCell ref="Y67:Y69"/>
    <mergeCell ref="Y73:Y75"/>
    <mergeCell ref="Z27:Z51"/>
    <mergeCell ref="X27:X51"/>
    <mergeCell ref="Y30:Y32"/>
    <mergeCell ref="Y36:Y38"/>
    <mergeCell ref="Y42:Y44"/>
    <mergeCell ref="Y48:Y50"/>
    <mergeCell ref="AB80:AK80"/>
    <mergeCell ref="AB82:AC82"/>
    <mergeCell ref="AB24:AB25"/>
    <mergeCell ref="AC24:AC25"/>
    <mergeCell ref="AD24:AD25"/>
    <mergeCell ref="AK24:AK25"/>
    <mergeCell ref="AB81:AK81"/>
    <mergeCell ref="AA30:AA32"/>
    <mergeCell ref="AA36:AA38"/>
    <mergeCell ref="AA42:AA44"/>
    <mergeCell ref="AA48:AA50"/>
    <mergeCell ref="AB79:AK79"/>
    <mergeCell ref="AA55:AA57"/>
    <mergeCell ref="AA61:AA63"/>
    <mergeCell ref="AA67:AA69"/>
    <mergeCell ref="AA73:AA75"/>
  </mergeCells>
  <printOptions horizontalCentered="1"/>
  <pageMargins left="0.35" right="0.35" top="0.4" bottom="0.4" header="0.08" footer="0.08"/>
  <pageSetup paperSize="9" scale="73" firstPageNumber="11" fitToHeight="0" orientation="landscape" useFirstPageNumber="1"/>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pageSetUpPr fitToPage="1"/>
  </sheetPr>
  <dimension ref="A1:BJ60"/>
  <sheetViews>
    <sheetView showGridLines="0" workbookViewId="0">
      <pane xSplit="30" ySplit="26" topLeftCell="AE41" activePane="bottomRight" state="frozen"/>
      <selection pane="topRight" activeCell="AE1" sqref="AE1"/>
      <selection pane="bottomLeft" activeCell="A27" sqref="A27"/>
      <selection pane="bottomRight" activeCell="AA21" sqref="AA21"/>
    </sheetView>
  </sheetViews>
  <sheetFormatPr defaultColWidth="9.140625" defaultRowHeight="11.25" customHeight="1"/>
  <cols>
    <col min="1" max="1" width="3.5703125" style="988" hidden="1" customWidth="1"/>
    <col min="2" max="2" width="8.5703125" style="718" hidden="1" customWidth="1"/>
    <col min="3" max="4" width="3.5703125" style="1012" hidden="1" customWidth="1"/>
    <col min="5" max="5" width="8.42578125" style="717" hidden="1" customWidth="1"/>
    <col min="6" max="6" width="3.5703125" style="1012" hidden="1" customWidth="1"/>
    <col min="7" max="16" width="3.5703125" style="394" hidden="1" customWidth="1"/>
    <col min="17" max="18" width="3.5703125" style="719" hidden="1" customWidth="1"/>
    <col min="19" max="19" width="3.5703125" style="394" hidden="1" customWidth="1"/>
    <col min="20" max="20" width="7.85546875" style="1012" hidden="1" customWidth="1"/>
    <col min="21" max="21" width="6" style="1012" hidden="1" customWidth="1"/>
    <col min="22" max="23" width="6.28515625" style="1012" hidden="1" customWidth="1"/>
    <col min="24" max="25" width="5.7109375" style="1012" hidden="1" customWidth="1"/>
    <col min="26" max="26" width="5.42578125" style="1012" hidden="1" customWidth="1"/>
    <col min="27" max="27" width="3" style="157" customWidth="1"/>
    <col min="28" max="28" width="6.140625" style="394" customWidth="1"/>
    <col min="29" max="29" width="43.7109375" style="157" customWidth="1"/>
    <col min="30" max="30" width="12.140625" style="157" customWidth="1"/>
    <col min="31" max="35" width="12.5703125" style="157" customWidth="1"/>
    <col min="36" max="44" width="12.5703125" style="157" hidden="1" customWidth="1"/>
    <col min="45" max="45" width="12.5703125" style="157" customWidth="1"/>
    <col min="46" max="54" width="12.5703125" style="157" hidden="1" customWidth="1"/>
    <col min="55" max="55" width="20.140625" style="157" customWidth="1"/>
    <col min="56" max="56" width="3" style="157" customWidth="1"/>
    <col min="57" max="57" width="9.140625" style="157" hidden="1"/>
    <col min="58" max="60" width="9.140625" style="930" hidden="1"/>
    <col min="61" max="62" width="9.140625" style="940" hidden="1"/>
  </cols>
  <sheetData>
    <row r="1" spans="1:62" s="1012" customFormat="1" ht="12" hidden="1" customHeight="1">
      <c r="A1" s="986"/>
      <c r="B1" s="718"/>
      <c r="E1" s="718"/>
      <c r="F1" s="992" t="s">
        <v>77</v>
      </c>
      <c r="G1" s="394"/>
      <c r="H1" s="394"/>
      <c r="I1" s="394"/>
      <c r="J1" s="394"/>
      <c r="K1" s="394"/>
      <c r="L1" s="394"/>
      <c r="M1" s="394"/>
      <c r="N1" s="394"/>
      <c r="O1" s="394"/>
      <c r="P1" s="394"/>
      <c r="Q1" s="719"/>
      <c r="R1" s="719"/>
      <c r="S1" s="394"/>
      <c r="T1" s="634" t="s">
        <v>78</v>
      </c>
      <c r="U1" s="634" t="s">
        <v>83</v>
      </c>
      <c r="V1" s="634" t="s">
        <v>79</v>
      </c>
      <c r="W1" s="634" t="s">
        <v>80</v>
      </c>
      <c r="X1" s="634" t="s">
        <v>81</v>
      </c>
      <c r="Y1" s="645" t="s">
        <v>274</v>
      </c>
      <c r="Z1" s="634" t="s">
        <v>85</v>
      </c>
      <c r="AA1" s="645" t="s">
        <v>82</v>
      </c>
      <c r="AB1" s="645" t="s">
        <v>84</v>
      </c>
      <c r="AC1" s="645" t="s">
        <v>84</v>
      </c>
      <c r="BF1" s="930" t="s">
        <v>275</v>
      </c>
      <c r="BG1" s="930" t="s">
        <v>276</v>
      </c>
      <c r="BH1" s="930" t="s">
        <v>277</v>
      </c>
      <c r="BI1" s="940" t="s">
        <v>280</v>
      </c>
      <c r="BJ1" s="940" t="s">
        <v>281</v>
      </c>
    </row>
    <row r="2" spans="1:62" s="718" customFormat="1" ht="12" hidden="1" customHeight="1">
      <c r="A2" s="987"/>
      <c r="B2" s="720" t="s">
        <v>15</v>
      </c>
      <c r="G2" s="753"/>
      <c r="H2" s="753"/>
      <c r="I2" s="753"/>
      <c r="J2" s="753"/>
      <c r="K2" s="753"/>
      <c r="L2" s="753"/>
      <c r="M2" s="753"/>
      <c r="N2" s="753"/>
      <c r="O2" s="753"/>
      <c r="P2" s="753"/>
      <c r="Q2" s="753"/>
      <c r="R2" s="753"/>
      <c r="S2" s="753"/>
      <c r="AI2" s="635" t="b">
        <f t="shared" ref="AI2:BB2" si="0">AI6&lt;=last_year_vis</f>
        <v>1</v>
      </c>
      <c r="AJ2" s="635" t="b">
        <f t="shared" si="0"/>
        <v>0</v>
      </c>
      <c r="AK2" s="635" t="b">
        <f t="shared" si="0"/>
        <v>0</v>
      </c>
      <c r="AL2" s="635" t="b">
        <f t="shared" si="0"/>
        <v>0</v>
      </c>
      <c r="AM2" s="635" t="b">
        <f t="shared" si="0"/>
        <v>0</v>
      </c>
      <c r="AN2" s="635" t="b">
        <f t="shared" si="0"/>
        <v>0</v>
      </c>
      <c r="AO2" s="635" t="b">
        <f t="shared" si="0"/>
        <v>0</v>
      </c>
      <c r="AP2" s="635" t="b">
        <f t="shared" si="0"/>
        <v>0</v>
      </c>
      <c r="AQ2" s="635" t="b">
        <f t="shared" si="0"/>
        <v>0</v>
      </c>
      <c r="AR2" s="635" t="b">
        <f t="shared" si="0"/>
        <v>0</v>
      </c>
      <c r="AS2" s="635" t="b">
        <f t="shared" si="0"/>
        <v>1</v>
      </c>
      <c r="AT2" s="635" t="b">
        <f t="shared" si="0"/>
        <v>0</v>
      </c>
      <c r="AU2" s="635" t="b">
        <f t="shared" si="0"/>
        <v>0</v>
      </c>
      <c r="AV2" s="635" t="b">
        <f t="shared" si="0"/>
        <v>0</v>
      </c>
      <c r="AW2" s="635" t="b">
        <f t="shared" si="0"/>
        <v>0</v>
      </c>
      <c r="AX2" s="635" t="b">
        <f t="shared" si="0"/>
        <v>0</v>
      </c>
      <c r="AY2" s="635" t="b">
        <f t="shared" si="0"/>
        <v>0</v>
      </c>
      <c r="AZ2" s="635" t="b">
        <f t="shared" si="0"/>
        <v>0</v>
      </c>
      <c r="BA2" s="635" t="b">
        <f t="shared" si="0"/>
        <v>0</v>
      </c>
      <c r="BB2" s="635" t="b">
        <f t="shared" si="0"/>
        <v>0</v>
      </c>
      <c r="BF2" s="933"/>
      <c r="BG2" s="933"/>
      <c r="BH2" s="933"/>
      <c r="BI2" s="941"/>
      <c r="BJ2" s="941"/>
    </row>
    <row r="3" spans="1:62" s="1012" customFormat="1" ht="12" hidden="1" customHeight="1">
      <c r="A3" s="986"/>
      <c r="B3" s="718"/>
      <c r="E3" s="718"/>
      <c r="G3" s="394"/>
      <c r="H3" s="394"/>
      <c r="I3" s="394"/>
      <c r="J3" s="394"/>
      <c r="K3" s="394"/>
      <c r="L3" s="394"/>
      <c r="M3" s="394"/>
      <c r="N3" s="394"/>
      <c r="O3" s="394"/>
      <c r="P3" s="394"/>
      <c r="Q3" s="719"/>
      <c r="R3" s="719"/>
      <c r="S3" s="394"/>
      <c r="BF3" s="930"/>
      <c r="BG3" s="930"/>
      <c r="BH3" s="930"/>
      <c r="BI3" s="940"/>
      <c r="BJ3" s="940"/>
    </row>
    <row r="4" spans="1:62" s="1012" customFormat="1" ht="12" hidden="1" customHeight="1">
      <c r="A4" s="986"/>
      <c r="B4" s="718"/>
      <c r="E4" s="718"/>
      <c r="G4" s="394"/>
      <c r="H4" s="394"/>
      <c r="I4" s="394"/>
      <c r="J4" s="394"/>
      <c r="K4" s="394"/>
      <c r="L4" s="394"/>
      <c r="M4" s="394"/>
      <c r="N4" s="394"/>
      <c r="O4" s="394"/>
      <c r="P4" s="394"/>
      <c r="Q4" s="719"/>
      <c r="R4" s="719"/>
      <c r="S4" s="394"/>
      <c r="BF4" s="930"/>
      <c r="BG4" s="930"/>
      <c r="BH4" s="930"/>
      <c r="BI4" s="940"/>
      <c r="BJ4" s="940"/>
    </row>
    <row r="5" spans="1:62" s="717" customFormat="1" ht="12" hidden="1" customHeight="1">
      <c r="A5" s="987"/>
      <c r="B5" s="718"/>
      <c r="C5" s="718"/>
      <c r="D5" s="718"/>
      <c r="E5" s="717" t="s">
        <v>16</v>
      </c>
      <c r="G5" s="754"/>
      <c r="H5" s="754"/>
      <c r="I5" s="754"/>
      <c r="J5" s="754"/>
      <c r="K5" s="754"/>
      <c r="L5" s="754"/>
      <c r="M5" s="754"/>
      <c r="N5" s="754"/>
      <c r="O5" s="754"/>
      <c r="P5" s="754"/>
      <c r="Q5" s="754"/>
      <c r="R5" s="754"/>
      <c r="S5" s="754"/>
      <c r="AA5" s="717">
        <v>3</v>
      </c>
      <c r="AB5" s="717">
        <v>6.13</v>
      </c>
      <c r="AC5" s="717">
        <v>43.75</v>
      </c>
      <c r="AD5" s="717">
        <v>12.13</v>
      </c>
      <c r="AE5" s="717">
        <v>12.63</v>
      </c>
      <c r="AF5" s="717">
        <v>12.63</v>
      </c>
      <c r="AG5" s="717">
        <v>12.63</v>
      </c>
      <c r="AH5" s="717">
        <v>12.63</v>
      </c>
      <c r="AI5" s="717">
        <v>12.63</v>
      </c>
      <c r="AJ5" s="717">
        <v>12.63</v>
      </c>
      <c r="AK5" s="717">
        <v>12.63</v>
      </c>
      <c r="AL5" s="717">
        <v>12.63</v>
      </c>
      <c r="AM5" s="717">
        <v>12.63</v>
      </c>
      <c r="AN5" s="717">
        <v>12.63</v>
      </c>
      <c r="AO5" s="717">
        <v>12.63</v>
      </c>
      <c r="AP5" s="717">
        <v>12.63</v>
      </c>
      <c r="AQ5" s="717">
        <v>12.63</v>
      </c>
      <c r="AR5" s="717">
        <v>12.63</v>
      </c>
      <c r="AS5" s="717">
        <v>12.63</v>
      </c>
      <c r="AT5" s="717">
        <v>12.63</v>
      </c>
      <c r="AU5" s="717">
        <v>12.63</v>
      </c>
      <c r="AV5" s="717">
        <v>12.63</v>
      </c>
      <c r="AW5" s="717">
        <v>12.63</v>
      </c>
      <c r="AX5" s="717">
        <v>12.63</v>
      </c>
      <c r="AY5" s="717">
        <v>12.63</v>
      </c>
      <c r="AZ5" s="717">
        <v>12.63</v>
      </c>
      <c r="BA5" s="717">
        <v>12.63</v>
      </c>
      <c r="BB5" s="717">
        <v>12.63</v>
      </c>
      <c r="BC5" s="717">
        <v>20.13</v>
      </c>
      <c r="BD5" s="717">
        <v>3</v>
      </c>
      <c r="BF5" s="933"/>
      <c r="BG5" s="933"/>
      <c r="BH5" s="933"/>
      <c r="BI5" s="941"/>
      <c r="BJ5" s="941"/>
    </row>
    <row r="6" spans="1:62" s="1012" customFormat="1" ht="12" hidden="1" customHeight="1">
      <c r="A6" s="986"/>
      <c r="B6" s="718"/>
      <c r="E6" s="717"/>
      <c r="G6" s="394"/>
      <c r="H6" s="394"/>
      <c r="I6" s="394"/>
      <c r="J6" s="394"/>
      <c r="K6" s="394"/>
      <c r="L6" s="394"/>
      <c r="M6" s="394"/>
      <c r="N6" s="394"/>
      <c r="O6" s="394"/>
      <c r="P6" s="394"/>
      <c r="Q6" s="719"/>
      <c r="R6" s="719"/>
      <c r="S6" s="394"/>
      <c r="AE6" s="748">
        <f>god-2</f>
        <v>2024</v>
      </c>
      <c r="AF6" s="748">
        <f>god-2</f>
        <v>2024</v>
      </c>
      <c r="AG6" s="748">
        <f>god-2</f>
        <v>2024</v>
      </c>
      <c r="AH6" s="748">
        <f>god-1</f>
        <v>2025</v>
      </c>
      <c r="AI6" s="113">
        <f>god</f>
        <v>2026</v>
      </c>
      <c r="AJ6" s="113">
        <f>god+1</f>
        <v>2027</v>
      </c>
      <c r="AK6" s="113">
        <f>god+2</f>
        <v>2028</v>
      </c>
      <c r="AL6" s="113">
        <f>god+3</f>
        <v>2029</v>
      </c>
      <c r="AM6" s="113">
        <f>god+4</f>
        <v>2030</v>
      </c>
      <c r="AN6" s="113">
        <f>god+5</f>
        <v>2031</v>
      </c>
      <c r="AO6" s="113">
        <f>god+6</f>
        <v>2032</v>
      </c>
      <c r="AP6" s="113">
        <f>god+7</f>
        <v>2033</v>
      </c>
      <c r="AQ6" s="113">
        <f>god+8</f>
        <v>2034</v>
      </c>
      <c r="AR6" s="113">
        <f>god+9</f>
        <v>2035</v>
      </c>
      <c r="AS6" s="113">
        <f>god</f>
        <v>2026</v>
      </c>
      <c r="AT6" s="113">
        <f>god+1</f>
        <v>2027</v>
      </c>
      <c r="AU6" s="113">
        <f>god+2</f>
        <v>2028</v>
      </c>
      <c r="AV6" s="113">
        <f>god+3</f>
        <v>2029</v>
      </c>
      <c r="AW6" s="113">
        <f>god+4</f>
        <v>2030</v>
      </c>
      <c r="AX6" s="113">
        <f>god+5</f>
        <v>2031</v>
      </c>
      <c r="AY6" s="113">
        <f>god+6</f>
        <v>2032</v>
      </c>
      <c r="AZ6" s="113">
        <f>god+7</f>
        <v>2033</v>
      </c>
      <c r="BA6" s="113">
        <f>god+8</f>
        <v>2034</v>
      </c>
      <c r="BB6" s="113">
        <f>god+9</f>
        <v>2035</v>
      </c>
      <c r="BF6" s="930"/>
      <c r="BG6" s="930"/>
      <c r="BH6" s="930"/>
      <c r="BI6" s="940"/>
      <c r="BJ6" s="940"/>
    </row>
    <row r="7" spans="1:62" s="394" customFormat="1" ht="12" hidden="1" customHeight="1">
      <c r="A7" s="986"/>
      <c r="B7" s="718"/>
      <c r="C7" s="748"/>
      <c r="D7" s="748"/>
      <c r="E7" s="717"/>
      <c r="Q7" s="719"/>
      <c r="R7" s="719"/>
      <c r="AE7" s="394" t="str">
        <f t="shared" ref="AE7:BB7" si="1">AE25</f>
        <v>Принято органом регулирования</v>
      </c>
      <c r="AF7" s="394" t="str">
        <f t="shared" si="1"/>
        <v>Факт по данным организации</v>
      </c>
      <c r="AG7" s="394" t="str">
        <f t="shared" si="1"/>
        <v>Факт, принятый органом регулирования</v>
      </c>
      <c r="AH7" s="394" t="str">
        <f t="shared" si="1"/>
        <v>Принято органом регулирования</v>
      </c>
      <c r="AI7" s="394" t="str">
        <f t="shared" si="1"/>
        <v>Предложение организации</v>
      </c>
      <c r="AJ7" s="394" t="str">
        <f t="shared" si="1"/>
        <v>Предложение организации</v>
      </c>
      <c r="AK7" s="394" t="str">
        <f t="shared" si="1"/>
        <v>Предложение организации</v>
      </c>
      <c r="AL7" s="394" t="str">
        <f t="shared" si="1"/>
        <v>Предложение организации</v>
      </c>
      <c r="AM7" s="394" t="str">
        <f t="shared" si="1"/>
        <v>Предложение организации</v>
      </c>
      <c r="AN7" s="394" t="str">
        <f t="shared" si="1"/>
        <v>Предложение организации</v>
      </c>
      <c r="AO7" s="394" t="str">
        <f t="shared" si="1"/>
        <v>Предложение организации</v>
      </c>
      <c r="AP7" s="394" t="str">
        <f t="shared" si="1"/>
        <v>Предложение организации</v>
      </c>
      <c r="AQ7" s="394" t="str">
        <f t="shared" si="1"/>
        <v>Предложение организации</v>
      </c>
      <c r="AR7" s="394" t="str">
        <f t="shared" si="1"/>
        <v>Предложение организации</v>
      </c>
      <c r="AS7" s="394" t="str">
        <f t="shared" si="1"/>
        <v>Принято органом регулирования</v>
      </c>
      <c r="AT7" s="394" t="str">
        <f t="shared" si="1"/>
        <v>Принято органом регулирования</v>
      </c>
      <c r="AU7" s="394" t="str">
        <f t="shared" si="1"/>
        <v>Принято органом регулирования</v>
      </c>
      <c r="AV7" s="394" t="str">
        <f t="shared" si="1"/>
        <v>Принято органом регулирования</v>
      </c>
      <c r="AW7" s="394" t="str">
        <f t="shared" si="1"/>
        <v>Принято органом регулирования</v>
      </c>
      <c r="AX7" s="394" t="str">
        <f t="shared" si="1"/>
        <v>Принято органом регулирования</v>
      </c>
      <c r="AY7" s="394" t="str">
        <f t="shared" si="1"/>
        <v>Принято органом регулирования</v>
      </c>
      <c r="AZ7" s="394" t="str">
        <f t="shared" si="1"/>
        <v>Принято органом регулирования</v>
      </c>
      <c r="BA7" s="394" t="str">
        <f t="shared" si="1"/>
        <v>Принято органом регулирования</v>
      </c>
      <c r="BB7" s="394" t="str">
        <f t="shared" si="1"/>
        <v>Принято органом регулирования</v>
      </c>
      <c r="BF7" s="930"/>
      <c r="BG7" s="930"/>
      <c r="BH7" s="930"/>
      <c r="BI7" s="940"/>
      <c r="BJ7" s="940"/>
    </row>
    <row r="8" spans="1:62" s="394" customFormat="1" ht="12" hidden="1" customHeight="1">
      <c r="A8" s="986"/>
      <c r="B8" s="718"/>
      <c r="C8" s="748"/>
      <c r="D8" s="748"/>
      <c r="E8" s="717"/>
      <c r="Q8" s="719"/>
      <c r="R8" s="719"/>
      <c r="BF8" s="930"/>
      <c r="BG8" s="930"/>
      <c r="BH8" s="930"/>
      <c r="BI8" s="940"/>
      <c r="BJ8" s="940"/>
    </row>
    <row r="9" spans="1:62" s="928" customFormat="1" ht="12" hidden="1" customHeight="1">
      <c r="A9" s="926" t="s">
        <v>327</v>
      </c>
      <c r="B9" s="927"/>
      <c r="E9" s="927"/>
      <c r="Q9" s="929"/>
      <c r="R9" s="929"/>
      <c r="AE9" s="928">
        <f>god-2</f>
        <v>2024</v>
      </c>
      <c r="AF9" s="928">
        <f>god-2</f>
        <v>2024</v>
      </c>
      <c r="AG9" s="928">
        <f>god-2</f>
        <v>2024</v>
      </c>
      <c r="AH9" s="928">
        <f>god-1</f>
        <v>2025</v>
      </c>
      <c r="AI9" s="928">
        <f>god</f>
        <v>2026</v>
      </c>
      <c r="AJ9" s="928">
        <f>god+1</f>
        <v>2027</v>
      </c>
      <c r="AK9" s="928">
        <f>god+2</f>
        <v>2028</v>
      </c>
      <c r="AL9" s="928">
        <f>god+3</f>
        <v>2029</v>
      </c>
      <c r="AM9" s="928">
        <f>god+4</f>
        <v>2030</v>
      </c>
      <c r="AN9" s="928">
        <f>god+5</f>
        <v>2031</v>
      </c>
      <c r="AO9" s="928">
        <f>god+6</f>
        <v>2032</v>
      </c>
      <c r="AP9" s="928">
        <f>god+7</f>
        <v>2033</v>
      </c>
      <c r="AQ9" s="928">
        <f>god+8</f>
        <v>2034</v>
      </c>
      <c r="AR9" s="928">
        <f>god+9</f>
        <v>2035</v>
      </c>
      <c r="AS9" s="928">
        <f>god</f>
        <v>2026</v>
      </c>
      <c r="AT9" s="928">
        <f>god+1</f>
        <v>2027</v>
      </c>
      <c r="AU9" s="928">
        <f>god+2</f>
        <v>2028</v>
      </c>
      <c r="AV9" s="928">
        <f>god+3</f>
        <v>2029</v>
      </c>
      <c r="AW9" s="928">
        <f>god+4</f>
        <v>2030</v>
      </c>
      <c r="AX9" s="928">
        <f>god+5</f>
        <v>2031</v>
      </c>
      <c r="AY9" s="928">
        <f>god+6</f>
        <v>2032</v>
      </c>
      <c r="AZ9" s="928">
        <f>god+7</f>
        <v>2033</v>
      </c>
      <c r="BA9" s="928">
        <f>god+8</f>
        <v>2034</v>
      </c>
      <c r="BB9" s="928">
        <f>god+9</f>
        <v>2035</v>
      </c>
      <c r="BF9" s="930"/>
      <c r="BG9" s="930"/>
      <c r="BH9" s="930"/>
      <c r="BI9" s="940"/>
      <c r="BJ9" s="940"/>
    </row>
    <row r="10" spans="1:62" s="928" customFormat="1" ht="12" hidden="1" customHeight="1">
      <c r="A10" s="926" t="s">
        <v>328</v>
      </c>
      <c r="B10" s="927"/>
      <c r="E10" s="927"/>
      <c r="Q10" s="929"/>
      <c r="R10" s="929"/>
      <c r="AE10" s="928" t="str">
        <f t="shared" ref="AE10:BB10" si="2">AE25</f>
        <v>Принято органом регулирования</v>
      </c>
      <c r="AF10" s="928" t="str">
        <f t="shared" si="2"/>
        <v>Факт по данным организации</v>
      </c>
      <c r="AG10" s="928" t="str">
        <f t="shared" si="2"/>
        <v>Факт, принятый органом регулирования</v>
      </c>
      <c r="AH10" s="928" t="str">
        <f t="shared" si="2"/>
        <v>Принято органом регулирования</v>
      </c>
      <c r="AI10" s="928" t="str">
        <f t="shared" si="2"/>
        <v>Предложение организации</v>
      </c>
      <c r="AJ10" s="928" t="str">
        <f t="shared" si="2"/>
        <v>Предложение организации</v>
      </c>
      <c r="AK10" s="928" t="str">
        <f t="shared" si="2"/>
        <v>Предложение организации</v>
      </c>
      <c r="AL10" s="928" t="str">
        <f t="shared" si="2"/>
        <v>Предложение организации</v>
      </c>
      <c r="AM10" s="928" t="str">
        <f t="shared" si="2"/>
        <v>Предложение организации</v>
      </c>
      <c r="AN10" s="928" t="str">
        <f t="shared" si="2"/>
        <v>Предложение организации</v>
      </c>
      <c r="AO10" s="928" t="str">
        <f t="shared" si="2"/>
        <v>Предложение организации</v>
      </c>
      <c r="AP10" s="928" t="str">
        <f t="shared" si="2"/>
        <v>Предложение организации</v>
      </c>
      <c r="AQ10" s="928" t="str">
        <f t="shared" si="2"/>
        <v>Предложение организации</v>
      </c>
      <c r="AR10" s="928" t="str">
        <f t="shared" si="2"/>
        <v>Предложение организации</v>
      </c>
      <c r="AS10" s="928" t="str">
        <f t="shared" si="2"/>
        <v>Принято органом регулирования</v>
      </c>
      <c r="AT10" s="928" t="str">
        <f t="shared" si="2"/>
        <v>Принято органом регулирования</v>
      </c>
      <c r="AU10" s="928" t="str">
        <f t="shared" si="2"/>
        <v>Принято органом регулирования</v>
      </c>
      <c r="AV10" s="928" t="str">
        <f t="shared" si="2"/>
        <v>Принято органом регулирования</v>
      </c>
      <c r="AW10" s="928" t="str">
        <f t="shared" si="2"/>
        <v>Принято органом регулирования</v>
      </c>
      <c r="AX10" s="928" t="str">
        <f t="shared" si="2"/>
        <v>Принято органом регулирования</v>
      </c>
      <c r="AY10" s="928" t="str">
        <f t="shared" si="2"/>
        <v>Принято органом регулирования</v>
      </c>
      <c r="AZ10" s="928" t="str">
        <f t="shared" si="2"/>
        <v>Принято органом регулирования</v>
      </c>
      <c r="BA10" s="928" t="str">
        <f t="shared" si="2"/>
        <v>Принято органом регулирования</v>
      </c>
      <c r="BB10" s="928" t="str">
        <f t="shared" si="2"/>
        <v>Принято органом регулирования</v>
      </c>
      <c r="BF10" s="930"/>
      <c r="BG10" s="930"/>
      <c r="BH10" s="930"/>
      <c r="BI10" s="940"/>
      <c r="BJ10" s="940"/>
    </row>
    <row r="11" spans="1:62" s="928" customFormat="1" ht="12" hidden="1" customHeight="1">
      <c r="A11" s="926" t="s">
        <v>329</v>
      </c>
      <c r="B11" s="927"/>
      <c r="E11" s="927"/>
      <c r="G11" s="931"/>
      <c r="H11" s="931"/>
      <c r="I11" s="931"/>
      <c r="J11" s="931"/>
      <c r="K11" s="931"/>
      <c r="L11" s="931"/>
      <c r="M11" s="931"/>
      <c r="N11" s="931"/>
      <c r="O11" s="931"/>
      <c r="P11" s="931"/>
      <c r="Q11" s="932"/>
      <c r="R11" s="932"/>
      <c r="S11" s="931"/>
      <c r="BC11" s="928" t="str">
        <f>BC24</f>
        <v>Ссылка на правовую норму (основание для принятия показателя в расчет тарифа)</v>
      </c>
      <c r="BF11" s="930"/>
      <c r="BG11" s="930"/>
      <c r="BH11" s="930"/>
      <c r="BI11" s="940"/>
      <c r="BJ11" s="940"/>
    </row>
    <row r="12" spans="1:62" s="928" customFormat="1" ht="12" hidden="1" customHeight="1">
      <c r="A12" s="926" t="s">
        <v>286</v>
      </c>
      <c r="B12" s="927"/>
      <c r="E12" s="927"/>
      <c r="G12" s="931"/>
      <c r="H12" s="931"/>
      <c r="I12" s="931"/>
      <c r="J12" s="931"/>
      <c r="K12" s="931"/>
      <c r="L12" s="931"/>
      <c r="M12" s="931"/>
      <c r="N12" s="931"/>
      <c r="O12" s="931"/>
      <c r="P12" s="931"/>
      <c r="Q12" s="932"/>
      <c r="R12" s="932"/>
      <c r="S12" s="931"/>
      <c r="AC12" s="928" t="s">
        <v>277</v>
      </c>
      <c r="BF12" s="930"/>
      <c r="BG12" s="930"/>
      <c r="BH12" s="930"/>
      <c r="BI12" s="940"/>
      <c r="BJ12" s="940"/>
    </row>
    <row r="13" spans="1:62" s="1012" customFormat="1" ht="12" hidden="1" customHeight="1">
      <c r="A13" s="986"/>
      <c r="B13" s="718"/>
      <c r="E13" s="717"/>
      <c r="G13" s="394"/>
      <c r="H13" s="394"/>
      <c r="I13" s="394"/>
      <c r="J13" s="394"/>
      <c r="K13" s="394"/>
      <c r="L13" s="394"/>
      <c r="M13" s="394"/>
      <c r="N13" s="394"/>
      <c r="O13" s="394"/>
      <c r="P13" s="394"/>
      <c r="Q13" s="719"/>
      <c r="R13" s="719"/>
      <c r="S13" s="394"/>
      <c r="AI13" s="113"/>
      <c r="AJ13" s="113"/>
      <c r="AK13" s="113"/>
      <c r="AL13" s="113"/>
      <c r="AM13" s="113"/>
      <c r="AN13" s="113"/>
      <c r="AO13" s="113"/>
      <c r="AP13" s="113"/>
      <c r="AQ13" s="113"/>
      <c r="AR13" s="113"/>
      <c r="AS13" s="113"/>
      <c r="AT13" s="113"/>
      <c r="AU13" s="113"/>
      <c r="AV13" s="113"/>
      <c r="AW13" s="113"/>
      <c r="AX13" s="113"/>
      <c r="AY13" s="113"/>
      <c r="AZ13" s="113"/>
      <c r="BA13" s="113"/>
      <c r="BB13" s="113"/>
      <c r="BF13" s="930"/>
      <c r="BG13" s="930"/>
      <c r="BH13" s="930"/>
      <c r="BI13" s="940"/>
      <c r="BJ13" s="940"/>
    </row>
    <row r="14" spans="1:62" s="1012" customFormat="1" ht="12" hidden="1" customHeight="1">
      <c r="A14" s="986"/>
      <c r="B14" s="718"/>
      <c r="E14" s="717"/>
      <c r="G14" s="394"/>
      <c r="H14" s="394"/>
      <c r="I14" s="394"/>
      <c r="J14" s="394"/>
      <c r="K14" s="394"/>
      <c r="L14" s="394"/>
      <c r="M14" s="394"/>
      <c r="N14" s="394"/>
      <c r="O14" s="394"/>
      <c r="P14" s="394"/>
      <c r="Q14" s="719"/>
      <c r="R14" s="719"/>
      <c r="S14" s="394"/>
      <c r="AI14" s="113"/>
      <c r="AJ14" s="113"/>
      <c r="AK14" s="113"/>
      <c r="AL14" s="113"/>
      <c r="AM14" s="113"/>
      <c r="AN14" s="113"/>
      <c r="AO14" s="113"/>
      <c r="AP14" s="113"/>
      <c r="AQ14" s="113"/>
      <c r="AR14" s="113"/>
      <c r="AS14" s="113"/>
      <c r="AT14" s="113"/>
      <c r="AU14" s="113"/>
      <c r="AV14" s="113"/>
      <c r="AW14" s="113"/>
      <c r="AX14" s="113"/>
      <c r="AY14" s="113"/>
      <c r="AZ14" s="113"/>
      <c r="BA14" s="113"/>
      <c r="BB14" s="113"/>
      <c r="BF14" s="930"/>
      <c r="BG14" s="930"/>
      <c r="BH14" s="930"/>
      <c r="BI14" s="940"/>
      <c r="BJ14" s="940"/>
    </row>
    <row r="15" spans="1:62" s="1012" customFormat="1" ht="12" hidden="1" customHeight="1">
      <c r="A15" s="986"/>
      <c r="B15" s="718"/>
      <c r="E15" s="717"/>
      <c r="G15" s="394"/>
      <c r="H15" s="394"/>
      <c r="I15" s="394"/>
      <c r="J15" s="394"/>
      <c r="K15" s="394"/>
      <c r="L15" s="394"/>
      <c r="M15" s="394"/>
      <c r="N15" s="394"/>
      <c r="O15" s="394"/>
      <c r="P15" s="394"/>
      <c r="Q15" s="719"/>
      <c r="R15" s="719"/>
      <c r="S15" s="394"/>
      <c r="AI15" s="113"/>
      <c r="AJ15" s="113"/>
      <c r="AK15" s="113"/>
      <c r="AL15" s="113"/>
      <c r="AM15" s="113"/>
      <c r="AN15" s="113"/>
      <c r="AO15" s="113"/>
      <c r="AP15" s="113"/>
      <c r="AQ15" s="113"/>
      <c r="AR15" s="113"/>
      <c r="AS15" s="113"/>
      <c r="AT15" s="113"/>
      <c r="AU15" s="113"/>
      <c r="AV15" s="113"/>
      <c r="AW15" s="113"/>
      <c r="AX15" s="113"/>
      <c r="AY15" s="113"/>
      <c r="AZ15" s="113"/>
      <c r="BA15" s="113"/>
      <c r="BB15" s="113"/>
      <c r="BF15" s="930"/>
      <c r="BG15" s="930"/>
      <c r="BH15" s="930"/>
      <c r="BI15" s="940"/>
      <c r="BJ15" s="940"/>
    </row>
    <row r="16" spans="1:62" s="1012" customFormat="1" ht="12" hidden="1" customHeight="1">
      <c r="A16" s="986"/>
      <c r="B16" s="718"/>
      <c r="E16" s="717"/>
      <c r="G16" s="394"/>
      <c r="H16" s="394"/>
      <c r="I16" s="394"/>
      <c r="J16" s="394"/>
      <c r="K16" s="394"/>
      <c r="L16" s="394"/>
      <c r="M16" s="394"/>
      <c r="N16" s="394"/>
      <c r="O16" s="394"/>
      <c r="P16" s="394"/>
      <c r="Q16" s="719"/>
      <c r="R16" s="719"/>
      <c r="S16" s="394"/>
      <c r="AI16" s="113"/>
      <c r="AJ16" s="113"/>
      <c r="AK16" s="113"/>
      <c r="AL16" s="113"/>
      <c r="AM16" s="113"/>
      <c r="AN16" s="113"/>
      <c r="AO16" s="113"/>
      <c r="AP16" s="113"/>
      <c r="AQ16" s="113"/>
      <c r="AR16" s="113"/>
      <c r="AS16" s="113"/>
      <c r="AT16" s="113"/>
      <c r="AU16" s="113"/>
      <c r="AV16" s="113"/>
      <c r="AW16" s="113"/>
      <c r="AX16" s="113"/>
      <c r="AY16" s="113"/>
      <c r="AZ16" s="113"/>
      <c r="BA16" s="113"/>
      <c r="BB16" s="113"/>
      <c r="BF16" s="930"/>
      <c r="BG16" s="930"/>
      <c r="BH16" s="930"/>
      <c r="BI16" s="940"/>
      <c r="BJ16" s="940"/>
    </row>
    <row r="17" spans="1:62" s="1012" customFormat="1" ht="12" hidden="1" customHeight="1">
      <c r="A17" s="986"/>
      <c r="B17" s="718"/>
      <c r="E17" s="717"/>
      <c r="G17" s="394"/>
      <c r="H17" s="394"/>
      <c r="I17" s="394"/>
      <c r="J17" s="394"/>
      <c r="K17" s="394"/>
      <c r="L17" s="394"/>
      <c r="M17" s="394"/>
      <c r="N17" s="394"/>
      <c r="O17" s="394"/>
      <c r="P17" s="394"/>
      <c r="Q17" s="719"/>
      <c r="R17" s="719"/>
      <c r="S17" s="394"/>
      <c r="AX17" s="113"/>
      <c r="AY17" s="113"/>
      <c r="AZ17" s="113"/>
      <c r="BA17" s="113"/>
      <c r="BB17" s="113"/>
      <c r="BF17" s="930"/>
      <c r="BG17" s="930"/>
      <c r="BH17" s="930"/>
      <c r="BI17" s="940"/>
      <c r="BJ17" s="940"/>
    </row>
    <row r="18" spans="1:62" s="1012" customFormat="1" ht="12" hidden="1" customHeight="1">
      <c r="A18" s="989" t="s">
        <v>385</v>
      </c>
      <c r="B18" s="718"/>
      <c r="E18" s="717"/>
      <c r="G18" s="394"/>
      <c r="H18" s="394"/>
      <c r="I18" s="394"/>
      <c r="J18" s="394"/>
      <c r="K18" s="394"/>
      <c r="L18" s="394"/>
      <c r="M18" s="394"/>
      <c r="N18" s="394"/>
      <c r="O18" s="394"/>
      <c r="P18" s="394"/>
      <c r="Q18" s="719"/>
      <c r="R18" s="719"/>
      <c r="S18" s="394"/>
      <c r="AC18" s="748" t="s">
        <v>330</v>
      </c>
      <c r="BF18" s="930"/>
      <c r="BG18" s="930"/>
      <c r="BH18" s="930"/>
      <c r="BI18" s="940"/>
      <c r="BJ18" s="940"/>
    </row>
    <row r="19" spans="1:62" s="1012" customFormat="1" ht="12" hidden="1" customHeight="1">
      <c r="A19" s="986"/>
      <c r="B19" s="718"/>
      <c r="E19" s="717"/>
      <c r="G19" s="394"/>
      <c r="H19" s="394"/>
      <c r="I19" s="394"/>
      <c r="J19" s="394"/>
      <c r="K19" s="394"/>
      <c r="L19" s="394"/>
      <c r="M19" s="394"/>
      <c r="N19" s="394"/>
      <c r="O19" s="394"/>
      <c r="P19" s="394"/>
      <c r="Q19" s="719"/>
      <c r="R19" s="719"/>
      <c r="S19" s="394"/>
      <c r="BF19" s="930"/>
      <c r="BG19" s="930"/>
      <c r="BH19" s="930"/>
      <c r="BI19" s="940"/>
      <c r="BJ19" s="940"/>
    </row>
    <row r="20" spans="1:62" s="1012" customFormat="1" ht="12" hidden="1" customHeight="1">
      <c r="A20" s="986"/>
      <c r="B20" s="718"/>
      <c r="E20" s="717"/>
      <c r="G20" s="394"/>
      <c r="H20" s="394"/>
      <c r="I20" s="394"/>
      <c r="J20" s="394"/>
      <c r="K20" s="394"/>
      <c r="L20" s="394"/>
      <c r="M20" s="394"/>
      <c r="N20" s="394"/>
      <c r="O20" s="394"/>
      <c r="P20" s="394"/>
      <c r="Q20" s="719"/>
      <c r="R20" s="719"/>
      <c r="S20" s="394"/>
      <c r="BF20" s="930"/>
      <c r="BG20" s="930"/>
      <c r="BH20" s="930"/>
      <c r="BI20" s="940"/>
      <c r="BJ20" s="940"/>
    </row>
    <row r="21" spans="1:62" ht="14.65" customHeight="1">
      <c r="E21" s="717">
        <v>15</v>
      </c>
      <c r="AA21" s="646"/>
      <c r="AC21" s="730" t="str">
        <f>tpl_title</f>
        <v>Кемеровская область / 2026 / АО "СУЭК-Кузбасс" (ИНН:4212024138, КПП:421201001) / ДПР: 2024-2028</v>
      </c>
    </row>
    <row r="22" spans="1:62" ht="19.5" customHeight="1">
      <c r="E22" s="717">
        <v>20.100000000000001</v>
      </c>
      <c r="AB22" s="395" t="s">
        <v>49</v>
      </c>
      <c r="AC22" s="230"/>
      <c r="AD22" s="230"/>
      <c r="AE22" s="230"/>
      <c r="AF22" s="230"/>
      <c r="AG22" s="230"/>
      <c r="AH22" s="230"/>
      <c r="AI22" s="230"/>
      <c r="AJ22" s="230"/>
      <c r="AK22" s="230"/>
      <c r="AL22" s="230"/>
      <c r="AM22" s="230"/>
      <c r="AN22" s="230"/>
      <c r="AO22" s="230"/>
      <c r="AP22" s="230"/>
      <c r="AQ22" s="230"/>
      <c r="AR22" s="230"/>
      <c r="AS22" s="230"/>
      <c r="AT22" s="230"/>
      <c r="AU22" s="230"/>
      <c r="AV22" s="230"/>
      <c r="AW22" s="230"/>
      <c r="AX22" s="230"/>
      <c r="AY22" s="230"/>
      <c r="AZ22" s="230"/>
      <c r="BA22" s="230"/>
      <c r="BB22" s="230"/>
      <c r="BC22" s="225"/>
    </row>
    <row r="23" spans="1:62" ht="11.1" customHeight="1">
      <c r="E23" s="717">
        <v>11.4</v>
      </c>
    </row>
    <row r="24" spans="1:62" s="157" customFormat="1" ht="14.65" customHeight="1">
      <c r="A24" s="988"/>
      <c r="B24" s="614"/>
      <c r="C24" s="113"/>
      <c r="D24" s="113"/>
      <c r="E24" s="623">
        <v>15</v>
      </c>
      <c r="F24" s="113"/>
      <c r="G24" s="150"/>
      <c r="H24" s="150"/>
      <c r="I24" s="150"/>
      <c r="J24" s="150"/>
      <c r="K24" s="150"/>
      <c r="L24" s="150"/>
      <c r="M24" s="150"/>
      <c r="N24" s="150"/>
      <c r="O24" s="150"/>
      <c r="P24" s="150"/>
      <c r="Q24" s="566"/>
      <c r="R24" s="566"/>
      <c r="S24" s="150"/>
      <c r="T24" s="113"/>
      <c r="U24" s="113"/>
      <c r="V24" s="113"/>
      <c r="W24" s="113"/>
      <c r="X24" s="113"/>
      <c r="Y24" s="113"/>
      <c r="Z24" s="113"/>
      <c r="AB24" s="1476" t="s">
        <v>288</v>
      </c>
      <c r="AC24" s="1476" t="s">
        <v>330</v>
      </c>
      <c r="AD24" s="1476" t="s">
        <v>964</v>
      </c>
      <c r="AE24" s="323" t="str">
        <f>god-2&amp;" год"</f>
        <v>2024 год</v>
      </c>
      <c r="AF24" s="1006" t="str">
        <f>god-2&amp;" год"</f>
        <v>2024 год</v>
      </c>
      <c r="AG24" s="323" t="str">
        <f>god-2&amp;" год"</f>
        <v>2024 год</v>
      </c>
      <c r="AH24" s="112" t="str">
        <f>god-1&amp;" год"</f>
        <v>2025 год</v>
      </c>
      <c r="AI24" s="1001" t="str">
        <f>god&amp;" год"</f>
        <v>2026 год</v>
      </c>
      <c r="AJ24" s="1001" t="str">
        <f>god+1&amp;" год"</f>
        <v>2027 год</v>
      </c>
      <c r="AK24" s="1001" t="str">
        <f>god+2&amp;" год"</f>
        <v>2028 год</v>
      </c>
      <c r="AL24" s="1001" t="str">
        <f>god+3&amp;" год"</f>
        <v>2029 год</v>
      </c>
      <c r="AM24" s="1001" t="str">
        <f>god+4&amp;" год"</f>
        <v>2030 год</v>
      </c>
      <c r="AN24" s="1001" t="str">
        <f>god+5&amp;" год"</f>
        <v>2031 год</v>
      </c>
      <c r="AO24" s="1001" t="str">
        <f>god+6&amp;" год"</f>
        <v>2032 год</v>
      </c>
      <c r="AP24" s="1001" t="str">
        <f>god+7&amp;" год"</f>
        <v>2033 год</v>
      </c>
      <c r="AQ24" s="1001" t="str">
        <f>god+8&amp;" год"</f>
        <v>2034 год</v>
      </c>
      <c r="AR24" s="1001" t="str">
        <f>god+9&amp;" год"</f>
        <v>2035 год</v>
      </c>
      <c r="AS24" s="108" t="str">
        <f>god&amp;" год"</f>
        <v>2026 год</v>
      </c>
      <c r="AT24" s="108" t="str">
        <f>god+1&amp;" год"</f>
        <v>2027 год</v>
      </c>
      <c r="AU24" s="108" t="str">
        <f>god+2&amp;" год"</f>
        <v>2028 год</v>
      </c>
      <c r="AV24" s="108" t="str">
        <f>god+3&amp;" год"</f>
        <v>2029 год</v>
      </c>
      <c r="AW24" s="108" t="str">
        <f>god+4&amp;" год"</f>
        <v>2030 год</v>
      </c>
      <c r="AX24" s="108" t="str">
        <f>god+5&amp;" год"</f>
        <v>2031 год</v>
      </c>
      <c r="AY24" s="108" t="str">
        <f>god+6&amp;" год"</f>
        <v>2032 год</v>
      </c>
      <c r="AZ24" s="108" t="str">
        <f>god+7&amp;" год"</f>
        <v>2033 год</v>
      </c>
      <c r="BA24" s="108" t="str">
        <f>god+8&amp;" год"</f>
        <v>2034 год</v>
      </c>
      <c r="BB24" s="108" t="str">
        <f>god+9&amp;" год"</f>
        <v>2035 год</v>
      </c>
      <c r="BC24" s="1492" t="s">
        <v>486</v>
      </c>
      <c r="BF24" s="912"/>
      <c r="BG24" s="912"/>
      <c r="BH24" s="912"/>
      <c r="BI24" s="915"/>
      <c r="BJ24" s="915"/>
    </row>
    <row r="25" spans="1:62" s="157" customFormat="1" ht="48.75" customHeight="1">
      <c r="A25" s="988"/>
      <c r="B25" s="614"/>
      <c r="C25" s="113"/>
      <c r="D25" s="113"/>
      <c r="E25" s="623">
        <v>50.1</v>
      </c>
      <c r="F25" s="113"/>
      <c r="G25" s="150"/>
      <c r="H25" s="150"/>
      <c r="I25" s="150"/>
      <c r="J25" s="150"/>
      <c r="K25" s="150"/>
      <c r="L25" s="150"/>
      <c r="M25" s="150"/>
      <c r="N25" s="150"/>
      <c r="O25" s="150"/>
      <c r="P25" s="150"/>
      <c r="Q25" s="566"/>
      <c r="R25" s="566"/>
      <c r="S25" s="150"/>
      <c r="T25" s="113"/>
      <c r="U25" s="113"/>
      <c r="V25" s="113"/>
      <c r="W25" s="113"/>
      <c r="X25" s="113"/>
      <c r="Y25" s="113"/>
      <c r="Z25" s="113"/>
      <c r="AB25" s="1476"/>
      <c r="AC25" s="1476"/>
      <c r="AD25" s="1476"/>
      <c r="AE25" s="108" t="s">
        <v>304</v>
      </c>
      <c r="AF25" s="1001" t="s">
        <v>487</v>
      </c>
      <c r="AG25" s="108" t="s">
        <v>488</v>
      </c>
      <c r="AH25" s="108" t="s">
        <v>304</v>
      </c>
      <c r="AI25" s="1002" t="s">
        <v>305</v>
      </c>
      <c r="AJ25" s="1002" t="s">
        <v>305</v>
      </c>
      <c r="AK25" s="1002" t="s">
        <v>305</v>
      </c>
      <c r="AL25" s="1002" t="s">
        <v>305</v>
      </c>
      <c r="AM25" s="1002" t="s">
        <v>305</v>
      </c>
      <c r="AN25" s="1002" t="s">
        <v>305</v>
      </c>
      <c r="AO25" s="1002" t="s">
        <v>305</v>
      </c>
      <c r="AP25" s="1002" t="s">
        <v>305</v>
      </c>
      <c r="AQ25" s="1002" t="s">
        <v>305</v>
      </c>
      <c r="AR25" s="1002" t="s">
        <v>305</v>
      </c>
      <c r="AS25" s="324" t="s">
        <v>304</v>
      </c>
      <c r="AT25" s="324" t="s">
        <v>304</v>
      </c>
      <c r="AU25" s="324" t="s">
        <v>304</v>
      </c>
      <c r="AV25" s="324" t="s">
        <v>304</v>
      </c>
      <c r="AW25" s="324" t="s">
        <v>304</v>
      </c>
      <c r="AX25" s="324" t="s">
        <v>304</v>
      </c>
      <c r="AY25" s="324" t="s">
        <v>304</v>
      </c>
      <c r="AZ25" s="324" t="s">
        <v>304</v>
      </c>
      <c r="BA25" s="324" t="s">
        <v>304</v>
      </c>
      <c r="BB25" s="324" t="s">
        <v>304</v>
      </c>
      <c r="BC25" s="1492"/>
      <c r="BF25" s="912"/>
      <c r="BG25" s="912"/>
      <c r="BH25" s="912"/>
      <c r="BI25" s="915"/>
      <c r="BJ25" s="915"/>
    </row>
    <row r="26" spans="1:62" s="157" customFormat="1" ht="50.25" hidden="1" customHeight="1">
      <c r="A26" s="988"/>
      <c r="B26" s="614"/>
      <c r="C26" s="113"/>
      <c r="D26" s="113"/>
      <c r="E26" s="623">
        <v>0</v>
      </c>
      <c r="F26" s="113"/>
      <c r="G26" s="150"/>
      <c r="H26" s="150"/>
      <c r="I26" s="150"/>
      <c r="J26" s="150"/>
      <c r="K26" s="150"/>
      <c r="L26" s="150"/>
      <c r="M26" s="150"/>
      <c r="N26" s="150"/>
      <c r="O26" s="150"/>
      <c r="P26" s="150"/>
      <c r="Q26" s="566"/>
      <c r="R26" s="566"/>
      <c r="S26" s="150"/>
      <c r="T26" s="113"/>
      <c r="U26" s="113"/>
      <c r="V26" s="113"/>
      <c r="W26" s="113"/>
      <c r="X26" s="113"/>
      <c r="Y26" s="113"/>
      <c r="Z26" s="113"/>
      <c r="AB26" s="404"/>
      <c r="AC26" s="405"/>
      <c r="AD26" s="405"/>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406"/>
      <c r="BF26" s="912"/>
      <c r="BG26" s="912"/>
      <c r="BH26" s="912"/>
      <c r="BI26" s="915"/>
      <c r="BJ26" s="915"/>
    </row>
    <row r="27" spans="1:62" s="157" customFormat="1" ht="11.1" hidden="1" customHeight="1">
      <c r="E27" s="623">
        <v>11.4</v>
      </c>
      <c r="F27" s="714">
        <f>X27</f>
        <v>0</v>
      </c>
      <c r="T27" s="645" t="b">
        <f>X27&gt;0</f>
        <v>0</v>
      </c>
      <c r="V27" s="113" t="s">
        <v>228</v>
      </c>
      <c r="X27" s="1405">
        <v>0</v>
      </c>
      <c r="Z27" s="1403"/>
      <c r="AB27" s="224" t="str">
        <f>INDEX('Общие сведения'!$AG$169:$AG$202,MATCH($F27,'Общие сведения'!$Z$169:$Z$202,0))</f>
        <v>Тариф 0 (Теплоснабжение) - Тарифы на теплоноситель</v>
      </c>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F27" s="912"/>
      <c r="BG27" s="912"/>
      <c r="BH27" s="912"/>
      <c r="BI27" s="915"/>
      <c r="BJ27" s="915"/>
    </row>
    <row r="28" spans="1:62" s="157" customFormat="1" ht="29.25" hidden="1" customHeight="1">
      <c r="E28" s="623">
        <v>30</v>
      </c>
      <c r="F28" s="714">
        <f t="shared" ref="F28:F40" ca="1" si="3">OFFSET(G28,-1,-1)</f>
        <v>0</v>
      </c>
      <c r="T28" s="634" t="b">
        <f t="shared" ref="T28:T38" si="4">T27</f>
        <v>0</v>
      </c>
      <c r="X28" s="1403"/>
      <c r="Z28" s="1403"/>
      <c r="AB28" s="239">
        <v>1</v>
      </c>
      <c r="AC28" s="221" t="s">
        <v>1060</v>
      </c>
      <c r="AD28" s="214" t="s">
        <v>648</v>
      </c>
      <c r="AE28" s="232">
        <f t="shared" ref="AE28:BB28" si="5">SUM(AE29:AE37)</f>
        <v>0</v>
      </c>
      <c r="AF28" s="232">
        <f t="shared" si="5"/>
        <v>0</v>
      </c>
      <c r="AG28" s="232">
        <f t="shared" si="5"/>
        <v>0</v>
      </c>
      <c r="AH28" s="232">
        <f t="shared" si="5"/>
        <v>0</v>
      </c>
      <c r="AI28" s="232">
        <f t="shared" si="5"/>
        <v>0</v>
      </c>
      <c r="AJ28" s="232">
        <f t="shared" si="5"/>
        <v>0</v>
      </c>
      <c r="AK28" s="232">
        <f t="shared" si="5"/>
        <v>0</v>
      </c>
      <c r="AL28" s="232">
        <f t="shared" si="5"/>
        <v>0</v>
      </c>
      <c r="AM28" s="232">
        <f t="shared" si="5"/>
        <v>0</v>
      </c>
      <c r="AN28" s="232">
        <f t="shared" si="5"/>
        <v>0</v>
      </c>
      <c r="AO28" s="232">
        <f t="shared" si="5"/>
        <v>0</v>
      </c>
      <c r="AP28" s="232">
        <f t="shared" si="5"/>
        <v>0</v>
      </c>
      <c r="AQ28" s="232">
        <f t="shared" si="5"/>
        <v>0</v>
      </c>
      <c r="AR28" s="232">
        <f t="shared" si="5"/>
        <v>0</v>
      </c>
      <c r="AS28" s="232">
        <f t="shared" si="5"/>
        <v>0</v>
      </c>
      <c r="AT28" s="232">
        <f t="shared" si="5"/>
        <v>0</v>
      </c>
      <c r="AU28" s="232">
        <f t="shared" si="5"/>
        <v>0</v>
      </c>
      <c r="AV28" s="232">
        <f t="shared" si="5"/>
        <v>0</v>
      </c>
      <c r="AW28" s="232">
        <f t="shared" si="5"/>
        <v>0</v>
      </c>
      <c r="AX28" s="232">
        <f t="shared" si="5"/>
        <v>0</v>
      </c>
      <c r="AY28" s="232">
        <f t="shared" si="5"/>
        <v>0</v>
      </c>
      <c r="AZ28" s="232">
        <f t="shared" si="5"/>
        <v>0</v>
      </c>
      <c r="BA28" s="232">
        <f t="shared" si="5"/>
        <v>0</v>
      </c>
      <c r="BB28" s="232">
        <f t="shared" si="5"/>
        <v>0</v>
      </c>
      <c r="BC28" s="22"/>
      <c r="BF28" s="912" t="s">
        <v>1061</v>
      </c>
      <c r="BG28" s="912"/>
      <c r="BH28" s="912"/>
      <c r="BI28" s="915"/>
      <c r="BJ28" s="915"/>
    </row>
    <row r="29" spans="1:62" s="157" customFormat="1" ht="58.5" hidden="1" customHeight="1">
      <c r="E29" s="623">
        <v>60</v>
      </c>
      <c r="F29" s="714">
        <f t="shared" ca="1" si="3"/>
        <v>0</v>
      </c>
      <c r="G29" s="566" t="s">
        <v>1062</v>
      </c>
      <c r="T29" s="634" t="b">
        <f t="shared" si="4"/>
        <v>0</v>
      </c>
      <c r="X29" s="1403"/>
      <c r="Z29" s="1403"/>
      <c r="AB29" s="222" t="s">
        <v>339</v>
      </c>
      <c r="AC29" s="397" t="s">
        <v>1063</v>
      </c>
      <c r="AD29" s="93" t="s">
        <v>648</v>
      </c>
      <c r="AE29" s="23"/>
      <c r="AF29" s="50"/>
      <c r="AG29" s="50"/>
      <c r="AH29" s="50"/>
      <c r="AI29" s="234"/>
      <c r="AJ29" s="1152"/>
      <c r="AK29" s="1152"/>
      <c r="AL29" s="50"/>
      <c r="AM29" s="50"/>
      <c r="AN29" s="50"/>
      <c r="AO29" s="50"/>
      <c r="AP29" s="50"/>
      <c r="AQ29" s="50"/>
      <c r="AR29" s="50"/>
      <c r="AS29" s="234"/>
      <c r="AT29" s="1152"/>
      <c r="AU29" s="1152"/>
      <c r="AV29" s="50"/>
      <c r="AW29" s="50"/>
      <c r="AX29" s="50"/>
      <c r="AY29" s="50"/>
      <c r="AZ29" s="50"/>
      <c r="BA29" s="50"/>
      <c r="BB29" s="50"/>
      <c r="BC29" s="22"/>
      <c r="BF29" s="912" t="s">
        <v>1064</v>
      </c>
      <c r="BG29" s="912"/>
      <c r="BH29" s="912"/>
      <c r="BI29" s="915"/>
      <c r="BJ29" s="915"/>
    </row>
    <row r="30" spans="1:62" s="157" customFormat="1" ht="16.7" hidden="1" customHeight="1">
      <c r="E30" s="623">
        <v>17.100000000000001</v>
      </c>
      <c r="F30" s="714">
        <f t="shared" ca="1" si="3"/>
        <v>0</v>
      </c>
      <c r="G30" s="566" t="s">
        <v>1065</v>
      </c>
      <c r="H30" s="150" t="s">
        <v>1066</v>
      </c>
      <c r="T30" s="634" t="b">
        <f t="shared" si="4"/>
        <v>0</v>
      </c>
      <c r="X30" s="1403"/>
      <c r="Z30" s="1403"/>
      <c r="AB30" s="222" t="s">
        <v>503</v>
      </c>
      <c r="AC30" s="397" t="s">
        <v>1067</v>
      </c>
      <c r="AD30" s="93" t="s">
        <v>648</v>
      </c>
      <c r="AE30" s="23"/>
      <c r="AF30" s="50"/>
      <c r="AG30" s="50"/>
      <c r="AH30" s="50"/>
      <c r="AI30" s="234"/>
      <c r="AJ30" s="1152"/>
      <c r="AK30" s="1152"/>
      <c r="AL30" s="50"/>
      <c r="AM30" s="50"/>
      <c r="AN30" s="50"/>
      <c r="AO30" s="50"/>
      <c r="AP30" s="50"/>
      <c r="AQ30" s="50"/>
      <c r="AR30" s="50"/>
      <c r="AS30" s="234"/>
      <c r="AT30" s="1152"/>
      <c r="AU30" s="1152"/>
      <c r="AV30" s="50"/>
      <c r="AW30" s="50"/>
      <c r="AX30" s="50"/>
      <c r="AY30" s="50"/>
      <c r="AZ30" s="50"/>
      <c r="BA30" s="50"/>
      <c r="BB30" s="50"/>
      <c r="BC30" s="22"/>
      <c r="BF30" s="912" t="s">
        <v>1068</v>
      </c>
      <c r="BG30" s="912"/>
      <c r="BH30" s="912"/>
      <c r="BI30" s="915"/>
      <c r="BJ30" s="915"/>
    </row>
    <row r="31" spans="1:62" s="157" customFormat="1" ht="16.7" hidden="1" customHeight="1">
      <c r="E31" s="623">
        <v>17.100000000000001</v>
      </c>
      <c r="F31" s="714">
        <f t="shared" ca="1" si="3"/>
        <v>0</v>
      </c>
      <c r="G31" s="566" t="s">
        <v>1069</v>
      </c>
      <c r="T31" s="634" t="b">
        <f t="shared" si="4"/>
        <v>0</v>
      </c>
      <c r="X31" s="1403"/>
      <c r="Z31" s="1403"/>
      <c r="AB31" s="222" t="s">
        <v>749</v>
      </c>
      <c r="AC31" s="397" t="s">
        <v>1070</v>
      </c>
      <c r="AD31" s="93" t="s">
        <v>648</v>
      </c>
      <c r="AE31" s="23"/>
      <c r="AF31" s="50"/>
      <c r="AG31" s="50"/>
      <c r="AH31" s="50"/>
      <c r="AI31" s="234"/>
      <c r="AJ31" s="1152"/>
      <c r="AK31" s="1152"/>
      <c r="AL31" s="50"/>
      <c r="AM31" s="50"/>
      <c r="AN31" s="50"/>
      <c r="AO31" s="50"/>
      <c r="AP31" s="50"/>
      <c r="AQ31" s="50"/>
      <c r="AR31" s="50"/>
      <c r="AS31" s="234"/>
      <c r="AT31" s="1152"/>
      <c r="AU31" s="1152"/>
      <c r="AV31" s="50"/>
      <c r="AW31" s="50"/>
      <c r="AX31" s="50"/>
      <c r="AY31" s="50"/>
      <c r="AZ31" s="50"/>
      <c r="BA31" s="50"/>
      <c r="BB31" s="50"/>
      <c r="BC31" s="22"/>
      <c r="BF31" s="912" t="s">
        <v>1071</v>
      </c>
      <c r="BG31" s="912"/>
      <c r="BH31" s="912"/>
      <c r="BI31" s="915"/>
      <c r="BJ31" s="915"/>
    </row>
    <row r="32" spans="1:62" ht="16.7" hidden="1" customHeight="1">
      <c r="E32" s="623">
        <v>17.100000000000001</v>
      </c>
      <c r="F32" s="714">
        <f t="shared" ca="1" si="3"/>
        <v>0</v>
      </c>
      <c r="G32" s="566" t="s">
        <v>1065</v>
      </c>
      <c r="H32" s="150" t="s">
        <v>1065</v>
      </c>
      <c r="T32" s="634" t="b">
        <f t="shared" si="4"/>
        <v>0</v>
      </c>
      <c r="X32" s="1405"/>
      <c r="Z32" s="1405"/>
      <c r="AB32" s="222" t="s">
        <v>753</v>
      </c>
      <c r="AC32" s="397" t="s">
        <v>1072</v>
      </c>
      <c r="AD32" s="93" t="s">
        <v>648</v>
      </c>
      <c r="AE32" s="51"/>
      <c r="AF32" s="51"/>
      <c r="AG32" s="51"/>
      <c r="AH32" s="51"/>
      <c r="AI32" s="235"/>
      <c r="AJ32" s="1153"/>
      <c r="AK32" s="1153"/>
      <c r="AL32" s="51"/>
      <c r="AM32" s="51"/>
      <c r="AN32" s="51"/>
      <c r="AO32" s="51"/>
      <c r="AP32" s="51"/>
      <c r="AQ32" s="51"/>
      <c r="AR32" s="51"/>
      <c r="AS32" s="235"/>
      <c r="AT32" s="1153"/>
      <c r="AU32" s="1153"/>
      <c r="AV32" s="51"/>
      <c r="AW32" s="51"/>
      <c r="AX32" s="51"/>
      <c r="AY32" s="51"/>
      <c r="AZ32" s="51"/>
      <c r="BA32" s="51"/>
      <c r="BB32" s="51"/>
      <c r="BC32" s="22"/>
      <c r="BF32" s="912" t="s">
        <v>465</v>
      </c>
    </row>
    <row r="33" spans="1:62" s="157" customFormat="1" ht="16.7" hidden="1" customHeight="1">
      <c r="E33" s="623">
        <v>17.100000000000001</v>
      </c>
      <c r="F33" s="714">
        <f t="shared" ca="1" si="3"/>
        <v>0</v>
      </c>
      <c r="G33" s="566" t="s">
        <v>1065</v>
      </c>
      <c r="H33" s="150" t="s">
        <v>1073</v>
      </c>
      <c r="T33" s="634" t="b">
        <f t="shared" si="4"/>
        <v>0</v>
      </c>
      <c r="X33" s="1403"/>
      <c r="Z33" s="1403"/>
      <c r="AB33" s="222" t="s">
        <v>860</v>
      </c>
      <c r="AC33" s="397" t="s">
        <v>1074</v>
      </c>
      <c r="AD33" s="93" t="s">
        <v>648</v>
      </c>
      <c r="AE33" s="23"/>
      <c r="AF33" s="23"/>
      <c r="AG33" s="23"/>
      <c r="AH33" s="23"/>
      <c r="AI33" s="233"/>
      <c r="AJ33" s="1103"/>
      <c r="AK33" s="1103"/>
      <c r="AL33" s="23"/>
      <c r="AM33" s="23"/>
      <c r="AN33" s="23"/>
      <c r="AO33" s="23"/>
      <c r="AP33" s="23"/>
      <c r="AQ33" s="23"/>
      <c r="AR33" s="23"/>
      <c r="AS33" s="233"/>
      <c r="AT33" s="1103"/>
      <c r="AU33" s="1103"/>
      <c r="AV33" s="23"/>
      <c r="AW33" s="23"/>
      <c r="AX33" s="23"/>
      <c r="AY33" s="23"/>
      <c r="AZ33" s="23"/>
      <c r="BA33" s="23"/>
      <c r="BB33" s="23"/>
      <c r="BC33" s="22"/>
      <c r="BF33" s="912" t="s">
        <v>461</v>
      </c>
      <c r="BG33" s="912"/>
      <c r="BH33" s="912"/>
      <c r="BI33" s="915"/>
      <c r="BJ33" s="915"/>
    </row>
    <row r="34" spans="1:62" s="157" customFormat="1" ht="16.7" hidden="1" customHeight="1">
      <c r="E34" s="623">
        <v>17.100000000000001</v>
      </c>
      <c r="F34" s="714">
        <f t="shared" ca="1" si="3"/>
        <v>0</v>
      </c>
      <c r="G34" s="566" t="s">
        <v>1065</v>
      </c>
      <c r="H34" s="150" t="s">
        <v>1075</v>
      </c>
      <c r="T34" s="634" t="b">
        <f t="shared" si="4"/>
        <v>0</v>
      </c>
      <c r="X34" s="1403"/>
      <c r="Z34" s="1403"/>
      <c r="AB34" s="222" t="s">
        <v>863</v>
      </c>
      <c r="AC34" s="397" t="s">
        <v>1076</v>
      </c>
      <c r="AD34" s="93" t="s">
        <v>648</v>
      </c>
      <c r="AE34" s="23"/>
      <c r="AF34" s="23"/>
      <c r="AG34" s="23"/>
      <c r="AH34" s="23"/>
      <c r="AI34" s="233"/>
      <c r="AJ34" s="1103"/>
      <c r="AK34" s="1103"/>
      <c r="AL34" s="23"/>
      <c r="AM34" s="23"/>
      <c r="AN34" s="23"/>
      <c r="AO34" s="23"/>
      <c r="AP34" s="23"/>
      <c r="AQ34" s="23"/>
      <c r="AR34" s="23"/>
      <c r="AS34" s="233"/>
      <c r="AT34" s="1103"/>
      <c r="AU34" s="1103"/>
      <c r="AV34" s="23"/>
      <c r="AW34" s="23"/>
      <c r="AX34" s="23"/>
      <c r="AY34" s="23"/>
      <c r="AZ34" s="23"/>
      <c r="BA34" s="23"/>
      <c r="BB34" s="23"/>
      <c r="BC34" s="22"/>
      <c r="BF34" s="912" t="s">
        <v>1077</v>
      </c>
      <c r="BG34" s="912"/>
      <c r="BH34" s="912"/>
      <c r="BI34" s="915"/>
      <c r="BJ34" s="915"/>
    </row>
    <row r="35" spans="1:62" s="157" customFormat="1" ht="16.7" hidden="1" customHeight="1">
      <c r="E35" s="623">
        <v>17.100000000000001</v>
      </c>
      <c r="F35" s="714">
        <f t="shared" ca="1" si="3"/>
        <v>0</v>
      </c>
      <c r="G35" s="566" t="s">
        <v>1078</v>
      </c>
      <c r="T35" s="634" t="b">
        <f t="shared" si="4"/>
        <v>0</v>
      </c>
      <c r="X35" s="1403"/>
      <c r="Z35" s="1403"/>
      <c r="AB35" s="222" t="s">
        <v>866</v>
      </c>
      <c r="AC35" s="397" t="s">
        <v>1079</v>
      </c>
      <c r="AD35" s="93" t="s">
        <v>648</v>
      </c>
      <c r="AE35" s="23"/>
      <c r="AF35" s="23"/>
      <c r="AG35" s="23"/>
      <c r="AH35" s="23"/>
      <c r="AI35" s="233"/>
      <c r="AJ35" s="1103"/>
      <c r="AK35" s="1103"/>
      <c r="AL35" s="23"/>
      <c r="AM35" s="23"/>
      <c r="AN35" s="23"/>
      <c r="AO35" s="23"/>
      <c r="AP35" s="23"/>
      <c r="AQ35" s="23"/>
      <c r="AR35" s="23"/>
      <c r="AS35" s="233"/>
      <c r="AT35" s="1103"/>
      <c r="AU35" s="1103"/>
      <c r="AV35" s="23"/>
      <c r="AW35" s="23"/>
      <c r="AX35" s="23"/>
      <c r="AY35" s="23"/>
      <c r="AZ35" s="23"/>
      <c r="BA35" s="23"/>
      <c r="BB35" s="23"/>
      <c r="BC35" s="22"/>
      <c r="BF35" s="912" t="s">
        <v>469</v>
      </c>
      <c r="BG35" s="912"/>
      <c r="BH35" s="912"/>
      <c r="BI35" s="915"/>
      <c r="BJ35" s="915"/>
    </row>
    <row r="36" spans="1:62" s="157" customFormat="1" ht="16.7" hidden="1" customHeight="1">
      <c r="E36" s="623">
        <v>17.100000000000001</v>
      </c>
      <c r="F36" s="714">
        <f t="shared" ca="1" si="3"/>
        <v>0</v>
      </c>
      <c r="G36" s="566" t="s">
        <v>1065</v>
      </c>
      <c r="H36" s="150" t="s">
        <v>1080</v>
      </c>
      <c r="T36" s="634" t="b">
        <f t="shared" si="4"/>
        <v>0</v>
      </c>
      <c r="X36" s="1403"/>
      <c r="Z36" s="1403"/>
      <c r="AB36" s="222" t="s">
        <v>869</v>
      </c>
      <c r="AC36" s="397" t="s">
        <v>1081</v>
      </c>
      <c r="AD36" s="93" t="s">
        <v>648</v>
      </c>
      <c r="AE36" s="23"/>
      <c r="AF36" s="23"/>
      <c r="AG36" s="23"/>
      <c r="AH36" s="23"/>
      <c r="AI36" s="233"/>
      <c r="AJ36" s="1103"/>
      <c r="AK36" s="1103"/>
      <c r="AL36" s="23"/>
      <c r="AM36" s="23"/>
      <c r="AN36" s="23"/>
      <c r="AO36" s="23"/>
      <c r="AP36" s="23"/>
      <c r="AQ36" s="23"/>
      <c r="AR36" s="23"/>
      <c r="AS36" s="233"/>
      <c r="AT36" s="1103"/>
      <c r="AU36" s="1103"/>
      <c r="AV36" s="23"/>
      <c r="AW36" s="23"/>
      <c r="AX36" s="23"/>
      <c r="AY36" s="23"/>
      <c r="AZ36" s="23"/>
      <c r="BA36" s="23"/>
      <c r="BB36" s="23"/>
      <c r="BC36" s="22"/>
      <c r="BF36" s="912" t="s">
        <v>1082</v>
      </c>
      <c r="BG36" s="912"/>
      <c r="BH36" s="912"/>
      <c r="BI36" s="915"/>
      <c r="BJ36" s="915"/>
    </row>
    <row r="37" spans="1:62" s="157" customFormat="1" ht="16.7" hidden="1" customHeight="1">
      <c r="E37" s="623">
        <v>17.100000000000001</v>
      </c>
      <c r="F37" s="714">
        <f t="shared" ca="1" si="3"/>
        <v>0</v>
      </c>
      <c r="G37" s="566" t="s">
        <v>1065</v>
      </c>
      <c r="H37" s="150" t="s">
        <v>1065</v>
      </c>
      <c r="T37" s="634" t="b">
        <f t="shared" si="4"/>
        <v>0</v>
      </c>
      <c r="X37" s="1403"/>
      <c r="Z37" s="1403"/>
      <c r="AB37" s="222" t="s">
        <v>1083</v>
      </c>
      <c r="AC37" s="397" t="s">
        <v>1084</v>
      </c>
      <c r="AD37" s="93" t="s">
        <v>648</v>
      </c>
      <c r="AE37" s="288">
        <f t="shared" ref="AE37:BB37" si="6">SUM(AE38:AE40)</f>
        <v>0</v>
      </c>
      <c r="AF37" s="288">
        <f t="shared" si="6"/>
        <v>0</v>
      </c>
      <c r="AG37" s="288">
        <f t="shared" si="6"/>
        <v>0</v>
      </c>
      <c r="AH37" s="288">
        <f t="shared" si="6"/>
        <v>0</v>
      </c>
      <c r="AI37" s="288">
        <f t="shared" si="6"/>
        <v>0</v>
      </c>
      <c r="AJ37" s="288">
        <f t="shared" si="6"/>
        <v>0</v>
      </c>
      <c r="AK37" s="288">
        <f t="shared" si="6"/>
        <v>0</v>
      </c>
      <c r="AL37" s="288">
        <f t="shared" si="6"/>
        <v>0</v>
      </c>
      <c r="AM37" s="288">
        <f t="shared" si="6"/>
        <v>0</v>
      </c>
      <c r="AN37" s="288">
        <f t="shared" si="6"/>
        <v>0</v>
      </c>
      <c r="AO37" s="288">
        <f t="shared" si="6"/>
        <v>0</v>
      </c>
      <c r="AP37" s="288">
        <f t="shared" si="6"/>
        <v>0</v>
      </c>
      <c r="AQ37" s="288">
        <f t="shared" si="6"/>
        <v>0</v>
      </c>
      <c r="AR37" s="288">
        <f t="shared" si="6"/>
        <v>0</v>
      </c>
      <c r="AS37" s="288">
        <f t="shared" si="6"/>
        <v>0</v>
      </c>
      <c r="AT37" s="288">
        <f t="shared" si="6"/>
        <v>0</v>
      </c>
      <c r="AU37" s="288">
        <f t="shared" si="6"/>
        <v>0</v>
      </c>
      <c r="AV37" s="288">
        <f t="shared" si="6"/>
        <v>0</v>
      </c>
      <c r="AW37" s="288">
        <f t="shared" si="6"/>
        <v>0</v>
      </c>
      <c r="AX37" s="288">
        <f t="shared" si="6"/>
        <v>0</v>
      </c>
      <c r="AY37" s="288">
        <f t="shared" si="6"/>
        <v>0</v>
      </c>
      <c r="AZ37" s="288">
        <f t="shared" si="6"/>
        <v>0</v>
      </c>
      <c r="BA37" s="288">
        <f t="shared" si="6"/>
        <v>0</v>
      </c>
      <c r="BB37" s="288">
        <f t="shared" si="6"/>
        <v>0</v>
      </c>
      <c r="BC37" s="22"/>
      <c r="BF37" s="912" t="s">
        <v>1013</v>
      </c>
      <c r="BG37" s="912"/>
      <c r="BH37" s="912"/>
      <c r="BI37" s="915"/>
      <c r="BJ37" s="915"/>
    </row>
    <row r="38" spans="1:62" ht="17.25" hidden="1" customHeight="1">
      <c r="E38" s="623">
        <v>0</v>
      </c>
      <c r="F38" s="714">
        <f t="shared" ca="1" si="3"/>
        <v>0</v>
      </c>
      <c r="T38" s="634" t="b">
        <f t="shared" si="4"/>
        <v>0</v>
      </c>
      <c r="X38" s="1405"/>
      <c r="Z38" s="1405"/>
      <c r="AB38" s="242"/>
      <c r="AC38" s="223"/>
      <c r="AD38" s="93"/>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93"/>
      <c r="BF38" s="912" t="str">
        <f>IF(AND(ISNUMBER(VALUE(TRIM(SUBSTITUTE(AB38,".","")))),TRIM(SUBSTITUTE(AB38,".",""))&lt;&gt;""),"P"&amp;SUBSTITUTE(AB38,".",""),"")</f>
        <v/>
      </c>
    </row>
    <row r="39" spans="1:62" s="157" customFormat="1" ht="16.7" hidden="1" customHeight="1">
      <c r="E39" s="623">
        <v>17.100000000000001</v>
      </c>
      <c r="F39" s="714">
        <f t="shared" ca="1" si="3"/>
        <v>0</v>
      </c>
      <c r="H39" s="150">
        <f>AC39</f>
        <v>0</v>
      </c>
      <c r="T39" s="634" t="b">
        <f ca="1">AND(OFFSET(U39,1,-1),Y39&gt;0)</f>
        <v>0</v>
      </c>
      <c r="W39" s="113" t="s">
        <v>170</v>
      </c>
      <c r="X39" s="1403"/>
      <c r="Y39" s="113">
        <v>0</v>
      </c>
      <c r="Z39" s="1403"/>
      <c r="AA39" s="709" t="s">
        <v>157</v>
      </c>
      <c r="AB39" s="93" t="str">
        <f>"1.9."&amp;Y39</f>
        <v>1.9.0</v>
      </c>
      <c r="AC39" s="52"/>
      <c r="AD39" s="93" t="s">
        <v>648</v>
      </c>
      <c r="AE39" s="23"/>
      <c r="AF39" s="50"/>
      <c r="AG39" s="50"/>
      <c r="AH39" s="50"/>
      <c r="AI39" s="234"/>
      <c r="AJ39" s="1152"/>
      <c r="AK39" s="1152"/>
      <c r="AL39" s="50"/>
      <c r="AM39" s="50"/>
      <c r="AN39" s="50"/>
      <c r="AO39" s="50"/>
      <c r="AP39" s="50"/>
      <c r="AQ39" s="50"/>
      <c r="AR39" s="50"/>
      <c r="AS39" s="234"/>
      <c r="AT39" s="1152"/>
      <c r="AU39" s="1152"/>
      <c r="AV39" s="50"/>
      <c r="AW39" s="50"/>
      <c r="AX39" s="50"/>
      <c r="AY39" s="50"/>
      <c r="AZ39" s="50"/>
      <c r="BA39" s="50"/>
      <c r="BB39" s="50"/>
      <c r="BC39" s="22"/>
      <c r="BF39" s="912" t="s">
        <v>1085</v>
      </c>
      <c r="BG39" s="912" t="s">
        <v>1086</v>
      </c>
      <c r="BH39" s="942">
        <f>AC39</f>
        <v>0</v>
      </c>
      <c r="BI39" s="915"/>
      <c r="BJ39" s="915" t="b">
        <v>1</v>
      </c>
    </row>
    <row r="40" spans="1:62" s="157" customFormat="1" ht="11.1" hidden="1" customHeight="1">
      <c r="E40" s="623">
        <v>11.4</v>
      </c>
      <c r="F40" s="714">
        <f t="shared" ca="1" si="3"/>
        <v>0</v>
      </c>
      <c r="T40" s="634" t="b">
        <f>T37</f>
        <v>0</v>
      </c>
      <c r="W40" s="291" t="s">
        <v>764</v>
      </c>
      <c r="X40" s="1403"/>
      <c r="Z40" s="1403"/>
      <c r="AB40" s="396"/>
      <c r="AC40" s="237" t="s">
        <v>172</v>
      </c>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8"/>
      <c r="BF40" s="912"/>
      <c r="BG40" s="912"/>
      <c r="BH40" s="912"/>
      <c r="BI40" s="915" t="s">
        <v>1086</v>
      </c>
      <c r="BJ40" s="915"/>
    </row>
    <row r="41" spans="1:62" s="1154" customFormat="1" ht="10.5" customHeight="1">
      <c r="A41" s="157"/>
      <c r="B41" s="157"/>
      <c r="C41" s="157"/>
      <c r="D41" s="157"/>
      <c r="E41" s="623">
        <v>11.4</v>
      </c>
      <c r="F41" s="714" t="str">
        <f>X41</f>
        <v>1</v>
      </c>
      <c r="G41" s="157"/>
      <c r="H41" s="157"/>
      <c r="I41" s="157"/>
      <c r="J41" s="157"/>
      <c r="K41" s="157"/>
      <c r="L41" s="157"/>
      <c r="M41" s="157"/>
      <c r="N41" s="157"/>
      <c r="O41" s="157"/>
      <c r="P41" s="157"/>
      <c r="Q41" s="157"/>
      <c r="R41" s="157"/>
      <c r="S41" s="157"/>
      <c r="T41" s="645" t="b">
        <f>X41&gt;0</f>
        <v>1</v>
      </c>
      <c r="U41" s="157"/>
      <c r="V41" s="113" t="str">
        <f>ФОТ!$AB$52</f>
        <v>Тариф 1 (Теплоснабжение) - Тарифы на теплоноситель (Не определено)</v>
      </c>
      <c r="W41" s="157"/>
      <c r="X41" s="1405" t="s">
        <v>247</v>
      </c>
      <c r="Y41" s="157"/>
      <c r="Z41" s="1403"/>
      <c r="AA41" s="157"/>
      <c r="AB41" s="224" t="str">
        <f>IF(ISBLANK(ФОТ!$AB$52),"",ФОТ!$AB$52)</f>
        <v>Тариф 1 (Теплоснабжение) - Тарифы на теплоноситель (Не определено)</v>
      </c>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57"/>
      <c r="BE41" s="157"/>
      <c r="BF41" s="912"/>
      <c r="BG41" s="912"/>
      <c r="BH41" s="912"/>
      <c r="BI41" s="915"/>
      <c r="BJ41" s="915"/>
    </row>
    <row r="42" spans="1:62" s="1155" customFormat="1" ht="29.25" customHeight="1">
      <c r="A42" s="157"/>
      <c r="B42" s="157"/>
      <c r="C42" s="157"/>
      <c r="D42" s="157"/>
      <c r="E42" s="623">
        <v>30</v>
      </c>
      <c r="F42" s="714" t="str">
        <f t="shared" ref="F42:F54" ca="1" si="7">OFFSET(G42,-1,-1)</f>
        <v>1</v>
      </c>
      <c r="G42" s="157"/>
      <c r="H42" s="157"/>
      <c r="I42" s="157"/>
      <c r="J42" s="157"/>
      <c r="K42" s="157"/>
      <c r="L42" s="157"/>
      <c r="M42" s="157"/>
      <c r="N42" s="157"/>
      <c r="O42" s="157"/>
      <c r="P42" s="157"/>
      <c r="Q42" s="157"/>
      <c r="R42" s="157"/>
      <c r="S42" s="157"/>
      <c r="T42" s="634" t="b">
        <f t="shared" ref="T42:T52" si="8">T41</f>
        <v>1</v>
      </c>
      <c r="U42" s="157"/>
      <c r="V42" s="157"/>
      <c r="W42" s="157"/>
      <c r="X42" s="1403"/>
      <c r="Y42" s="157"/>
      <c r="Z42" s="1403"/>
      <c r="AA42" s="157"/>
      <c r="AB42" s="239">
        <v>1</v>
      </c>
      <c r="AC42" s="221" t="s">
        <v>1060</v>
      </c>
      <c r="AD42" s="214" t="s">
        <v>648</v>
      </c>
      <c r="AE42" s="232">
        <f t="shared" ref="AE42:BB42" si="9">SUM(AE43:AE51)</f>
        <v>0</v>
      </c>
      <c r="AF42" s="232">
        <f t="shared" si="9"/>
        <v>0</v>
      </c>
      <c r="AG42" s="232">
        <f t="shared" si="9"/>
        <v>0</v>
      </c>
      <c r="AH42" s="232">
        <f t="shared" si="9"/>
        <v>0</v>
      </c>
      <c r="AI42" s="232">
        <f t="shared" si="9"/>
        <v>0</v>
      </c>
      <c r="AJ42" s="232">
        <f t="shared" si="9"/>
        <v>0</v>
      </c>
      <c r="AK42" s="232">
        <f t="shared" si="9"/>
        <v>0</v>
      </c>
      <c r="AL42" s="232">
        <f t="shared" si="9"/>
        <v>0</v>
      </c>
      <c r="AM42" s="232">
        <f t="shared" si="9"/>
        <v>0</v>
      </c>
      <c r="AN42" s="232">
        <f t="shared" si="9"/>
        <v>0</v>
      </c>
      <c r="AO42" s="232">
        <f t="shared" si="9"/>
        <v>0</v>
      </c>
      <c r="AP42" s="232">
        <f t="shared" si="9"/>
        <v>0</v>
      </c>
      <c r="AQ42" s="232">
        <f t="shared" si="9"/>
        <v>0</v>
      </c>
      <c r="AR42" s="232">
        <f t="shared" si="9"/>
        <v>0</v>
      </c>
      <c r="AS42" s="232">
        <f t="shared" si="9"/>
        <v>0</v>
      </c>
      <c r="AT42" s="232">
        <f t="shared" si="9"/>
        <v>0</v>
      </c>
      <c r="AU42" s="232">
        <f t="shared" si="9"/>
        <v>0</v>
      </c>
      <c r="AV42" s="232">
        <f t="shared" si="9"/>
        <v>0</v>
      </c>
      <c r="AW42" s="232">
        <f t="shared" si="9"/>
        <v>0</v>
      </c>
      <c r="AX42" s="232">
        <f t="shared" si="9"/>
        <v>0</v>
      </c>
      <c r="AY42" s="232">
        <f t="shared" si="9"/>
        <v>0</v>
      </c>
      <c r="AZ42" s="232">
        <f t="shared" si="9"/>
        <v>0</v>
      </c>
      <c r="BA42" s="232">
        <f t="shared" si="9"/>
        <v>0</v>
      </c>
      <c r="BB42" s="232">
        <f t="shared" si="9"/>
        <v>0</v>
      </c>
      <c r="BC42" s="1106"/>
      <c r="BD42" s="157"/>
      <c r="BE42" s="157"/>
      <c r="BF42" s="912" t="s">
        <v>1061</v>
      </c>
      <c r="BG42" s="912"/>
      <c r="BH42" s="912"/>
      <c r="BI42" s="915"/>
      <c r="BJ42" s="915"/>
    </row>
    <row r="43" spans="1:62" s="1156" customFormat="1" ht="58.5" customHeight="1">
      <c r="A43" s="157"/>
      <c r="B43" s="157"/>
      <c r="C43" s="157"/>
      <c r="D43" s="157"/>
      <c r="E43" s="623">
        <v>60</v>
      </c>
      <c r="F43" s="714" t="str">
        <f t="shared" ca="1" si="7"/>
        <v>1</v>
      </c>
      <c r="G43" s="566" t="s">
        <v>1062</v>
      </c>
      <c r="H43" s="157"/>
      <c r="I43" s="157"/>
      <c r="J43" s="157"/>
      <c r="K43" s="157"/>
      <c r="L43" s="157"/>
      <c r="M43" s="157"/>
      <c r="N43" s="157"/>
      <c r="O43" s="157"/>
      <c r="P43" s="157"/>
      <c r="Q43" s="157"/>
      <c r="R43" s="157"/>
      <c r="S43" s="157"/>
      <c r="T43" s="634" t="b">
        <f t="shared" si="8"/>
        <v>1</v>
      </c>
      <c r="U43" s="157"/>
      <c r="V43" s="157"/>
      <c r="W43" s="157"/>
      <c r="X43" s="1403"/>
      <c r="Y43" s="157"/>
      <c r="Z43" s="1403"/>
      <c r="AA43" s="157"/>
      <c r="AB43" s="222" t="s">
        <v>339</v>
      </c>
      <c r="AC43" s="397" t="s">
        <v>1063</v>
      </c>
      <c r="AD43" s="93" t="s">
        <v>648</v>
      </c>
      <c r="AE43" s="1107"/>
      <c r="AF43" s="1151"/>
      <c r="AG43" s="1151"/>
      <c r="AH43" s="1151"/>
      <c r="AI43" s="234"/>
      <c r="AJ43" s="1152"/>
      <c r="AK43" s="1152"/>
      <c r="AL43" s="1151"/>
      <c r="AM43" s="1151"/>
      <c r="AN43" s="1151"/>
      <c r="AO43" s="1151"/>
      <c r="AP43" s="1151"/>
      <c r="AQ43" s="1151"/>
      <c r="AR43" s="1151"/>
      <c r="AS43" s="234"/>
      <c r="AT43" s="1152"/>
      <c r="AU43" s="1152"/>
      <c r="AV43" s="1151"/>
      <c r="AW43" s="1151"/>
      <c r="AX43" s="1151"/>
      <c r="AY43" s="1151"/>
      <c r="AZ43" s="1151"/>
      <c r="BA43" s="1151"/>
      <c r="BB43" s="1151"/>
      <c r="BC43" s="1106"/>
      <c r="BD43" s="157"/>
      <c r="BE43" s="157"/>
      <c r="BF43" s="912" t="s">
        <v>1064</v>
      </c>
      <c r="BG43" s="912"/>
      <c r="BH43" s="912"/>
      <c r="BI43" s="915"/>
      <c r="BJ43" s="915"/>
    </row>
    <row r="44" spans="1:62" s="1157" customFormat="1" ht="16.5" customHeight="1">
      <c r="A44" s="157"/>
      <c r="B44" s="157"/>
      <c r="C44" s="157"/>
      <c r="D44" s="157"/>
      <c r="E44" s="623">
        <v>17.100000000000001</v>
      </c>
      <c r="F44" s="714" t="str">
        <f t="shared" ca="1" si="7"/>
        <v>1</v>
      </c>
      <c r="G44" s="566" t="s">
        <v>1065</v>
      </c>
      <c r="H44" s="150" t="s">
        <v>1066</v>
      </c>
      <c r="I44" s="157"/>
      <c r="J44" s="157"/>
      <c r="K44" s="157"/>
      <c r="L44" s="157"/>
      <c r="M44" s="157"/>
      <c r="N44" s="157"/>
      <c r="O44" s="157"/>
      <c r="P44" s="157"/>
      <c r="Q44" s="157"/>
      <c r="R44" s="157"/>
      <c r="S44" s="157"/>
      <c r="T44" s="634" t="b">
        <f t="shared" si="8"/>
        <v>1</v>
      </c>
      <c r="U44" s="157"/>
      <c r="V44" s="157"/>
      <c r="W44" s="157"/>
      <c r="X44" s="1403"/>
      <c r="Y44" s="157"/>
      <c r="Z44" s="1403"/>
      <c r="AA44" s="157"/>
      <c r="AB44" s="222" t="s">
        <v>503</v>
      </c>
      <c r="AC44" s="397" t="s">
        <v>1067</v>
      </c>
      <c r="AD44" s="93" t="s">
        <v>648</v>
      </c>
      <c r="AE44" s="1107"/>
      <c r="AF44" s="1151"/>
      <c r="AG44" s="1151"/>
      <c r="AH44" s="1151"/>
      <c r="AI44" s="234"/>
      <c r="AJ44" s="1152"/>
      <c r="AK44" s="1152"/>
      <c r="AL44" s="1151"/>
      <c r="AM44" s="1151"/>
      <c r="AN44" s="1151"/>
      <c r="AO44" s="1151"/>
      <c r="AP44" s="1151"/>
      <c r="AQ44" s="1151"/>
      <c r="AR44" s="1151"/>
      <c r="AS44" s="234"/>
      <c r="AT44" s="1152"/>
      <c r="AU44" s="1152"/>
      <c r="AV44" s="1151"/>
      <c r="AW44" s="1151"/>
      <c r="AX44" s="1151"/>
      <c r="AY44" s="1151"/>
      <c r="AZ44" s="1151"/>
      <c r="BA44" s="1151"/>
      <c r="BB44" s="1151"/>
      <c r="BC44" s="1106"/>
      <c r="BD44" s="157"/>
      <c r="BE44" s="157"/>
      <c r="BF44" s="912" t="s">
        <v>1068</v>
      </c>
      <c r="BG44" s="912"/>
      <c r="BH44" s="912"/>
      <c r="BI44" s="915"/>
      <c r="BJ44" s="915"/>
    </row>
    <row r="45" spans="1:62" s="1158" customFormat="1" ht="16.5" customHeight="1">
      <c r="A45" s="157"/>
      <c r="B45" s="157"/>
      <c r="C45" s="157"/>
      <c r="D45" s="157"/>
      <c r="E45" s="623">
        <v>17.100000000000001</v>
      </c>
      <c r="F45" s="714" t="str">
        <f t="shared" ca="1" si="7"/>
        <v>1</v>
      </c>
      <c r="G45" s="566" t="s">
        <v>1069</v>
      </c>
      <c r="H45" s="157"/>
      <c r="I45" s="157"/>
      <c r="J45" s="157"/>
      <c r="K45" s="157"/>
      <c r="L45" s="157"/>
      <c r="M45" s="157"/>
      <c r="N45" s="157"/>
      <c r="O45" s="157"/>
      <c r="P45" s="157"/>
      <c r="Q45" s="157"/>
      <c r="R45" s="157"/>
      <c r="S45" s="157"/>
      <c r="T45" s="634" t="b">
        <f t="shared" si="8"/>
        <v>1</v>
      </c>
      <c r="U45" s="157"/>
      <c r="V45" s="157"/>
      <c r="W45" s="157"/>
      <c r="X45" s="1403"/>
      <c r="Y45" s="157"/>
      <c r="Z45" s="1403"/>
      <c r="AA45" s="157"/>
      <c r="AB45" s="222" t="s">
        <v>749</v>
      </c>
      <c r="AC45" s="397" t="s">
        <v>1070</v>
      </c>
      <c r="AD45" s="93" t="s">
        <v>648</v>
      </c>
      <c r="AE45" s="1107"/>
      <c r="AF45" s="1151"/>
      <c r="AG45" s="1151"/>
      <c r="AH45" s="1151"/>
      <c r="AI45" s="234"/>
      <c r="AJ45" s="1152"/>
      <c r="AK45" s="1152"/>
      <c r="AL45" s="1151"/>
      <c r="AM45" s="1151"/>
      <c r="AN45" s="1151"/>
      <c r="AO45" s="1151"/>
      <c r="AP45" s="1151"/>
      <c r="AQ45" s="1151"/>
      <c r="AR45" s="1151"/>
      <c r="AS45" s="234"/>
      <c r="AT45" s="1152"/>
      <c r="AU45" s="1152"/>
      <c r="AV45" s="1151"/>
      <c r="AW45" s="1151"/>
      <c r="AX45" s="1151"/>
      <c r="AY45" s="1151"/>
      <c r="AZ45" s="1151"/>
      <c r="BA45" s="1151"/>
      <c r="BB45" s="1151"/>
      <c r="BC45" s="1106"/>
      <c r="BD45" s="157"/>
      <c r="BE45" s="157"/>
      <c r="BF45" s="912" t="s">
        <v>1071</v>
      </c>
      <c r="BG45" s="912"/>
      <c r="BH45" s="912"/>
      <c r="BI45" s="915"/>
      <c r="BJ45" s="915"/>
    </row>
    <row r="46" spans="1:62" s="1057" customFormat="1" ht="16.5" customHeight="1">
      <c r="A46" s="988"/>
      <c r="B46" s="718"/>
      <c r="C46" s="1012"/>
      <c r="D46" s="1012"/>
      <c r="E46" s="623">
        <v>17.100000000000001</v>
      </c>
      <c r="F46" s="714" t="str">
        <f t="shared" ca="1" si="7"/>
        <v>1</v>
      </c>
      <c r="G46" s="566" t="s">
        <v>1065</v>
      </c>
      <c r="H46" s="150" t="s">
        <v>1065</v>
      </c>
      <c r="I46" s="394"/>
      <c r="J46" s="394"/>
      <c r="K46" s="394"/>
      <c r="L46" s="394"/>
      <c r="M46" s="394"/>
      <c r="N46" s="394"/>
      <c r="O46" s="394"/>
      <c r="P46" s="394"/>
      <c r="Q46" s="719"/>
      <c r="R46" s="719"/>
      <c r="S46" s="394"/>
      <c r="T46" s="634" t="b">
        <f t="shared" si="8"/>
        <v>1</v>
      </c>
      <c r="U46" s="1012"/>
      <c r="V46" s="1012"/>
      <c r="W46" s="1012"/>
      <c r="X46" s="1405"/>
      <c r="Y46" s="1012"/>
      <c r="Z46" s="1405"/>
      <c r="AA46" s="157"/>
      <c r="AB46" s="222" t="s">
        <v>753</v>
      </c>
      <c r="AC46" s="397" t="s">
        <v>1072</v>
      </c>
      <c r="AD46" s="93" t="s">
        <v>648</v>
      </c>
      <c r="AE46" s="1159"/>
      <c r="AF46" s="1159"/>
      <c r="AG46" s="1159"/>
      <c r="AH46" s="1159"/>
      <c r="AI46" s="235"/>
      <c r="AJ46" s="1153"/>
      <c r="AK46" s="1153"/>
      <c r="AL46" s="1159"/>
      <c r="AM46" s="1159"/>
      <c r="AN46" s="1159"/>
      <c r="AO46" s="1159"/>
      <c r="AP46" s="1159"/>
      <c r="AQ46" s="1159"/>
      <c r="AR46" s="1159"/>
      <c r="AS46" s="235"/>
      <c r="AT46" s="1153"/>
      <c r="AU46" s="1153"/>
      <c r="AV46" s="1159"/>
      <c r="AW46" s="1159"/>
      <c r="AX46" s="1159"/>
      <c r="AY46" s="1159"/>
      <c r="AZ46" s="1159"/>
      <c r="BA46" s="1159"/>
      <c r="BB46" s="1159"/>
      <c r="BC46" s="1106"/>
      <c r="BD46" s="157"/>
      <c r="BE46" s="157"/>
      <c r="BF46" s="912" t="s">
        <v>465</v>
      </c>
      <c r="BG46" s="930"/>
      <c r="BH46" s="930"/>
      <c r="BI46" s="940"/>
      <c r="BJ46" s="940"/>
    </row>
    <row r="47" spans="1:62" s="1160" customFormat="1" ht="16.5" customHeight="1">
      <c r="A47" s="157"/>
      <c r="B47" s="157"/>
      <c r="C47" s="157"/>
      <c r="D47" s="157"/>
      <c r="E47" s="623">
        <v>17.100000000000001</v>
      </c>
      <c r="F47" s="714" t="str">
        <f t="shared" ca="1" si="7"/>
        <v>1</v>
      </c>
      <c r="G47" s="566" t="s">
        <v>1065</v>
      </c>
      <c r="H47" s="150" t="s">
        <v>1073</v>
      </c>
      <c r="I47" s="157"/>
      <c r="J47" s="157"/>
      <c r="K47" s="157"/>
      <c r="L47" s="157"/>
      <c r="M47" s="157"/>
      <c r="N47" s="157"/>
      <c r="O47" s="157"/>
      <c r="P47" s="157"/>
      <c r="Q47" s="157"/>
      <c r="R47" s="157"/>
      <c r="S47" s="157"/>
      <c r="T47" s="634" t="b">
        <f t="shared" si="8"/>
        <v>1</v>
      </c>
      <c r="U47" s="157"/>
      <c r="V47" s="157"/>
      <c r="W47" s="157"/>
      <c r="X47" s="1403"/>
      <c r="Y47" s="157"/>
      <c r="Z47" s="1403"/>
      <c r="AA47" s="157"/>
      <c r="AB47" s="222" t="s">
        <v>860</v>
      </c>
      <c r="AC47" s="397" t="s">
        <v>1074</v>
      </c>
      <c r="AD47" s="93" t="s">
        <v>648</v>
      </c>
      <c r="AE47" s="1107"/>
      <c r="AF47" s="1107"/>
      <c r="AG47" s="1107"/>
      <c r="AH47" s="1107"/>
      <c r="AI47" s="233"/>
      <c r="AJ47" s="1103"/>
      <c r="AK47" s="1103"/>
      <c r="AL47" s="1107"/>
      <c r="AM47" s="1107"/>
      <c r="AN47" s="1107"/>
      <c r="AO47" s="1107"/>
      <c r="AP47" s="1107"/>
      <c r="AQ47" s="1107"/>
      <c r="AR47" s="1107"/>
      <c r="AS47" s="233"/>
      <c r="AT47" s="1103"/>
      <c r="AU47" s="1103"/>
      <c r="AV47" s="1107"/>
      <c r="AW47" s="1107"/>
      <c r="AX47" s="1107"/>
      <c r="AY47" s="1107"/>
      <c r="AZ47" s="1107"/>
      <c r="BA47" s="1107"/>
      <c r="BB47" s="1107"/>
      <c r="BC47" s="1106"/>
      <c r="BD47" s="157"/>
      <c r="BE47" s="157"/>
      <c r="BF47" s="912" t="s">
        <v>461</v>
      </c>
      <c r="BG47" s="912"/>
      <c r="BH47" s="912"/>
      <c r="BI47" s="915"/>
      <c r="BJ47" s="915"/>
    </row>
    <row r="48" spans="1:62" s="1161" customFormat="1" ht="16.5" customHeight="1">
      <c r="A48" s="157"/>
      <c r="B48" s="157"/>
      <c r="C48" s="157"/>
      <c r="D48" s="157"/>
      <c r="E48" s="623">
        <v>17.100000000000001</v>
      </c>
      <c r="F48" s="714" t="str">
        <f t="shared" ca="1" si="7"/>
        <v>1</v>
      </c>
      <c r="G48" s="566" t="s">
        <v>1065</v>
      </c>
      <c r="H48" s="150" t="s">
        <v>1075</v>
      </c>
      <c r="I48" s="157"/>
      <c r="J48" s="157"/>
      <c r="K48" s="157"/>
      <c r="L48" s="157"/>
      <c r="M48" s="157"/>
      <c r="N48" s="157"/>
      <c r="O48" s="157"/>
      <c r="P48" s="157"/>
      <c r="Q48" s="157"/>
      <c r="R48" s="157"/>
      <c r="S48" s="157"/>
      <c r="T48" s="634" t="b">
        <f t="shared" si="8"/>
        <v>1</v>
      </c>
      <c r="U48" s="157"/>
      <c r="V48" s="157"/>
      <c r="W48" s="157"/>
      <c r="X48" s="1403"/>
      <c r="Y48" s="157"/>
      <c r="Z48" s="1403"/>
      <c r="AA48" s="157"/>
      <c r="AB48" s="222" t="s">
        <v>863</v>
      </c>
      <c r="AC48" s="397" t="s">
        <v>1076</v>
      </c>
      <c r="AD48" s="93" t="s">
        <v>648</v>
      </c>
      <c r="AE48" s="1107"/>
      <c r="AF48" s="1107"/>
      <c r="AG48" s="1107"/>
      <c r="AH48" s="1107"/>
      <c r="AI48" s="233"/>
      <c r="AJ48" s="1103"/>
      <c r="AK48" s="1103"/>
      <c r="AL48" s="1107"/>
      <c r="AM48" s="1107"/>
      <c r="AN48" s="1107"/>
      <c r="AO48" s="1107"/>
      <c r="AP48" s="1107"/>
      <c r="AQ48" s="1107"/>
      <c r="AR48" s="1107"/>
      <c r="AS48" s="233"/>
      <c r="AT48" s="1103"/>
      <c r="AU48" s="1103"/>
      <c r="AV48" s="1107"/>
      <c r="AW48" s="1107"/>
      <c r="AX48" s="1107"/>
      <c r="AY48" s="1107"/>
      <c r="AZ48" s="1107"/>
      <c r="BA48" s="1107"/>
      <c r="BB48" s="1107"/>
      <c r="BC48" s="1106"/>
      <c r="BD48" s="157"/>
      <c r="BE48" s="157"/>
      <c r="BF48" s="912" t="s">
        <v>1077</v>
      </c>
      <c r="BG48" s="912"/>
      <c r="BH48" s="912"/>
      <c r="BI48" s="915"/>
      <c r="BJ48" s="915"/>
    </row>
    <row r="49" spans="1:62" s="1162" customFormat="1" ht="16.5" customHeight="1">
      <c r="A49" s="157"/>
      <c r="B49" s="157"/>
      <c r="C49" s="157"/>
      <c r="D49" s="157"/>
      <c r="E49" s="623">
        <v>17.100000000000001</v>
      </c>
      <c r="F49" s="714" t="str">
        <f t="shared" ca="1" si="7"/>
        <v>1</v>
      </c>
      <c r="G49" s="566" t="s">
        <v>1078</v>
      </c>
      <c r="H49" s="157"/>
      <c r="I49" s="157"/>
      <c r="J49" s="157"/>
      <c r="K49" s="157"/>
      <c r="L49" s="157"/>
      <c r="M49" s="157"/>
      <c r="N49" s="157"/>
      <c r="O49" s="157"/>
      <c r="P49" s="157"/>
      <c r="Q49" s="157"/>
      <c r="R49" s="157"/>
      <c r="S49" s="157"/>
      <c r="T49" s="634" t="b">
        <f t="shared" si="8"/>
        <v>1</v>
      </c>
      <c r="U49" s="157"/>
      <c r="V49" s="157"/>
      <c r="W49" s="157"/>
      <c r="X49" s="1403"/>
      <c r="Y49" s="157"/>
      <c r="Z49" s="1403"/>
      <c r="AA49" s="157"/>
      <c r="AB49" s="222" t="s">
        <v>866</v>
      </c>
      <c r="AC49" s="397" t="s">
        <v>1079</v>
      </c>
      <c r="AD49" s="93" t="s">
        <v>648</v>
      </c>
      <c r="AE49" s="1107"/>
      <c r="AF49" s="1107"/>
      <c r="AG49" s="1107"/>
      <c r="AH49" s="1107"/>
      <c r="AI49" s="233"/>
      <c r="AJ49" s="1103"/>
      <c r="AK49" s="1103"/>
      <c r="AL49" s="1107"/>
      <c r="AM49" s="1107"/>
      <c r="AN49" s="1107"/>
      <c r="AO49" s="1107"/>
      <c r="AP49" s="1107"/>
      <c r="AQ49" s="1107"/>
      <c r="AR49" s="1107"/>
      <c r="AS49" s="233"/>
      <c r="AT49" s="1103"/>
      <c r="AU49" s="1103"/>
      <c r="AV49" s="1107"/>
      <c r="AW49" s="1107"/>
      <c r="AX49" s="1107"/>
      <c r="AY49" s="1107"/>
      <c r="AZ49" s="1107"/>
      <c r="BA49" s="1107"/>
      <c r="BB49" s="1107"/>
      <c r="BC49" s="1106"/>
      <c r="BD49" s="157"/>
      <c r="BE49" s="157"/>
      <c r="BF49" s="912" t="s">
        <v>469</v>
      </c>
      <c r="BG49" s="912"/>
      <c r="BH49" s="912"/>
      <c r="BI49" s="915"/>
      <c r="BJ49" s="915"/>
    </row>
    <row r="50" spans="1:62" s="1163" customFormat="1" ht="16.5" customHeight="1">
      <c r="A50" s="157"/>
      <c r="B50" s="157"/>
      <c r="C50" s="157"/>
      <c r="D50" s="157"/>
      <c r="E50" s="623">
        <v>17.100000000000001</v>
      </c>
      <c r="F50" s="714" t="str">
        <f t="shared" ca="1" si="7"/>
        <v>1</v>
      </c>
      <c r="G50" s="566" t="s">
        <v>1065</v>
      </c>
      <c r="H50" s="150" t="s">
        <v>1080</v>
      </c>
      <c r="I50" s="157"/>
      <c r="J50" s="157"/>
      <c r="K50" s="157"/>
      <c r="L50" s="157"/>
      <c r="M50" s="157"/>
      <c r="N50" s="157"/>
      <c r="O50" s="157"/>
      <c r="P50" s="157"/>
      <c r="Q50" s="157"/>
      <c r="R50" s="157"/>
      <c r="S50" s="157"/>
      <c r="T50" s="634" t="b">
        <f t="shared" si="8"/>
        <v>1</v>
      </c>
      <c r="U50" s="157"/>
      <c r="V50" s="157"/>
      <c r="W50" s="157"/>
      <c r="X50" s="1403"/>
      <c r="Y50" s="157"/>
      <c r="Z50" s="1403"/>
      <c r="AA50" s="157"/>
      <c r="AB50" s="222" t="s">
        <v>869</v>
      </c>
      <c r="AC50" s="397" t="s">
        <v>1081</v>
      </c>
      <c r="AD50" s="93" t="s">
        <v>648</v>
      </c>
      <c r="AE50" s="1107"/>
      <c r="AF50" s="1107"/>
      <c r="AG50" s="1107"/>
      <c r="AH50" s="1107"/>
      <c r="AI50" s="233"/>
      <c r="AJ50" s="1103"/>
      <c r="AK50" s="1103"/>
      <c r="AL50" s="1107"/>
      <c r="AM50" s="1107"/>
      <c r="AN50" s="1107"/>
      <c r="AO50" s="1107"/>
      <c r="AP50" s="1107"/>
      <c r="AQ50" s="1107"/>
      <c r="AR50" s="1107"/>
      <c r="AS50" s="233"/>
      <c r="AT50" s="1103"/>
      <c r="AU50" s="1103"/>
      <c r="AV50" s="1107"/>
      <c r="AW50" s="1107"/>
      <c r="AX50" s="1107"/>
      <c r="AY50" s="1107"/>
      <c r="AZ50" s="1107"/>
      <c r="BA50" s="1107"/>
      <c r="BB50" s="1107"/>
      <c r="BC50" s="1106"/>
      <c r="BD50" s="157"/>
      <c r="BE50" s="157"/>
      <c r="BF50" s="912" t="s">
        <v>1082</v>
      </c>
      <c r="BG50" s="912"/>
      <c r="BH50" s="912"/>
      <c r="BI50" s="915"/>
      <c r="BJ50" s="915"/>
    </row>
    <row r="51" spans="1:62" s="1164" customFormat="1" ht="16.5" customHeight="1">
      <c r="A51" s="157"/>
      <c r="B51" s="157"/>
      <c r="C51" s="157"/>
      <c r="D51" s="157"/>
      <c r="E51" s="623">
        <v>17.100000000000001</v>
      </c>
      <c r="F51" s="714" t="str">
        <f t="shared" ca="1" si="7"/>
        <v>1</v>
      </c>
      <c r="G51" s="566" t="s">
        <v>1065</v>
      </c>
      <c r="H51" s="150" t="s">
        <v>1065</v>
      </c>
      <c r="I51" s="157"/>
      <c r="J51" s="157"/>
      <c r="K51" s="157"/>
      <c r="L51" s="157"/>
      <c r="M51" s="157"/>
      <c r="N51" s="157"/>
      <c r="O51" s="157"/>
      <c r="P51" s="157"/>
      <c r="Q51" s="157"/>
      <c r="R51" s="157"/>
      <c r="S51" s="157"/>
      <c r="T51" s="634" t="b">
        <f t="shared" si="8"/>
        <v>1</v>
      </c>
      <c r="U51" s="157"/>
      <c r="V51" s="157"/>
      <c r="W51" s="157"/>
      <c r="X51" s="1403"/>
      <c r="Y51" s="157"/>
      <c r="Z51" s="1403"/>
      <c r="AA51" s="157"/>
      <c r="AB51" s="222" t="s">
        <v>1083</v>
      </c>
      <c r="AC51" s="397" t="s">
        <v>1084</v>
      </c>
      <c r="AD51" s="93" t="s">
        <v>648</v>
      </c>
      <c r="AE51" s="288">
        <f t="shared" ref="AE51:BB51" si="10">SUM(AE52:AE54)</f>
        <v>0</v>
      </c>
      <c r="AF51" s="288">
        <f t="shared" si="10"/>
        <v>0</v>
      </c>
      <c r="AG51" s="288">
        <f t="shared" si="10"/>
        <v>0</v>
      </c>
      <c r="AH51" s="288">
        <f t="shared" si="10"/>
        <v>0</v>
      </c>
      <c r="AI51" s="288">
        <f t="shared" si="10"/>
        <v>0</v>
      </c>
      <c r="AJ51" s="288">
        <f t="shared" si="10"/>
        <v>0</v>
      </c>
      <c r="AK51" s="288">
        <f t="shared" si="10"/>
        <v>0</v>
      </c>
      <c r="AL51" s="288">
        <f t="shared" si="10"/>
        <v>0</v>
      </c>
      <c r="AM51" s="288">
        <f t="shared" si="10"/>
        <v>0</v>
      </c>
      <c r="AN51" s="288">
        <f t="shared" si="10"/>
        <v>0</v>
      </c>
      <c r="AO51" s="288">
        <f t="shared" si="10"/>
        <v>0</v>
      </c>
      <c r="AP51" s="288">
        <f t="shared" si="10"/>
        <v>0</v>
      </c>
      <c r="AQ51" s="288">
        <f t="shared" si="10"/>
        <v>0</v>
      </c>
      <c r="AR51" s="288">
        <f t="shared" si="10"/>
        <v>0</v>
      </c>
      <c r="AS51" s="288">
        <f t="shared" si="10"/>
        <v>0</v>
      </c>
      <c r="AT51" s="288">
        <f t="shared" si="10"/>
        <v>0</v>
      </c>
      <c r="AU51" s="288">
        <f t="shared" si="10"/>
        <v>0</v>
      </c>
      <c r="AV51" s="288">
        <f t="shared" si="10"/>
        <v>0</v>
      </c>
      <c r="AW51" s="288">
        <f t="shared" si="10"/>
        <v>0</v>
      </c>
      <c r="AX51" s="288">
        <f t="shared" si="10"/>
        <v>0</v>
      </c>
      <c r="AY51" s="288">
        <f t="shared" si="10"/>
        <v>0</v>
      </c>
      <c r="AZ51" s="288">
        <f t="shared" si="10"/>
        <v>0</v>
      </c>
      <c r="BA51" s="288">
        <f t="shared" si="10"/>
        <v>0</v>
      </c>
      <c r="BB51" s="288">
        <f t="shared" si="10"/>
        <v>0</v>
      </c>
      <c r="BC51" s="1106"/>
      <c r="BD51" s="157"/>
      <c r="BE51" s="157"/>
      <c r="BF51" s="912" t="s">
        <v>1013</v>
      </c>
      <c r="BG51" s="912"/>
      <c r="BH51" s="912"/>
      <c r="BI51" s="915"/>
      <c r="BJ51" s="915"/>
    </row>
    <row r="52" spans="1:62" s="1057" customFormat="1" ht="17.25" hidden="1" customHeight="1">
      <c r="A52" s="988"/>
      <c r="B52" s="718"/>
      <c r="C52" s="1012"/>
      <c r="D52" s="1012"/>
      <c r="E52" s="623">
        <v>0</v>
      </c>
      <c r="F52" s="714" t="str">
        <f t="shared" ca="1" si="7"/>
        <v>1</v>
      </c>
      <c r="G52" s="394"/>
      <c r="H52" s="394"/>
      <c r="I52" s="394"/>
      <c r="J52" s="394"/>
      <c r="K52" s="394"/>
      <c r="L52" s="394"/>
      <c r="M52" s="394"/>
      <c r="N52" s="394"/>
      <c r="O52" s="394"/>
      <c r="P52" s="394"/>
      <c r="Q52" s="719"/>
      <c r="R52" s="719"/>
      <c r="S52" s="394"/>
      <c r="T52" s="634" t="b">
        <f t="shared" si="8"/>
        <v>1</v>
      </c>
      <c r="U52" s="1012"/>
      <c r="V52" s="1012"/>
      <c r="W52" s="1012"/>
      <c r="X52" s="1405"/>
      <c r="Y52" s="1012"/>
      <c r="Z52" s="1405"/>
      <c r="AA52" s="157"/>
      <c r="AB52" s="242"/>
      <c r="AC52" s="223"/>
      <c r="AD52" s="93"/>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93"/>
      <c r="BD52" s="157"/>
      <c r="BE52" s="157"/>
      <c r="BF52" s="912" t="str">
        <f>IF(AND(ISNUMBER(VALUE(TRIM(SUBSTITUTE(AB52,".","")))),TRIM(SUBSTITUTE(AB52,".",""))&lt;&gt;""),"P"&amp;SUBSTITUTE(AB52,".",""),"")</f>
        <v/>
      </c>
      <c r="BG52" s="930"/>
      <c r="BH52" s="930"/>
      <c r="BI52" s="940"/>
      <c r="BJ52" s="940"/>
    </row>
    <row r="53" spans="1:62" s="1165" customFormat="1" ht="16.5" hidden="1" customHeight="1">
      <c r="A53" s="157"/>
      <c r="B53" s="157"/>
      <c r="C53" s="157"/>
      <c r="D53" s="157"/>
      <c r="E53" s="623">
        <v>17.100000000000001</v>
      </c>
      <c r="F53" s="714" t="str">
        <f t="shared" ca="1" si="7"/>
        <v>1</v>
      </c>
      <c r="G53" s="157"/>
      <c r="H53" s="150">
        <f>AC53</f>
        <v>0</v>
      </c>
      <c r="I53" s="157"/>
      <c r="J53" s="157"/>
      <c r="K53" s="157"/>
      <c r="L53" s="157"/>
      <c r="M53" s="157"/>
      <c r="N53" s="157"/>
      <c r="O53" s="157"/>
      <c r="P53" s="157"/>
      <c r="Q53" s="157"/>
      <c r="R53" s="157"/>
      <c r="S53" s="157"/>
      <c r="T53" s="634" t="b">
        <f ca="1">AND(OFFSET(U53,1,-1),Y53&gt;0)</f>
        <v>0</v>
      </c>
      <c r="U53" s="157"/>
      <c r="V53" s="157"/>
      <c r="W53" s="113" t="s">
        <v>170</v>
      </c>
      <c r="X53" s="1403"/>
      <c r="Y53" s="113">
        <v>0</v>
      </c>
      <c r="Z53" s="1403"/>
      <c r="AA53" s="709" t="s">
        <v>157</v>
      </c>
      <c r="AB53" s="93" t="str">
        <f>"1.9."&amp;Y53</f>
        <v>1.9.0</v>
      </c>
      <c r="AC53" s="52"/>
      <c r="AD53" s="93" t="s">
        <v>648</v>
      </c>
      <c r="AE53" s="23"/>
      <c r="AF53" s="50"/>
      <c r="AG53" s="50"/>
      <c r="AH53" s="50"/>
      <c r="AI53" s="234"/>
      <c r="AJ53" s="1152"/>
      <c r="AK53" s="1152"/>
      <c r="AL53" s="50"/>
      <c r="AM53" s="50"/>
      <c r="AN53" s="50"/>
      <c r="AO53" s="50"/>
      <c r="AP53" s="50"/>
      <c r="AQ53" s="50"/>
      <c r="AR53" s="50"/>
      <c r="AS53" s="234"/>
      <c r="AT53" s="1152"/>
      <c r="AU53" s="1152"/>
      <c r="AV53" s="50"/>
      <c r="AW53" s="50"/>
      <c r="AX53" s="50"/>
      <c r="AY53" s="50"/>
      <c r="AZ53" s="50"/>
      <c r="BA53" s="50"/>
      <c r="BB53" s="50"/>
      <c r="BC53" s="22"/>
      <c r="BD53" s="157"/>
      <c r="BE53" s="157"/>
      <c r="BF53" s="912" t="s">
        <v>1085</v>
      </c>
      <c r="BG53" s="912" t="s">
        <v>1086</v>
      </c>
      <c r="BH53" s="942">
        <f>AC53</f>
        <v>0</v>
      </c>
      <c r="BI53" s="915"/>
      <c r="BJ53" s="915" t="b">
        <v>1</v>
      </c>
    </row>
    <row r="54" spans="1:62" s="1166" customFormat="1" ht="10.5" customHeight="1">
      <c r="A54" s="157"/>
      <c r="B54" s="157"/>
      <c r="C54" s="157"/>
      <c r="D54" s="157"/>
      <c r="E54" s="623">
        <v>11.4</v>
      </c>
      <c r="F54" s="714" t="str">
        <f t="shared" ca="1" si="7"/>
        <v>1</v>
      </c>
      <c r="G54" s="157"/>
      <c r="H54" s="157"/>
      <c r="I54" s="157"/>
      <c r="J54" s="157"/>
      <c r="K54" s="157"/>
      <c r="L54" s="157"/>
      <c r="M54" s="157"/>
      <c r="N54" s="157"/>
      <c r="O54" s="157"/>
      <c r="P54" s="157"/>
      <c r="Q54" s="157"/>
      <c r="R54" s="157"/>
      <c r="S54" s="157"/>
      <c r="T54" s="634" t="b">
        <f>T51</f>
        <v>1</v>
      </c>
      <c r="U54" s="157"/>
      <c r="V54" s="157"/>
      <c r="W54" s="291" t="s">
        <v>764</v>
      </c>
      <c r="X54" s="1403"/>
      <c r="Y54" s="157"/>
      <c r="Z54" s="1403"/>
      <c r="AA54" s="157"/>
      <c r="AB54" s="396"/>
      <c r="AC54" s="237" t="s">
        <v>172</v>
      </c>
      <c r="AD54" s="237"/>
      <c r="AE54" s="237"/>
      <c r="AF54" s="237"/>
      <c r="AG54" s="237"/>
      <c r="AH54" s="237"/>
      <c r="AI54" s="237"/>
      <c r="AJ54" s="237"/>
      <c r="AK54" s="237"/>
      <c r="AL54" s="237"/>
      <c r="AM54" s="237"/>
      <c r="AN54" s="237"/>
      <c r="AO54" s="237"/>
      <c r="AP54" s="237"/>
      <c r="AQ54" s="237"/>
      <c r="AR54" s="237"/>
      <c r="AS54" s="237"/>
      <c r="AT54" s="237"/>
      <c r="AU54" s="237"/>
      <c r="AV54" s="237"/>
      <c r="AW54" s="237"/>
      <c r="AX54" s="237"/>
      <c r="AY54" s="237"/>
      <c r="AZ54" s="237"/>
      <c r="BA54" s="237"/>
      <c r="BB54" s="237"/>
      <c r="BC54" s="238"/>
      <c r="BD54" s="157"/>
      <c r="BE54" s="157"/>
      <c r="BF54" s="912"/>
      <c r="BG54" s="912"/>
      <c r="BH54" s="912"/>
      <c r="BI54" s="915" t="s">
        <v>1086</v>
      </c>
      <c r="BJ54" s="915"/>
    </row>
    <row r="55" spans="1:62" ht="11.1" customHeight="1">
      <c r="E55" s="717">
        <v>11.4</v>
      </c>
      <c r="U55" s="116" t="s">
        <v>172</v>
      </c>
      <c r="V55" s="109" t="s">
        <v>1087</v>
      </c>
      <c r="AB55" s="157"/>
    </row>
    <row r="56" spans="1:62" ht="11.25" hidden="1" customHeight="1">
      <c r="E56" s="717">
        <v>0</v>
      </c>
    </row>
    <row r="57" spans="1:62" s="394" customFormat="1" ht="14.65" customHeight="1">
      <c r="A57" s="988"/>
      <c r="B57" s="614"/>
      <c r="C57" s="113"/>
      <c r="D57" s="113"/>
      <c r="E57" s="623">
        <v>15</v>
      </c>
      <c r="F57" s="113"/>
      <c r="Q57" s="566"/>
      <c r="R57" s="566"/>
      <c r="T57" s="113"/>
      <c r="U57" s="113"/>
      <c r="V57" s="113"/>
      <c r="W57" s="113"/>
      <c r="X57" s="113"/>
      <c r="Y57" s="113"/>
      <c r="Z57" s="113"/>
      <c r="AB57" s="1476" t="s">
        <v>557</v>
      </c>
      <c r="AC57" s="1476"/>
      <c r="AD57" s="1476"/>
      <c r="AE57" s="1476"/>
      <c r="AF57" s="1476"/>
      <c r="AG57" s="1476"/>
      <c r="AH57" s="1476"/>
      <c r="AI57" s="1477"/>
      <c r="AJ57" s="1477"/>
      <c r="AK57" s="1477"/>
      <c r="AL57" s="1477"/>
      <c r="AM57" s="1477"/>
      <c r="AN57" s="1477"/>
      <c r="AO57" s="1477"/>
      <c r="AP57" s="1477"/>
      <c r="AQ57" s="1477"/>
      <c r="AR57" s="1477"/>
      <c r="AS57" s="1477"/>
      <c r="AT57" s="1477"/>
      <c r="AU57" s="1477"/>
      <c r="AV57" s="1477"/>
      <c r="AW57" s="1477"/>
      <c r="AX57" s="1477"/>
      <c r="AY57" s="1477"/>
      <c r="AZ57" s="1477"/>
      <c r="BA57" s="1477"/>
      <c r="BB57" s="1477"/>
      <c r="BC57" s="1477"/>
      <c r="BF57" s="912"/>
      <c r="BG57" s="912"/>
      <c r="BH57" s="912"/>
      <c r="BI57" s="915"/>
      <c r="BJ57" s="915"/>
    </row>
    <row r="58" spans="1:62" s="394" customFormat="1" ht="14.65" customHeight="1">
      <c r="A58" s="988"/>
      <c r="B58" s="614"/>
      <c r="C58" s="113"/>
      <c r="D58" s="113"/>
      <c r="E58" s="623">
        <v>15</v>
      </c>
      <c r="F58" s="113"/>
      <c r="Q58" s="566"/>
      <c r="R58" s="566"/>
      <c r="T58" s="113"/>
      <c r="U58" s="113"/>
      <c r="V58" s="113"/>
      <c r="W58" s="113"/>
      <c r="X58" s="113"/>
      <c r="Y58" s="113"/>
      <c r="Z58" s="113"/>
      <c r="AA58" s="713"/>
      <c r="AB58" s="1478"/>
      <c r="AC58" s="1478"/>
      <c r="AD58" s="1478"/>
      <c r="AE58" s="1478"/>
      <c r="AF58" s="1478"/>
      <c r="AG58" s="1478"/>
      <c r="AH58" s="1478"/>
      <c r="AI58" s="1479"/>
      <c r="AJ58" s="1480"/>
      <c r="AK58" s="1480"/>
      <c r="AL58" s="1480"/>
      <c r="AM58" s="1480"/>
      <c r="AN58" s="1480"/>
      <c r="AO58" s="1480"/>
      <c r="AP58" s="1480"/>
      <c r="AQ58" s="1480"/>
      <c r="AR58" s="1480"/>
      <c r="AS58" s="1479"/>
      <c r="AT58" s="1480"/>
      <c r="AU58" s="1480"/>
      <c r="AV58" s="1480"/>
      <c r="AW58" s="1480"/>
      <c r="AX58" s="1480"/>
      <c r="AY58" s="1480"/>
      <c r="AZ58" s="1480"/>
      <c r="BA58" s="1480"/>
      <c r="BB58" s="1480"/>
      <c r="BC58" s="1479"/>
      <c r="BF58" s="912"/>
      <c r="BG58" s="912"/>
      <c r="BH58" s="912"/>
      <c r="BI58" s="915"/>
      <c r="BJ58" s="915"/>
    </row>
    <row r="59" spans="1:62" s="394" customFormat="1" ht="14.65" hidden="1" customHeight="1">
      <c r="A59" s="988"/>
      <c r="B59" s="614"/>
      <c r="C59" s="113"/>
      <c r="D59" s="113"/>
      <c r="E59" s="623">
        <v>15</v>
      </c>
      <c r="F59" s="113"/>
      <c r="Q59" s="566"/>
      <c r="R59" s="566"/>
      <c r="T59" s="634" t="b">
        <f>ROW(W59)&gt;ROW(W$59)</f>
        <v>0</v>
      </c>
      <c r="U59" s="113"/>
      <c r="V59" s="116"/>
      <c r="W59" s="113" t="s">
        <v>170</v>
      </c>
      <c r="X59" s="113"/>
      <c r="Y59" s="113"/>
      <c r="Z59" s="113"/>
      <c r="AA59" s="709" t="s">
        <v>157</v>
      </c>
      <c r="AB59" s="1484"/>
      <c r="AC59" s="1484"/>
      <c r="AD59" s="1484"/>
      <c r="AE59" s="1484"/>
      <c r="AF59" s="1484"/>
      <c r="AG59" s="1484"/>
      <c r="AH59" s="1484"/>
      <c r="AI59" s="1479"/>
      <c r="AJ59" s="1480"/>
      <c r="AK59" s="1480"/>
      <c r="AL59" s="1480"/>
      <c r="AM59" s="1480"/>
      <c r="AN59" s="1480"/>
      <c r="AO59" s="1480"/>
      <c r="AP59" s="1480"/>
      <c r="AQ59" s="1480"/>
      <c r="AR59" s="1480"/>
      <c r="AS59" s="1479"/>
      <c r="AT59" s="1480"/>
      <c r="AU59" s="1480"/>
      <c r="AV59" s="1480"/>
      <c r="AW59" s="1480"/>
      <c r="AX59" s="1480"/>
      <c r="AY59" s="1480"/>
      <c r="AZ59" s="1480"/>
      <c r="BA59" s="1480"/>
      <c r="BB59" s="1480"/>
      <c r="BC59" s="1480"/>
      <c r="BF59" s="912"/>
      <c r="BG59" s="912"/>
      <c r="BH59" s="912"/>
      <c r="BI59" s="915"/>
      <c r="BJ59" s="915"/>
    </row>
    <row r="60" spans="1:62" s="394" customFormat="1" ht="14.65" customHeight="1">
      <c r="A60" s="988"/>
      <c r="B60" s="614"/>
      <c r="C60" s="113"/>
      <c r="D60" s="113"/>
      <c r="E60" s="623">
        <v>15</v>
      </c>
      <c r="F60" s="113"/>
      <c r="Q60" s="566"/>
      <c r="R60" s="566"/>
      <c r="T60" s="113"/>
      <c r="U60" s="113"/>
      <c r="V60" s="113"/>
      <c r="W60" s="109" t="s">
        <v>1088</v>
      </c>
      <c r="X60" s="113"/>
      <c r="Y60" s="113"/>
      <c r="Z60" s="113"/>
      <c r="AB60" s="1420" t="s">
        <v>558</v>
      </c>
      <c r="AC60" s="1421"/>
      <c r="AD60" s="299"/>
      <c r="AE60" s="299"/>
      <c r="AF60" s="300"/>
      <c r="AG60" s="300"/>
      <c r="AH60" s="300"/>
      <c r="AI60" s="300"/>
      <c r="AJ60" s="300"/>
      <c r="AK60" s="300"/>
      <c r="AL60" s="300"/>
      <c r="AM60" s="300"/>
      <c r="AN60" s="300"/>
      <c r="AO60" s="300"/>
      <c r="AP60" s="300"/>
      <c r="AQ60" s="300"/>
      <c r="AR60" s="300"/>
      <c r="AS60" s="300"/>
      <c r="AT60" s="300"/>
      <c r="AU60" s="300"/>
      <c r="AV60" s="300"/>
      <c r="AW60" s="300"/>
      <c r="AX60" s="300"/>
      <c r="AY60" s="300"/>
      <c r="AZ60" s="300"/>
      <c r="BA60" s="300"/>
      <c r="BB60" s="300"/>
      <c r="BC60" s="301"/>
      <c r="BF60" s="912"/>
      <c r="BG60" s="912"/>
      <c r="BH60" s="912"/>
      <c r="BI60" s="915"/>
      <c r="BJ60" s="915"/>
    </row>
  </sheetData>
  <sheetProtection formatColumns="0" formatRows="0" insertRows="0" deleteColumns="0" deleteRows="0" sort="0" autoFilter="0"/>
  <mergeCells count="12">
    <mergeCell ref="X27:X40"/>
    <mergeCell ref="Z27:Z40"/>
    <mergeCell ref="AB60:AC60"/>
    <mergeCell ref="AB57:BC57"/>
    <mergeCell ref="AB58:BC58"/>
    <mergeCell ref="X41:X54"/>
    <mergeCell ref="Z41:Z54"/>
    <mergeCell ref="AB24:AB25"/>
    <mergeCell ref="AC24:AC25"/>
    <mergeCell ref="AD24:AD25"/>
    <mergeCell ref="BC24:BC25"/>
    <mergeCell ref="AB59:BC59"/>
  </mergeCells>
  <dataValidations count="2">
    <dataValidation type="decimal" allowBlank="1" showErrorMessage="1" errorTitle="Ошибка" error="Допускается ввод только неотрицательных чисел!" sqref="AE29:BB37 AE43 AF43 AG43 AH43 AI43 AJ43 AK43 AL43 AM43 AN43 AO43 AP43 AQ43 AR43 AS43 AT43 AU43 AV43 AW43 AX43 AY43 AZ43 BA43 BB43 AE44 AF44 AG44 AH44 AI44 AJ44 AK44 AL44 AM44 AN44 AO44 AP44 AQ44 AR44 AS44 AT44 AU44 AV44 AW44 AX44 AY44 AZ44 BA44 BB44 AE45 AF45 AG45 AH45 AI45 AJ45 AK45 AL45 AM45 AN45 AO45 AP45 AQ45 AR45 AS45 AT45 AU45 AV45 AW45 AX45 AY45 AZ45 BA45 BB45 AE46 AF46 AG46 AH46 AI46 AJ46 AK46 AL46 AM46 AN46 AO46 AP46 AQ46 AR46 AS46 AT46 AU46 AV46 AW46 AX46 AY46 AZ46 BA46 BB46 AE47 AF47 AG47 AH47 AI47 AJ47 AK47 AL47 AM47 AN47 AO47 AP47 AQ47 AR47 AS47 AT47 AU47 AV47 AW47 AX47 AY47 AZ47 BA47 BB47 AE48 AF48 AG48 AH48 AI48 AJ48 AK48 AL48 AM48 AN48 AO48 AP48 AQ48 AR48 AS48 AT48 AU48 AV48 AW48 AX48 AY48 AZ48 BA48 BB4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formula1>0</formula1>
      <formula2>9.99999999999999E+23</formula2>
    </dataValidation>
    <dataValidation allowBlank="1" showInputMessage="1" showErrorMessage="1" sqref="AI38:BB38 AI56:BC65516 AI52 AJ52 AK52 AL52 AM52 AN52 AO52 AP52 AQ52 AR52 AS52 AT52 AU52 AV52 AW52 AX52 AY52 AZ52 BA52 BB52"/>
  </dataValidations>
  <pageMargins left="0.35" right="0.35" top="0.4" bottom="0.4" header="0.31" footer="0.31"/>
  <pageSetup paperSize="9" scale="67" fitToHeight="0" orientation="landscape"/>
  <headerFooter>
    <oddHeader>&amp;L&amp;C&amp;R</oddHeader>
    <oddFooter>&amp;L&amp;C&amp;R</oddFooter>
    <evenHeader>&amp;L&amp;C&amp;R</evenHeader>
    <evenFooter>&amp;L&amp;C&amp;R</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pageSetUpPr fitToPage="1"/>
  </sheetPr>
  <dimension ref="A1:AV80"/>
  <sheetViews>
    <sheetView showGridLines="0" workbookViewId="0">
      <pane xSplit="30" ySplit="26" topLeftCell="AE51" activePane="bottomRight" state="frozen"/>
      <selection pane="topRight" activeCell="AE1" sqref="AE1"/>
      <selection pane="bottomLeft" activeCell="A27" sqref="A27"/>
      <selection pane="bottomRight" activeCell="AA21" sqref="AA21"/>
    </sheetView>
  </sheetViews>
  <sheetFormatPr defaultColWidth="9.140625" defaultRowHeight="11.25" customHeight="1"/>
  <cols>
    <col min="1" max="1" width="3.5703125" style="988" hidden="1" customWidth="1"/>
    <col min="2" max="2" width="8.5703125" style="718" hidden="1" customWidth="1"/>
    <col min="3" max="4" width="3.5703125" style="165" hidden="1" customWidth="1"/>
    <col min="5" max="5" width="8.42578125" style="717" hidden="1" customWidth="1"/>
    <col min="6" max="6" width="3.5703125" style="165" hidden="1" customWidth="1"/>
    <col min="7" max="16" width="3.5703125" style="167" hidden="1" customWidth="1"/>
    <col min="17" max="18" width="3.5703125" style="130" hidden="1" customWidth="1"/>
    <col min="19" max="19" width="3.5703125" style="167" hidden="1" customWidth="1"/>
    <col min="20" max="20" width="7.85546875" style="1012" hidden="1" customWidth="1"/>
    <col min="21" max="21" width="6" style="1012" hidden="1" customWidth="1"/>
    <col min="22" max="23" width="6.28515625" style="1012" hidden="1" customWidth="1"/>
    <col min="24" max="25" width="5.7109375" style="1012" hidden="1" customWidth="1"/>
    <col min="26" max="26" width="5.42578125" style="1012" hidden="1" customWidth="1"/>
    <col min="27" max="27" width="3" style="167" customWidth="1"/>
    <col min="28" max="28" width="8.140625" style="165" customWidth="1"/>
    <col min="29" max="29" width="70.140625" style="166" customWidth="1"/>
    <col min="30" max="30" width="14.42578125" style="165" customWidth="1"/>
    <col min="31" max="33" width="12.5703125" style="167" customWidth="1"/>
    <col min="34" max="34" width="19.140625" style="167" customWidth="1"/>
    <col min="35" max="35" width="12.5703125" style="167" customWidth="1"/>
    <col min="36" max="37" width="12.5703125" style="167" hidden="1" customWidth="1"/>
    <col min="38" max="38" width="38.140625" style="167" hidden="1" customWidth="1"/>
    <col min="39" max="39" width="19" style="167" customWidth="1"/>
    <col min="40" max="40" width="17.28515625" style="167" customWidth="1"/>
    <col min="41" max="41" width="31.28515625" style="167" customWidth="1"/>
    <col min="42" max="42" width="3" style="167" customWidth="1"/>
    <col min="43" max="43" width="9.140625" style="167" hidden="1"/>
    <col min="44" max="46" width="9.140625" style="944" hidden="1"/>
    <col min="47" max="48" width="9.140625" style="945" hidden="1"/>
  </cols>
  <sheetData>
    <row r="1" spans="1:48" s="1012" customFormat="1" ht="12" hidden="1" customHeight="1">
      <c r="A1" s="988"/>
      <c r="B1" s="614"/>
      <c r="E1" s="614"/>
      <c r="F1" s="634" t="s">
        <v>77</v>
      </c>
      <c r="G1" s="150"/>
      <c r="H1" s="150"/>
      <c r="I1" s="150"/>
      <c r="J1" s="150"/>
      <c r="K1" s="150"/>
      <c r="L1" s="150"/>
      <c r="M1" s="150"/>
      <c r="N1" s="150"/>
      <c r="O1" s="150"/>
      <c r="P1" s="150"/>
      <c r="Q1" s="566"/>
      <c r="R1" s="566"/>
      <c r="S1" s="150"/>
      <c r="T1" s="634" t="s">
        <v>78</v>
      </c>
      <c r="U1" s="634" t="s">
        <v>83</v>
      </c>
      <c r="V1" s="634" t="s">
        <v>79</v>
      </c>
      <c r="W1" s="634" t="s">
        <v>80</v>
      </c>
      <c r="X1" s="634" t="s">
        <v>81</v>
      </c>
      <c r="Y1" s="735" t="s">
        <v>274</v>
      </c>
      <c r="Z1" s="634" t="s">
        <v>85</v>
      </c>
      <c r="AA1" s="735" t="s">
        <v>82</v>
      </c>
      <c r="AB1" s="735" t="s">
        <v>84</v>
      </c>
      <c r="AC1" s="735" t="s">
        <v>84</v>
      </c>
      <c r="AR1" s="912" t="s">
        <v>275</v>
      </c>
      <c r="AS1" s="912" t="s">
        <v>276</v>
      </c>
      <c r="AT1" s="912" t="s">
        <v>277</v>
      </c>
      <c r="AU1" s="915" t="s">
        <v>280</v>
      </c>
      <c r="AV1" s="915" t="s">
        <v>281</v>
      </c>
    </row>
    <row r="2" spans="1:48" s="718" customFormat="1" ht="12" hidden="1" customHeight="1">
      <c r="A2" s="990"/>
      <c r="B2" s="703" t="s">
        <v>15</v>
      </c>
      <c r="G2" s="721"/>
      <c r="H2" s="721"/>
      <c r="I2" s="721"/>
      <c r="J2" s="721"/>
      <c r="K2" s="721"/>
      <c r="L2" s="721"/>
      <c r="M2" s="721"/>
      <c r="N2" s="721"/>
      <c r="O2" s="721"/>
      <c r="P2" s="721"/>
      <c r="Q2" s="721"/>
      <c r="R2" s="721"/>
      <c r="S2" s="721"/>
      <c r="AC2" s="618"/>
      <c r="AJ2" s="635" t="b">
        <f>god=first_year</f>
        <v>0</v>
      </c>
      <c r="AK2" s="635" t="b">
        <f>AJ2</f>
        <v>0</v>
      </c>
      <c r="AL2" s="635" t="b">
        <f>AK2</f>
        <v>0</v>
      </c>
      <c r="AR2" s="905"/>
      <c r="AS2" s="905"/>
      <c r="AT2" s="905"/>
      <c r="AU2" s="916"/>
      <c r="AV2" s="916"/>
    </row>
    <row r="3" spans="1:48" s="165" customFormat="1" ht="12" hidden="1" customHeight="1">
      <c r="A3" s="988"/>
      <c r="B3" s="614"/>
      <c r="E3" s="614"/>
      <c r="G3" s="167"/>
      <c r="H3" s="167"/>
      <c r="I3" s="167"/>
      <c r="J3" s="167"/>
      <c r="K3" s="167"/>
      <c r="L3" s="167"/>
      <c r="M3" s="167"/>
      <c r="N3" s="167"/>
      <c r="O3" s="167"/>
      <c r="P3" s="167"/>
      <c r="Q3" s="130"/>
      <c r="R3" s="130"/>
      <c r="S3" s="167"/>
      <c r="T3" s="113"/>
      <c r="U3" s="113"/>
      <c r="V3" s="113"/>
      <c r="W3" s="113"/>
      <c r="X3" s="113"/>
      <c r="Y3" s="113"/>
      <c r="Z3" s="113"/>
      <c r="AC3" s="169"/>
      <c r="AR3" s="944"/>
      <c r="AS3" s="944"/>
      <c r="AT3" s="944"/>
      <c r="AU3" s="945"/>
      <c r="AV3" s="945"/>
    </row>
    <row r="4" spans="1:48" s="165" customFormat="1" ht="12" hidden="1" customHeight="1">
      <c r="A4" s="988"/>
      <c r="B4" s="614"/>
      <c r="E4" s="614"/>
      <c r="G4" s="167"/>
      <c r="H4" s="167"/>
      <c r="I4" s="167"/>
      <c r="J4" s="167"/>
      <c r="K4" s="167"/>
      <c r="L4" s="167"/>
      <c r="M4" s="167"/>
      <c r="N4" s="167"/>
      <c r="O4" s="167"/>
      <c r="P4" s="167"/>
      <c r="Q4" s="130"/>
      <c r="R4" s="130"/>
      <c r="S4" s="167"/>
      <c r="T4" s="113"/>
      <c r="U4" s="113"/>
      <c r="V4" s="113"/>
      <c r="W4" s="113"/>
      <c r="X4" s="113"/>
      <c r="Y4" s="113"/>
      <c r="Z4" s="113"/>
      <c r="AC4" s="169"/>
      <c r="AR4" s="944"/>
      <c r="AS4" s="944"/>
      <c r="AT4" s="944"/>
      <c r="AU4" s="945"/>
      <c r="AV4" s="945"/>
    </row>
    <row r="5" spans="1:48" s="717" customFormat="1" ht="12" hidden="1" customHeight="1">
      <c r="A5" s="990"/>
      <c r="B5" s="614"/>
      <c r="C5" s="614"/>
      <c r="D5" s="614"/>
      <c r="E5" s="623" t="s">
        <v>16</v>
      </c>
      <c r="G5" s="722"/>
      <c r="H5" s="722"/>
      <c r="I5" s="722"/>
      <c r="J5" s="722"/>
      <c r="K5" s="722"/>
      <c r="L5" s="722"/>
      <c r="M5" s="722"/>
      <c r="N5" s="722"/>
      <c r="O5" s="722"/>
      <c r="P5" s="722"/>
      <c r="Q5" s="722"/>
      <c r="R5" s="722"/>
      <c r="S5" s="722"/>
      <c r="AA5" s="623">
        <v>3</v>
      </c>
      <c r="AB5" s="623">
        <v>8.1300000000000008</v>
      </c>
      <c r="AC5" s="629">
        <v>70.13</v>
      </c>
      <c r="AD5" s="623">
        <v>14.38</v>
      </c>
      <c r="AE5" s="623">
        <v>12.63</v>
      </c>
      <c r="AF5" s="623">
        <v>12.63</v>
      </c>
      <c r="AG5" s="623">
        <v>12.63</v>
      </c>
      <c r="AH5" s="623">
        <v>19.13</v>
      </c>
      <c r="AI5" s="623">
        <v>12.63</v>
      </c>
      <c r="AJ5" s="623">
        <v>12.63</v>
      </c>
      <c r="AK5" s="623">
        <v>12.63</v>
      </c>
      <c r="AL5" s="623">
        <v>38.130000000000003</v>
      </c>
      <c r="AM5" s="623">
        <v>19</v>
      </c>
      <c r="AN5" s="623">
        <v>17.25</v>
      </c>
      <c r="AO5" s="623">
        <v>31.25</v>
      </c>
      <c r="AP5" s="623">
        <v>3</v>
      </c>
      <c r="AR5" s="905"/>
      <c r="AS5" s="905"/>
      <c r="AT5" s="905"/>
      <c r="AU5" s="916"/>
      <c r="AV5" s="916"/>
    </row>
    <row r="6" spans="1:48" s="165" customFormat="1" ht="12" hidden="1" customHeight="1">
      <c r="A6" s="988"/>
      <c r="B6" s="614"/>
      <c r="E6" s="623"/>
      <c r="G6" s="167"/>
      <c r="H6" s="167"/>
      <c r="I6" s="167"/>
      <c r="J6" s="167"/>
      <c r="K6" s="167"/>
      <c r="L6" s="167"/>
      <c r="M6" s="167"/>
      <c r="N6" s="167"/>
      <c r="O6" s="167"/>
      <c r="P6" s="167"/>
      <c r="Q6" s="130"/>
      <c r="R6" s="130"/>
      <c r="S6" s="167"/>
      <c r="T6" s="113"/>
      <c r="U6" s="113"/>
      <c r="V6" s="113"/>
      <c r="W6" s="113"/>
      <c r="X6" s="113"/>
      <c r="Y6" s="113"/>
      <c r="Z6" s="113"/>
      <c r="AC6" s="169"/>
      <c r="AE6" s="165">
        <f>god-2</f>
        <v>2024</v>
      </c>
      <c r="AF6" s="165">
        <f>god-2</f>
        <v>2024</v>
      </c>
      <c r="AG6" s="165">
        <f>god-2</f>
        <v>2024</v>
      </c>
      <c r="AH6" s="165">
        <f>god-2</f>
        <v>2024</v>
      </c>
      <c r="AI6" s="113">
        <f>god-1</f>
        <v>2025</v>
      </c>
      <c r="AJ6" s="113">
        <f>god</f>
        <v>2026</v>
      </c>
      <c r="AK6" s="113">
        <f>god</f>
        <v>2026</v>
      </c>
      <c r="AL6" s="113">
        <f>god</f>
        <v>2026</v>
      </c>
      <c r="AR6" s="944"/>
      <c r="AS6" s="944"/>
      <c r="AT6" s="944"/>
      <c r="AU6" s="945"/>
      <c r="AV6" s="945"/>
    </row>
    <row r="7" spans="1:48" ht="12" hidden="1" customHeight="1">
      <c r="F7" s="167"/>
      <c r="T7" s="150"/>
      <c r="U7" s="150"/>
      <c r="V7" s="150"/>
      <c r="W7" s="150"/>
      <c r="X7" s="150"/>
      <c r="Y7" s="150"/>
      <c r="Z7" s="150"/>
      <c r="AB7" s="167"/>
      <c r="AD7" s="167"/>
      <c r="AE7" s="150" t="str">
        <f>AE25</f>
        <v>Принято органом регулирования</v>
      </c>
      <c r="AF7" s="150" t="str">
        <f>AF25</f>
        <v>Факт по данным организации</v>
      </c>
      <c r="AG7" s="150" t="str">
        <f>AG25</f>
        <v>Факт, принятый органом регулирования</v>
      </c>
      <c r="AH7" s="150" t="str">
        <f>AH25</f>
        <v>отклонение факта по данным организации к факту принятому органом регулирования</v>
      </c>
      <c r="AI7" s="150" t="str">
        <f>AI25</f>
        <v>Принято органом регулирования</v>
      </c>
      <c r="AJ7" s="150" t="str">
        <f>$AJ$25</f>
        <v>Предложение организации</v>
      </c>
      <c r="AK7" s="150" t="str">
        <f>$AK$25</f>
        <v>Принято органом регулирования</v>
      </c>
      <c r="AL7" s="150"/>
    </row>
    <row r="8" spans="1:48" ht="12" hidden="1" customHeight="1">
      <c r="F8" s="167"/>
      <c r="T8" s="150"/>
      <c r="U8" s="150"/>
      <c r="V8" s="150"/>
      <c r="W8" s="150"/>
      <c r="X8" s="150"/>
      <c r="Y8" s="150"/>
      <c r="Z8" s="150"/>
      <c r="AB8" s="167"/>
      <c r="AD8" s="167"/>
      <c r="AE8" s="150" t="str">
        <f t="shared" ref="AE8:AK8" si="0">AE6&amp;AE7</f>
        <v>2024Принято органом регулирования</v>
      </c>
      <c r="AF8" s="150" t="str">
        <f t="shared" si="0"/>
        <v>2024Факт по данным организации</v>
      </c>
      <c r="AG8" s="150" t="str">
        <f t="shared" si="0"/>
        <v>2024Факт, принятый органом регулирования</v>
      </c>
      <c r="AH8" s="150" t="str">
        <f t="shared" si="0"/>
        <v>2024отклонение факта по данным организации к факту принятому органом регулирования</v>
      </c>
      <c r="AI8" s="150" t="str">
        <f t="shared" si="0"/>
        <v>2025Принято органом регулирования</v>
      </c>
      <c r="AJ8" s="150" t="str">
        <f t="shared" si="0"/>
        <v>2026Предложение организации</v>
      </c>
      <c r="AK8" s="150" t="str">
        <f t="shared" si="0"/>
        <v>2026Принято органом регулирования</v>
      </c>
      <c r="AL8" s="150"/>
    </row>
    <row r="9" spans="1:48" s="943" customFormat="1" ht="12" hidden="1" customHeight="1">
      <c r="A9" s="890" t="s">
        <v>327</v>
      </c>
      <c r="B9" s="878"/>
      <c r="E9" s="878"/>
      <c r="Q9" s="923"/>
      <c r="R9" s="923"/>
      <c r="T9" s="891"/>
      <c r="U9" s="891"/>
      <c r="V9" s="891"/>
      <c r="W9" s="891"/>
      <c r="X9" s="891"/>
      <c r="Y9" s="891"/>
      <c r="Z9" s="891"/>
      <c r="AE9" s="943">
        <f>god-2</f>
        <v>2024</v>
      </c>
      <c r="AF9" s="943">
        <f>god-2</f>
        <v>2024</v>
      </c>
      <c r="AG9" s="943">
        <f>god-2</f>
        <v>2024</v>
      </c>
      <c r="AH9" s="943">
        <f>god-2</f>
        <v>2024</v>
      </c>
      <c r="AI9" s="943">
        <f>god-1</f>
        <v>2025</v>
      </c>
      <c r="AJ9" s="943">
        <f>god</f>
        <v>2026</v>
      </c>
      <c r="AK9" s="943">
        <f>god</f>
        <v>2026</v>
      </c>
      <c r="AL9" s="943">
        <f>god</f>
        <v>2026</v>
      </c>
      <c r="AR9" s="944"/>
      <c r="AS9" s="944"/>
      <c r="AT9" s="944"/>
      <c r="AU9" s="945"/>
      <c r="AV9" s="945"/>
    </row>
    <row r="10" spans="1:48" s="943" customFormat="1" ht="12" hidden="1" customHeight="1">
      <c r="A10" s="890" t="s">
        <v>328</v>
      </c>
      <c r="B10" s="878"/>
      <c r="E10" s="878"/>
      <c r="Q10" s="923"/>
      <c r="R10" s="923"/>
      <c r="T10" s="891"/>
      <c r="U10" s="891"/>
      <c r="V10" s="891"/>
      <c r="W10" s="891"/>
      <c r="X10" s="891"/>
      <c r="Y10" s="891"/>
      <c r="Z10" s="891"/>
      <c r="AE10" s="943" t="str">
        <f t="shared" ref="AE10:AL10" si="1">AE25</f>
        <v>Принято органом регулирования</v>
      </c>
      <c r="AF10" s="943" t="str">
        <f t="shared" si="1"/>
        <v>Факт по данным организации</v>
      </c>
      <c r="AG10" s="943" t="str">
        <f t="shared" si="1"/>
        <v>Факт, принятый органом регулирования</v>
      </c>
      <c r="AH10" s="943" t="str">
        <f t="shared" si="1"/>
        <v>отклонение факта по данным организации к факту принятому органом регулирования</v>
      </c>
      <c r="AI10" s="943" t="str">
        <f t="shared" si="1"/>
        <v>Принято органом регулирования</v>
      </c>
      <c r="AJ10" s="943" t="str">
        <f t="shared" si="1"/>
        <v>Предложение организации</v>
      </c>
      <c r="AK10" s="943" t="str">
        <f t="shared" si="1"/>
        <v>Принято органом регулирования</v>
      </c>
      <c r="AL10" s="943" t="str">
        <f t="shared" si="1"/>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R10" s="944"/>
      <c r="AS10" s="944"/>
      <c r="AT10" s="944"/>
      <c r="AU10" s="945"/>
      <c r="AV10" s="945"/>
    </row>
    <row r="11" spans="1:48" s="943" customFormat="1" ht="12" hidden="1" customHeight="1">
      <c r="A11" s="890" t="s">
        <v>329</v>
      </c>
      <c r="B11" s="878"/>
      <c r="E11" s="878"/>
      <c r="G11" s="946"/>
      <c r="H11" s="946"/>
      <c r="I11" s="946"/>
      <c r="J11" s="946"/>
      <c r="K11" s="946"/>
      <c r="L11" s="946"/>
      <c r="M11" s="946"/>
      <c r="N11" s="946"/>
      <c r="O11" s="946"/>
      <c r="P11" s="946"/>
      <c r="Q11" s="925"/>
      <c r="R11" s="925"/>
      <c r="S11" s="946"/>
      <c r="T11" s="891"/>
      <c r="U11" s="891"/>
      <c r="V11" s="891"/>
      <c r="W11" s="891"/>
      <c r="X11" s="891"/>
      <c r="Y11" s="891"/>
      <c r="Z11" s="891"/>
      <c r="AC11" s="947"/>
      <c r="AM11" s="943" t="str">
        <f>AM24</f>
        <v>Указание на подтверждающие документы / URL-ссылка на копии подтверждающих документов</v>
      </c>
      <c r="AN11" s="943" t="str">
        <f>AN24</f>
        <v>Ссылка на правовую норму (основание для принятия показателя в расчет тарифа)</v>
      </c>
      <c r="AO11" s="943"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R11" s="944"/>
      <c r="AS11" s="944"/>
      <c r="AT11" s="944"/>
      <c r="AU11" s="945"/>
      <c r="AV11" s="945"/>
    </row>
    <row r="12" spans="1:48" s="943" customFormat="1" ht="12" hidden="1" customHeight="1">
      <c r="A12" s="890" t="s">
        <v>286</v>
      </c>
      <c r="B12" s="878"/>
      <c r="E12" s="878"/>
      <c r="G12" s="946"/>
      <c r="H12" s="946"/>
      <c r="I12" s="946"/>
      <c r="J12" s="946"/>
      <c r="K12" s="946"/>
      <c r="L12" s="946"/>
      <c r="M12" s="946"/>
      <c r="N12" s="946"/>
      <c r="O12" s="946"/>
      <c r="P12" s="946"/>
      <c r="Q12" s="925"/>
      <c r="R12" s="925"/>
      <c r="S12" s="946"/>
      <c r="T12" s="891"/>
      <c r="U12" s="891"/>
      <c r="V12" s="891"/>
      <c r="W12" s="891"/>
      <c r="X12" s="891"/>
      <c r="Y12" s="891"/>
      <c r="Z12" s="891"/>
      <c r="AC12" s="947" t="s">
        <v>277</v>
      </c>
      <c r="AR12" s="944"/>
      <c r="AS12" s="944"/>
      <c r="AT12" s="944"/>
      <c r="AU12" s="945"/>
      <c r="AV12" s="945"/>
    </row>
    <row r="13" spans="1:48" s="165" customFormat="1" ht="12" hidden="1" customHeight="1">
      <c r="A13" s="988"/>
      <c r="B13" s="614"/>
      <c r="E13" s="623"/>
      <c r="G13" s="167"/>
      <c r="H13" s="167"/>
      <c r="I13" s="167"/>
      <c r="J13" s="167"/>
      <c r="K13" s="167"/>
      <c r="L13" s="167"/>
      <c r="M13" s="167"/>
      <c r="N13" s="167"/>
      <c r="O13" s="167"/>
      <c r="P13" s="167"/>
      <c r="Q13" s="130"/>
      <c r="R13" s="130"/>
      <c r="S13" s="167"/>
      <c r="T13" s="113"/>
      <c r="U13" s="113"/>
      <c r="V13" s="113"/>
      <c r="W13" s="113"/>
      <c r="X13" s="113"/>
      <c r="Y13" s="113"/>
      <c r="Z13" s="113"/>
      <c r="AA13" s="165" t="s">
        <v>1089</v>
      </c>
      <c r="AC13" s="169"/>
      <c r="AR13" s="944"/>
      <c r="AS13" s="944"/>
      <c r="AT13" s="944"/>
      <c r="AU13" s="945"/>
      <c r="AV13" s="945"/>
    </row>
    <row r="14" spans="1:48" s="165" customFormat="1" ht="12" hidden="1" customHeight="1">
      <c r="A14" s="988"/>
      <c r="B14" s="614"/>
      <c r="E14" s="623"/>
      <c r="G14" s="167"/>
      <c r="H14" s="167"/>
      <c r="I14" s="167"/>
      <c r="J14" s="167"/>
      <c r="K14" s="167"/>
      <c r="L14" s="167"/>
      <c r="M14" s="167"/>
      <c r="N14" s="167"/>
      <c r="O14" s="167"/>
      <c r="P14" s="167"/>
      <c r="Q14" s="130"/>
      <c r="R14" s="130"/>
      <c r="S14" s="167"/>
      <c r="T14" s="113"/>
      <c r="U14" s="113"/>
      <c r="V14" s="113"/>
      <c r="W14" s="113"/>
      <c r="X14" s="113"/>
      <c r="Y14" s="113"/>
      <c r="Z14" s="113"/>
      <c r="AC14" s="169"/>
      <c r="AR14" s="944"/>
      <c r="AS14" s="944"/>
      <c r="AT14" s="944"/>
      <c r="AU14" s="945"/>
      <c r="AV14" s="945"/>
    </row>
    <row r="15" spans="1:48" s="165" customFormat="1" ht="12" hidden="1" customHeight="1">
      <c r="A15" s="988"/>
      <c r="B15" s="614"/>
      <c r="E15" s="623"/>
      <c r="G15" s="167"/>
      <c r="H15" s="167"/>
      <c r="I15" s="167"/>
      <c r="J15" s="167"/>
      <c r="K15" s="167"/>
      <c r="L15" s="167"/>
      <c r="M15" s="167"/>
      <c r="N15" s="167"/>
      <c r="O15" s="167"/>
      <c r="P15" s="167"/>
      <c r="Q15" s="130"/>
      <c r="R15" s="130"/>
      <c r="S15" s="167"/>
      <c r="T15" s="113"/>
      <c r="U15" s="113"/>
      <c r="V15" s="113"/>
      <c r="W15" s="113"/>
      <c r="X15" s="113"/>
      <c r="Y15" s="113"/>
      <c r="Z15" s="113"/>
      <c r="AC15" s="169"/>
      <c r="AJ15" s="113"/>
      <c r="AK15" s="113"/>
      <c r="AL15" s="113"/>
      <c r="AR15" s="944"/>
      <c r="AS15" s="944"/>
      <c r="AT15" s="944"/>
      <c r="AU15" s="945"/>
      <c r="AV15" s="945"/>
    </row>
    <row r="16" spans="1:48" s="165" customFormat="1" ht="12" hidden="1" customHeight="1">
      <c r="A16" s="988"/>
      <c r="B16" s="614"/>
      <c r="E16" s="623"/>
      <c r="G16" s="167"/>
      <c r="H16" s="167"/>
      <c r="I16" s="167"/>
      <c r="J16" s="167"/>
      <c r="K16" s="167"/>
      <c r="L16" s="167"/>
      <c r="M16" s="167"/>
      <c r="N16" s="167"/>
      <c r="O16" s="167"/>
      <c r="P16" s="167"/>
      <c r="Q16" s="130"/>
      <c r="R16" s="130"/>
      <c r="S16" s="167"/>
      <c r="T16" s="113"/>
      <c r="U16" s="113"/>
      <c r="V16" s="113"/>
      <c r="W16" s="113"/>
      <c r="X16" s="113"/>
      <c r="Y16" s="113"/>
      <c r="Z16" s="113"/>
      <c r="AC16" s="169"/>
      <c r="AJ16" s="113"/>
      <c r="AK16" s="113"/>
      <c r="AL16" s="113"/>
      <c r="AR16" s="944"/>
      <c r="AS16" s="944"/>
      <c r="AT16" s="944"/>
      <c r="AU16" s="945"/>
      <c r="AV16" s="945"/>
    </row>
    <row r="17" spans="1:48" s="165" customFormat="1" ht="12" hidden="1" customHeight="1">
      <c r="A17" s="988"/>
      <c r="B17" s="614"/>
      <c r="E17" s="623"/>
      <c r="G17" s="167"/>
      <c r="H17" s="167"/>
      <c r="I17" s="167"/>
      <c r="J17" s="167"/>
      <c r="K17" s="167"/>
      <c r="L17" s="167"/>
      <c r="M17" s="167"/>
      <c r="N17" s="167"/>
      <c r="O17" s="167"/>
      <c r="P17" s="167"/>
      <c r="Q17" s="130"/>
      <c r="R17" s="130"/>
      <c r="S17" s="167"/>
      <c r="T17" s="113"/>
      <c r="U17" s="113"/>
      <c r="V17" s="113"/>
      <c r="W17" s="113"/>
      <c r="X17" s="113"/>
      <c r="Y17" s="113"/>
      <c r="Z17" s="113"/>
      <c r="AC17" s="169"/>
      <c r="AJ17" s="113"/>
      <c r="AK17" s="113"/>
      <c r="AL17" s="113"/>
      <c r="AR17" s="944"/>
      <c r="AS17" s="944"/>
      <c r="AT17" s="944"/>
      <c r="AU17" s="945"/>
      <c r="AV17" s="945"/>
    </row>
    <row r="18" spans="1:48" s="165" customFormat="1" ht="12" hidden="1" customHeight="1">
      <c r="A18" s="970" t="s">
        <v>385</v>
      </c>
      <c r="B18" s="614"/>
      <c r="E18" s="623"/>
      <c r="G18" s="167"/>
      <c r="H18" s="167"/>
      <c r="I18" s="167"/>
      <c r="J18" s="167"/>
      <c r="K18" s="167"/>
      <c r="L18" s="167"/>
      <c r="M18" s="167"/>
      <c r="N18" s="167"/>
      <c r="O18" s="167"/>
      <c r="P18" s="167"/>
      <c r="Q18" s="130"/>
      <c r="R18" s="130"/>
      <c r="S18" s="167"/>
      <c r="T18" s="113"/>
      <c r="U18" s="113"/>
      <c r="V18" s="113"/>
      <c r="W18" s="113"/>
      <c r="X18" s="113"/>
      <c r="Y18" s="113"/>
      <c r="Z18" s="113"/>
      <c r="AC18" s="169" t="s">
        <v>330</v>
      </c>
      <c r="AR18" s="944"/>
      <c r="AS18" s="944"/>
      <c r="AT18" s="944"/>
      <c r="AU18" s="945"/>
      <c r="AV18" s="945"/>
    </row>
    <row r="19" spans="1:48" s="165" customFormat="1" ht="12" hidden="1" customHeight="1">
      <c r="A19" s="988"/>
      <c r="B19" s="614"/>
      <c r="E19" s="623"/>
      <c r="G19" s="167"/>
      <c r="H19" s="167"/>
      <c r="I19" s="167"/>
      <c r="J19" s="167"/>
      <c r="K19" s="167"/>
      <c r="L19" s="167"/>
      <c r="M19" s="167"/>
      <c r="N19" s="167"/>
      <c r="O19" s="167"/>
      <c r="P19" s="167"/>
      <c r="Q19" s="130"/>
      <c r="R19" s="130"/>
      <c r="S19" s="167"/>
      <c r="T19" s="113"/>
      <c r="U19" s="113"/>
      <c r="V19" s="113"/>
      <c r="W19" s="113"/>
      <c r="X19" s="113"/>
      <c r="Y19" s="113"/>
      <c r="Z19" s="113"/>
      <c r="AC19" s="169"/>
      <c r="AR19" s="944"/>
      <c r="AS19" s="944"/>
      <c r="AT19" s="944"/>
      <c r="AU19" s="945"/>
      <c r="AV19" s="945"/>
    </row>
    <row r="20" spans="1:48" s="165" customFormat="1" ht="11.1" hidden="1" customHeight="1">
      <c r="A20" s="988"/>
      <c r="B20" s="614"/>
      <c r="E20" s="623">
        <v>11.4</v>
      </c>
      <c r="G20" s="167"/>
      <c r="H20" s="167"/>
      <c r="I20" s="167"/>
      <c r="J20" s="167"/>
      <c r="K20" s="167"/>
      <c r="L20" s="167"/>
      <c r="M20" s="167"/>
      <c r="N20" s="167"/>
      <c r="O20" s="167"/>
      <c r="P20" s="167"/>
      <c r="Q20" s="130"/>
      <c r="R20" s="130"/>
      <c r="S20" s="167"/>
      <c r="T20" s="113"/>
      <c r="U20" s="113"/>
      <c r="V20" s="113"/>
      <c r="W20" s="113"/>
      <c r="X20" s="113"/>
      <c r="Y20" s="113"/>
      <c r="Z20" s="113"/>
      <c r="AC20" s="169"/>
      <c r="AR20" s="944"/>
      <c r="AS20" s="944"/>
      <c r="AT20" s="944"/>
      <c r="AU20" s="945"/>
      <c r="AV20" s="945"/>
    </row>
    <row r="21" spans="1:48" ht="14.65" customHeight="1">
      <c r="E21" s="623">
        <v>15</v>
      </c>
      <c r="AA21" s="646"/>
      <c r="AB21" s="167"/>
      <c r="AC21" s="315" t="str">
        <f>tpl_title</f>
        <v>Кемеровская область / 2026 / АО "СУЭК-Кузбасс" (ИНН:4212024138, КПП:421201001) / ДПР: 2024-2028</v>
      </c>
      <c r="AD21" s="167"/>
    </row>
    <row r="22" spans="1:48" s="1018" customFormat="1" ht="19.5" customHeight="1">
      <c r="A22" s="769"/>
      <c r="B22" s="614"/>
      <c r="C22" s="120"/>
      <c r="D22" s="120"/>
      <c r="E22" s="623">
        <v>20.100000000000001</v>
      </c>
      <c r="F22" s="120"/>
      <c r="Q22" s="130"/>
      <c r="R22" s="130"/>
      <c r="T22" s="116"/>
      <c r="U22" s="116"/>
      <c r="V22" s="116"/>
      <c r="W22" s="116"/>
      <c r="X22" s="116"/>
      <c r="Y22" s="116"/>
      <c r="Z22" s="116"/>
      <c r="AB22" s="306" t="s">
        <v>51</v>
      </c>
      <c r="AC22" s="251"/>
      <c r="AD22" s="251"/>
      <c r="AE22" s="251"/>
      <c r="AF22" s="251"/>
      <c r="AG22" s="251"/>
      <c r="AH22" s="251"/>
      <c r="AI22" s="251"/>
      <c r="AJ22" s="251"/>
      <c r="AK22" s="251"/>
      <c r="AL22" s="251"/>
      <c r="AM22" s="251"/>
      <c r="AN22" s="251"/>
      <c r="AO22" s="251"/>
      <c r="AR22" s="920"/>
      <c r="AS22" s="920"/>
      <c r="AT22" s="920"/>
      <c r="AU22" s="921"/>
      <c r="AV22" s="921"/>
    </row>
    <row r="23" spans="1:48" s="1018" customFormat="1" ht="9.9499999999999993" customHeight="1">
      <c r="A23" s="769"/>
      <c r="B23" s="614"/>
      <c r="C23" s="120"/>
      <c r="D23" s="120"/>
      <c r="E23" s="623">
        <v>10.199999999999999</v>
      </c>
      <c r="F23" s="120"/>
      <c r="Q23" s="130"/>
      <c r="R23" s="130"/>
      <c r="T23" s="116"/>
      <c r="U23" s="116"/>
      <c r="V23" s="116"/>
      <c r="W23" s="116"/>
      <c r="X23" s="116"/>
      <c r="Y23" s="116"/>
      <c r="Z23" s="116"/>
      <c r="AB23" s="168"/>
      <c r="AC23" s="168"/>
      <c r="AD23" s="168"/>
      <c r="AE23" s="168"/>
      <c r="AF23" s="168"/>
      <c r="AG23" s="168"/>
      <c r="AH23" s="168"/>
      <c r="AI23" s="168"/>
      <c r="AJ23" s="168"/>
      <c r="AK23" s="168"/>
      <c r="AL23" s="168"/>
      <c r="AM23" s="168"/>
      <c r="AN23" s="168"/>
      <c r="AO23" s="168"/>
      <c r="AR23" s="920"/>
      <c r="AS23" s="920"/>
      <c r="AT23" s="920"/>
      <c r="AU23" s="921"/>
      <c r="AV23" s="921"/>
    </row>
    <row r="24" spans="1:48" s="166" customFormat="1" ht="24.2" customHeight="1">
      <c r="A24" s="254"/>
      <c r="B24" s="618"/>
      <c r="C24" s="169"/>
      <c r="D24" s="169"/>
      <c r="E24" s="629">
        <v>24.8</v>
      </c>
      <c r="F24" s="169"/>
      <c r="Q24" s="723"/>
      <c r="R24" s="723"/>
      <c r="T24" s="109"/>
      <c r="U24" s="109"/>
      <c r="V24" s="109"/>
      <c r="W24" s="109"/>
      <c r="X24" s="109"/>
      <c r="Y24" s="109"/>
      <c r="Z24" s="109"/>
      <c r="AB24" s="1496" t="s">
        <v>288</v>
      </c>
      <c r="AC24" s="1496" t="s">
        <v>330</v>
      </c>
      <c r="AD24" s="1496" t="s">
        <v>331</v>
      </c>
      <c r="AE24" s="198" t="str">
        <f>god-2&amp;" год"</f>
        <v>2024 год</v>
      </c>
      <c r="AF24" s="1007" t="str">
        <f>god-2&amp;" год"</f>
        <v>2024 год</v>
      </c>
      <c r="AG24" s="198" t="str">
        <f>god-2&amp;" год"</f>
        <v>2024 год</v>
      </c>
      <c r="AH24" s="198" t="str">
        <f>god-2&amp;" год"</f>
        <v>2024 год</v>
      </c>
      <c r="AI24" s="107" t="str">
        <f>god-1&amp;" год"</f>
        <v>2025 год</v>
      </c>
      <c r="AJ24" s="1001" t="str">
        <f>god&amp;" год"</f>
        <v>2026 год</v>
      </c>
      <c r="AK24" s="108" t="str">
        <f>god&amp;" год"</f>
        <v>2026 год</v>
      </c>
      <c r="AL24" s="108" t="str">
        <f>god&amp;" год"</f>
        <v>2026 год</v>
      </c>
      <c r="AM24" s="1493" t="s">
        <v>1090</v>
      </c>
      <c r="AN24" s="1493" t="s">
        <v>486</v>
      </c>
      <c r="AO24" s="1493" t="s">
        <v>1091</v>
      </c>
      <c r="AR24" s="944"/>
      <c r="AS24" s="948"/>
      <c r="AT24" s="948"/>
      <c r="AU24" s="949"/>
      <c r="AV24" s="949"/>
    </row>
    <row r="25" spans="1:48" s="166" customFormat="1" ht="44.65" customHeight="1">
      <c r="A25" s="254"/>
      <c r="B25" s="618"/>
      <c r="C25" s="169"/>
      <c r="D25" s="169"/>
      <c r="E25" s="629">
        <v>45.8</v>
      </c>
      <c r="F25" s="169"/>
      <c r="Q25" s="723"/>
      <c r="R25" s="723"/>
      <c r="T25" s="109"/>
      <c r="U25" s="109"/>
      <c r="V25" s="109"/>
      <c r="W25" s="109"/>
      <c r="X25" s="109"/>
      <c r="Y25" s="109"/>
      <c r="Z25" s="109"/>
      <c r="AB25" s="1496"/>
      <c r="AC25" s="1496"/>
      <c r="AD25" s="1496"/>
      <c r="AE25" s="107" t="s">
        <v>304</v>
      </c>
      <c r="AF25" s="1003" t="s">
        <v>487</v>
      </c>
      <c r="AG25" s="107" t="s">
        <v>488</v>
      </c>
      <c r="AH25" s="198" t="s">
        <v>1092</v>
      </c>
      <c r="AI25" s="107" t="s">
        <v>304</v>
      </c>
      <c r="AJ25" s="1002" t="s">
        <v>305</v>
      </c>
      <c r="AK25" s="324" t="s">
        <v>304</v>
      </c>
      <c r="AL25" s="198" t="s">
        <v>1093</v>
      </c>
      <c r="AM25" s="1493"/>
      <c r="AN25" s="1493"/>
      <c r="AO25" s="1493"/>
      <c r="AR25" s="944"/>
      <c r="AS25" s="948"/>
      <c r="AT25" s="948"/>
      <c r="AU25" s="949"/>
      <c r="AV25" s="949"/>
    </row>
    <row r="26" spans="1:48" s="166" customFormat="1" ht="45.75" hidden="1" customHeight="1">
      <c r="A26" s="254"/>
      <c r="B26" s="618"/>
      <c r="C26" s="169"/>
      <c r="D26" s="169"/>
      <c r="E26" s="629">
        <v>0</v>
      </c>
      <c r="F26" s="169"/>
      <c r="Q26" s="723"/>
      <c r="R26" s="723"/>
      <c r="T26" s="109"/>
      <c r="U26" s="109"/>
      <c r="V26" s="109"/>
      <c r="W26" s="109"/>
      <c r="X26" s="109"/>
      <c r="Y26" s="109"/>
      <c r="Z26" s="109"/>
      <c r="AB26" s="543"/>
      <c r="AC26" s="544"/>
      <c r="AD26" s="544"/>
      <c r="AE26" s="109"/>
      <c r="AF26" s="109"/>
      <c r="AG26" s="109"/>
      <c r="AH26" s="169"/>
      <c r="AI26" s="109"/>
      <c r="AJ26" s="109"/>
      <c r="AK26" s="109"/>
      <c r="AL26" s="169"/>
      <c r="AM26" s="169"/>
      <c r="AN26" s="169"/>
      <c r="AO26" s="169"/>
      <c r="AR26" s="944"/>
      <c r="AS26" s="948"/>
      <c r="AT26" s="948"/>
      <c r="AU26" s="949"/>
      <c r="AV26" s="949"/>
    </row>
    <row r="27" spans="1:48" s="157" customFormat="1" ht="13.7" hidden="1" customHeight="1">
      <c r="E27" s="623">
        <v>14.1</v>
      </c>
      <c r="F27" s="714">
        <f>X27</f>
        <v>0</v>
      </c>
      <c r="G27" s="130" t="str">
        <f>INDEX('Общие сведения'!$AK$169:$AK$202,MATCH($F27,'Общие сведения'!$Z$169:$Z$202,0))</f>
        <v>одноставочный</v>
      </c>
      <c r="I27" s="150" t="str">
        <f>INDEX('Общие сведения'!$AE$169:$AE$202,MATCH($F27,'Общие сведения'!$Z$169:$Z$202,0))</f>
        <v>Теплоснабжение</v>
      </c>
      <c r="T27" s="645" t="b">
        <f>X27&gt;0</f>
        <v>0</v>
      </c>
      <c r="V27" s="113" t="s">
        <v>228</v>
      </c>
      <c r="X27" s="1405">
        <v>0</v>
      </c>
      <c r="Z27" s="1403"/>
      <c r="AB27" s="252" t="str">
        <f>INDEX('Общие сведения'!$AG$169:$AG$202,MATCH($F27,'Общие сведения'!$Z$169:$Z$202,0))</f>
        <v>Тариф 0 (Теплоснабжение) - Тарифы на теплоноситель</v>
      </c>
      <c r="AC27" s="253"/>
      <c r="AD27" s="253"/>
      <c r="AE27" s="253"/>
      <c r="AF27" s="253"/>
      <c r="AG27" s="253"/>
      <c r="AH27" s="253"/>
      <c r="AI27" s="253"/>
      <c r="AJ27" s="253"/>
      <c r="AK27" s="253"/>
      <c r="AL27" s="253"/>
      <c r="AM27" s="253"/>
      <c r="AN27" s="253"/>
      <c r="AO27" s="253"/>
      <c r="AR27" s="912"/>
      <c r="AS27" s="912"/>
      <c r="AT27" s="912"/>
      <c r="AU27" s="915"/>
      <c r="AV27" s="915"/>
    </row>
    <row r="28" spans="1:48" s="171" customFormat="1" ht="13.7" hidden="1" customHeight="1">
      <c r="E28" s="629">
        <v>14.1</v>
      </c>
      <c r="F28" s="714">
        <f t="shared" ref="F28:F50" ca="1" si="2">OFFSET(G28,-1,-1)</f>
        <v>0</v>
      </c>
      <c r="G28" s="723" t="s">
        <v>1094</v>
      </c>
      <c r="K28" s="167" t="str">
        <f ca="1">F28&amp;"komm"</f>
        <v>0komm</v>
      </c>
      <c r="L28" s="171">
        <f>AN28</f>
        <v>0</v>
      </c>
      <c r="T28" s="634" t="b">
        <f t="shared" ref="T28:T44" si="3">T27</f>
        <v>0</v>
      </c>
      <c r="X28" s="1497"/>
      <c r="Z28" s="1497"/>
      <c r="AB28" s="1501" t="s">
        <v>1095</v>
      </c>
      <c r="AC28" s="1502"/>
      <c r="AD28" s="239" t="s">
        <v>648</v>
      </c>
      <c r="AE28" s="53">
        <f ca="1">SUM(AE29:AE33)+SUM(AE39:AE43)+AE47</f>
        <v>0</v>
      </c>
      <c r="AF28" s="53">
        <f ca="1">SUM(AF29:AF33)+SUM(AF39:AF43)+AF47</f>
        <v>0</v>
      </c>
      <c r="AG28" s="53">
        <f ca="1">SUM(AG29:AG33)+SUM(AG39:AG43)+AG47</f>
        <v>0</v>
      </c>
      <c r="AH28" s="53">
        <f t="shared" ref="AH28:AH43" ca="1" si="4">AG28-AF28</f>
        <v>0</v>
      </c>
      <c r="AI28" s="53">
        <f ca="1">SUM(AI29:AI33)+SUM(AI39:AI43)+AI47</f>
        <v>0</v>
      </c>
      <c r="AJ28" s="53">
        <f ca="1">SUM(AJ29:AJ33)+SUM(AJ39:AJ43)+AJ47</f>
        <v>0</v>
      </c>
      <c r="AK28" s="53">
        <f ca="1">SUM(AK29:AK33)+SUM(AK39:AK43)+AK47</f>
        <v>0</v>
      </c>
      <c r="AL28" s="292">
        <f t="shared" ref="AL28:AL43" ca="1" si="5">IF(AI28=0,0,(AK28-AI28)/AI28*100)</f>
        <v>0</v>
      </c>
      <c r="AM28" s="22"/>
      <c r="AN28" s="22"/>
      <c r="AO28" s="22"/>
      <c r="AR28" s="944" t="s">
        <v>1096</v>
      </c>
      <c r="AS28" s="950"/>
      <c r="AT28" s="950"/>
      <c r="AU28" s="951"/>
      <c r="AV28" s="951"/>
    </row>
    <row r="29" spans="1:48" ht="29.25" hidden="1" customHeight="1">
      <c r="E29" s="623">
        <v>30</v>
      </c>
      <c r="F29" s="714">
        <f t="shared" ca="1" si="2"/>
        <v>0</v>
      </c>
      <c r="T29" s="634" t="b">
        <f t="shared" si="3"/>
        <v>0</v>
      </c>
      <c r="X29" s="1405"/>
      <c r="Z29" s="1405"/>
      <c r="AB29" s="99">
        <v>1</v>
      </c>
      <c r="AC29" s="106" t="s">
        <v>1097</v>
      </c>
      <c r="AD29" s="434" t="s">
        <v>837</v>
      </c>
      <c r="AE29" s="54"/>
      <c r="AF29" s="54"/>
      <c r="AG29" s="54"/>
      <c r="AH29" s="298">
        <f t="shared" si="4"/>
        <v>0</v>
      </c>
      <c r="AI29" s="54"/>
      <c r="AJ29" s="54"/>
      <c r="AK29" s="54"/>
      <c r="AL29" s="293">
        <f t="shared" si="5"/>
        <v>0</v>
      </c>
      <c r="AM29" s="22"/>
      <c r="AN29" s="22"/>
      <c r="AO29" s="22"/>
      <c r="AR29" s="944" t="s">
        <v>1098</v>
      </c>
    </row>
    <row r="30" spans="1:48" s="170" customFormat="1" ht="14.65" hidden="1" customHeight="1">
      <c r="E30" s="629">
        <v>15</v>
      </c>
      <c r="F30" s="714">
        <f t="shared" ca="1" si="2"/>
        <v>0</v>
      </c>
      <c r="T30" s="634" t="b">
        <f t="shared" si="3"/>
        <v>0</v>
      </c>
      <c r="X30" s="1498"/>
      <c r="Z30" s="1498"/>
      <c r="AB30" s="99">
        <v>2</v>
      </c>
      <c r="AC30" s="106" t="s">
        <v>1099</v>
      </c>
      <c r="AD30" s="434" t="s">
        <v>837</v>
      </c>
      <c r="AE30" s="54"/>
      <c r="AF30" s="54"/>
      <c r="AG30" s="54"/>
      <c r="AH30" s="293">
        <f t="shared" si="4"/>
        <v>0</v>
      </c>
      <c r="AI30" s="54"/>
      <c r="AJ30" s="54"/>
      <c r="AK30" s="54"/>
      <c r="AL30" s="293">
        <f t="shared" si="5"/>
        <v>0</v>
      </c>
      <c r="AM30" s="22"/>
      <c r="AN30" s="22"/>
      <c r="AO30" s="22"/>
      <c r="AR30" s="944" t="s">
        <v>1100</v>
      </c>
      <c r="AS30" s="950"/>
      <c r="AT30" s="950"/>
      <c r="AU30" s="951"/>
      <c r="AV30" s="951"/>
    </row>
    <row r="31" spans="1:48" ht="14.65" hidden="1" customHeight="1">
      <c r="E31" s="623">
        <v>15</v>
      </c>
      <c r="F31" s="714">
        <f t="shared" ca="1" si="2"/>
        <v>0</v>
      </c>
      <c r="G31" s="130" t="s">
        <v>46</v>
      </c>
      <c r="T31" s="634" t="b">
        <f t="shared" si="3"/>
        <v>0</v>
      </c>
      <c r="X31" s="1405"/>
      <c r="Z31" s="1405"/>
      <c r="AB31" s="99">
        <v>3</v>
      </c>
      <c r="AC31" s="105" t="s">
        <v>47</v>
      </c>
      <c r="AD31" s="387" t="s">
        <v>837</v>
      </c>
      <c r="AE31" s="40">
        <f ca="1">SUMIFS(ФОТ!AE$26:AE$77,ФОТ!$F$26:$F$77,$F31,ФОТ!$G$26:$G$77,$G31)</f>
        <v>0</v>
      </c>
      <c r="AF31" s="40">
        <f ca="1">SUMIFS(ФОТ!AF$26:AF$77,ФОТ!$F$26:$F$77,$F31,ФОТ!$G$26:$G$77,$G31)</f>
        <v>0</v>
      </c>
      <c r="AG31" s="40">
        <f ca="1">SUMIFS(ФОТ!AG$26:AG$77,ФОТ!$F$26:$F$77,$F31,ФОТ!$G$26:$G$77,$G31)</f>
        <v>0</v>
      </c>
      <c r="AH31" s="293">
        <f t="shared" ca="1" si="4"/>
        <v>0</v>
      </c>
      <c r="AI31" s="40">
        <f ca="1">SUMIFS(ФОТ!AH$26:AH$77,ФОТ!$F$26:$F$77,$F31,ФОТ!$G$26:$G$77,$G31)</f>
        <v>0</v>
      </c>
      <c r="AJ31" s="293">
        <f ca="1">SUMIFS(ФОТ!AI$26:AI$77,ФОТ!$F$26:$F$77,$F31,ФОТ!$G$26:$G$77,$G31)</f>
        <v>0</v>
      </c>
      <c r="AK31" s="293">
        <f ca="1">SUMIFS(ФОТ!AJ$26:AJ$77,ФОТ!$F$26:$F$77,$F31,ФОТ!$G$26:$G$77,$G31)</f>
        <v>0</v>
      </c>
      <c r="AL31" s="293">
        <f t="shared" ca="1" si="5"/>
        <v>0</v>
      </c>
      <c r="AM31" s="22"/>
      <c r="AN31" s="22"/>
      <c r="AO31" s="22"/>
      <c r="AR31" s="944" t="s">
        <v>1101</v>
      </c>
    </row>
    <row r="32" spans="1:48" ht="52.7" hidden="1" customHeight="1">
      <c r="E32" s="623">
        <v>54</v>
      </c>
      <c r="F32" s="714">
        <f t="shared" ca="1" si="2"/>
        <v>0</v>
      </c>
      <c r="T32" s="634" t="b">
        <f t="shared" si="3"/>
        <v>0</v>
      </c>
      <c r="X32" s="1405"/>
      <c r="Z32" s="1405"/>
      <c r="AB32" s="99">
        <v>4</v>
      </c>
      <c r="AC32" s="106" t="s">
        <v>1102</v>
      </c>
      <c r="AD32" s="387" t="s">
        <v>837</v>
      </c>
      <c r="AE32" s="40"/>
      <c r="AF32" s="40"/>
      <c r="AG32" s="40"/>
      <c r="AH32" s="293">
        <f t="shared" si="4"/>
        <v>0</v>
      </c>
      <c r="AI32" s="40"/>
      <c r="AJ32" s="40"/>
      <c r="AK32" s="40"/>
      <c r="AL32" s="293">
        <f t="shared" si="5"/>
        <v>0</v>
      </c>
      <c r="AM32" s="22"/>
      <c r="AN32" s="22"/>
      <c r="AO32" s="22"/>
      <c r="AR32" s="944" t="s">
        <v>1103</v>
      </c>
    </row>
    <row r="33" spans="5:48" ht="30.75" hidden="1" customHeight="1">
      <c r="E33" s="623">
        <v>31.5</v>
      </c>
      <c r="F33" s="714">
        <f t="shared" ca="1" si="2"/>
        <v>0</v>
      </c>
      <c r="T33" s="634" t="b">
        <f t="shared" si="3"/>
        <v>0</v>
      </c>
      <c r="X33" s="1405"/>
      <c r="Z33" s="1405"/>
      <c r="AB33" s="99">
        <v>5</v>
      </c>
      <c r="AC33" s="106" t="s">
        <v>1104</v>
      </c>
      <c r="AD33" s="387" t="s">
        <v>837</v>
      </c>
      <c r="AE33" s="293">
        <f>SUM(AE34:AE38)</f>
        <v>0</v>
      </c>
      <c r="AF33" s="293">
        <f>SUM(AF34:AF38)</f>
        <v>0</v>
      </c>
      <c r="AG33" s="40">
        <f>SUM(AG34:AG38)</f>
        <v>0</v>
      </c>
      <c r="AH33" s="293">
        <f t="shared" si="4"/>
        <v>0</v>
      </c>
      <c r="AI33" s="293">
        <f>SUM(AI34:AI38)</f>
        <v>0</v>
      </c>
      <c r="AJ33" s="293">
        <f>SUM(AJ34:AJ38)</f>
        <v>0</v>
      </c>
      <c r="AK33" s="293">
        <f>SUM(AK34:AK38)</f>
        <v>0</v>
      </c>
      <c r="AL33" s="293">
        <f t="shared" si="5"/>
        <v>0</v>
      </c>
      <c r="AM33" s="22"/>
      <c r="AN33" s="22"/>
      <c r="AO33" s="22"/>
      <c r="AR33" s="944" t="s">
        <v>1105</v>
      </c>
    </row>
    <row r="34" spans="5:48" ht="14.65" hidden="1" customHeight="1">
      <c r="E34" s="623">
        <v>15</v>
      </c>
      <c r="F34" s="714">
        <f t="shared" ca="1" si="2"/>
        <v>0</v>
      </c>
      <c r="T34" s="634" t="b">
        <f t="shared" si="3"/>
        <v>0</v>
      </c>
      <c r="X34" s="1405"/>
      <c r="Z34" s="1405"/>
      <c r="AB34" s="99" t="s">
        <v>537</v>
      </c>
      <c r="AC34" s="103" t="s">
        <v>1106</v>
      </c>
      <c r="AD34" s="387" t="s">
        <v>837</v>
      </c>
      <c r="AE34" s="40"/>
      <c r="AF34" s="40"/>
      <c r="AG34" s="40"/>
      <c r="AH34" s="293">
        <f t="shared" si="4"/>
        <v>0</v>
      </c>
      <c r="AI34" s="40"/>
      <c r="AJ34" s="40"/>
      <c r="AK34" s="40"/>
      <c r="AL34" s="293">
        <f t="shared" si="5"/>
        <v>0</v>
      </c>
      <c r="AM34" s="22"/>
      <c r="AN34" s="22"/>
      <c r="AO34" s="22"/>
      <c r="AR34" s="944" t="s">
        <v>1107</v>
      </c>
    </row>
    <row r="35" spans="5:48" ht="14.65" hidden="1" customHeight="1">
      <c r="E35" s="623">
        <v>15</v>
      </c>
      <c r="F35" s="714">
        <f t="shared" ca="1" si="2"/>
        <v>0</v>
      </c>
      <c r="T35" s="634" t="b">
        <f t="shared" si="3"/>
        <v>0</v>
      </c>
      <c r="X35" s="1405"/>
      <c r="Z35" s="1405"/>
      <c r="AB35" s="99" t="s">
        <v>539</v>
      </c>
      <c r="AC35" s="103" t="s">
        <v>1108</v>
      </c>
      <c r="AD35" s="387" t="s">
        <v>837</v>
      </c>
      <c r="AE35" s="40"/>
      <c r="AF35" s="40"/>
      <c r="AG35" s="40"/>
      <c r="AH35" s="293">
        <f t="shared" si="4"/>
        <v>0</v>
      </c>
      <c r="AI35" s="40"/>
      <c r="AJ35" s="40"/>
      <c r="AK35" s="40"/>
      <c r="AL35" s="293">
        <f t="shared" si="5"/>
        <v>0</v>
      </c>
      <c r="AM35" s="22"/>
      <c r="AN35" s="22"/>
      <c r="AO35" s="22"/>
      <c r="AR35" s="944" t="s">
        <v>1109</v>
      </c>
    </row>
    <row r="36" spans="5:48" ht="14.65" hidden="1" customHeight="1">
      <c r="E36" s="623">
        <v>15</v>
      </c>
      <c r="F36" s="714">
        <f t="shared" ca="1" si="2"/>
        <v>0</v>
      </c>
      <c r="T36" s="634" t="b">
        <f t="shared" si="3"/>
        <v>0</v>
      </c>
      <c r="X36" s="1405"/>
      <c r="Z36" s="1405"/>
      <c r="AB36" s="99" t="s">
        <v>1110</v>
      </c>
      <c r="AC36" s="103" t="s">
        <v>1111</v>
      </c>
      <c r="AD36" s="387" t="s">
        <v>837</v>
      </c>
      <c r="AE36" s="40"/>
      <c r="AF36" s="40"/>
      <c r="AG36" s="40"/>
      <c r="AH36" s="293">
        <f t="shared" si="4"/>
        <v>0</v>
      </c>
      <c r="AI36" s="40"/>
      <c r="AJ36" s="40"/>
      <c r="AK36" s="40"/>
      <c r="AL36" s="293">
        <f t="shared" si="5"/>
        <v>0</v>
      </c>
      <c r="AM36" s="22"/>
      <c r="AN36" s="22"/>
      <c r="AO36" s="22"/>
      <c r="AR36" s="944" t="s">
        <v>1112</v>
      </c>
    </row>
    <row r="37" spans="5:48" ht="23.45" hidden="1" customHeight="1">
      <c r="E37" s="623">
        <v>24</v>
      </c>
      <c r="F37" s="714">
        <f t="shared" ca="1" si="2"/>
        <v>0</v>
      </c>
      <c r="T37" s="634" t="b">
        <f t="shared" si="3"/>
        <v>0</v>
      </c>
      <c r="X37" s="1405"/>
      <c r="Z37" s="1405"/>
      <c r="AB37" s="99" t="s">
        <v>1113</v>
      </c>
      <c r="AC37" s="103" t="s">
        <v>1114</v>
      </c>
      <c r="AD37" s="387" t="s">
        <v>837</v>
      </c>
      <c r="AE37" s="40"/>
      <c r="AF37" s="40"/>
      <c r="AG37" s="40"/>
      <c r="AH37" s="293">
        <f t="shared" si="4"/>
        <v>0</v>
      </c>
      <c r="AI37" s="40"/>
      <c r="AJ37" s="40"/>
      <c r="AK37" s="40"/>
      <c r="AL37" s="293">
        <f t="shared" si="5"/>
        <v>0</v>
      </c>
      <c r="AM37" s="22"/>
      <c r="AN37" s="22"/>
      <c r="AO37" s="22"/>
      <c r="AR37" s="944" t="s">
        <v>1115</v>
      </c>
    </row>
    <row r="38" spans="5:48" ht="14.65" hidden="1" customHeight="1">
      <c r="E38" s="623">
        <v>15</v>
      </c>
      <c r="F38" s="714">
        <f t="shared" ca="1" si="2"/>
        <v>0</v>
      </c>
      <c r="T38" s="634" t="b">
        <f t="shared" si="3"/>
        <v>0</v>
      </c>
      <c r="X38" s="1405"/>
      <c r="Z38" s="1405"/>
      <c r="AB38" s="99" t="s">
        <v>1116</v>
      </c>
      <c r="AC38" s="103" t="s">
        <v>1117</v>
      </c>
      <c r="AD38" s="387" t="s">
        <v>837</v>
      </c>
      <c r="AE38" s="40"/>
      <c r="AF38" s="40"/>
      <c r="AG38" s="40"/>
      <c r="AH38" s="293">
        <f t="shared" si="4"/>
        <v>0</v>
      </c>
      <c r="AI38" s="40"/>
      <c r="AJ38" s="40"/>
      <c r="AK38" s="40"/>
      <c r="AL38" s="293">
        <f t="shared" si="5"/>
        <v>0</v>
      </c>
      <c r="AM38" s="22"/>
      <c r="AN38" s="22"/>
      <c r="AO38" s="22"/>
      <c r="AR38" s="944" t="s">
        <v>1118</v>
      </c>
    </row>
    <row r="39" spans="5:48" s="172" customFormat="1" ht="14.65" hidden="1" customHeight="1">
      <c r="E39" s="623">
        <v>15</v>
      </c>
      <c r="F39" s="714">
        <f t="shared" ca="1" si="2"/>
        <v>0</v>
      </c>
      <c r="T39" s="634" t="b">
        <f t="shared" si="3"/>
        <v>0</v>
      </c>
      <c r="X39" s="1499"/>
      <c r="Z39" s="1499"/>
      <c r="AB39" s="99" t="s">
        <v>541</v>
      </c>
      <c r="AC39" s="106" t="s">
        <v>1119</v>
      </c>
      <c r="AD39" s="387" t="s">
        <v>837</v>
      </c>
      <c r="AE39" s="40"/>
      <c r="AF39" s="40"/>
      <c r="AG39" s="40"/>
      <c r="AH39" s="293">
        <f t="shared" si="4"/>
        <v>0</v>
      </c>
      <c r="AI39" s="40"/>
      <c r="AJ39" s="40"/>
      <c r="AK39" s="40"/>
      <c r="AL39" s="293">
        <f t="shared" si="5"/>
        <v>0</v>
      </c>
      <c r="AM39" s="22"/>
      <c r="AN39" s="22"/>
      <c r="AO39" s="22"/>
      <c r="AR39" s="944" t="s">
        <v>1120</v>
      </c>
      <c r="AS39" s="952"/>
      <c r="AT39" s="952"/>
      <c r="AU39" s="953"/>
      <c r="AV39" s="953"/>
    </row>
    <row r="40" spans="5:48" ht="14.65" hidden="1" customHeight="1">
      <c r="E40" s="623">
        <v>15</v>
      </c>
      <c r="F40" s="714">
        <f t="shared" ca="1" si="2"/>
        <v>0</v>
      </c>
      <c r="T40" s="634" t="b">
        <f t="shared" si="3"/>
        <v>0</v>
      </c>
      <c r="X40" s="1405"/>
      <c r="Z40" s="1405"/>
      <c r="AB40" s="99" t="s">
        <v>549</v>
      </c>
      <c r="AC40" s="106" t="s">
        <v>1121</v>
      </c>
      <c r="AD40" s="387" t="s">
        <v>837</v>
      </c>
      <c r="AE40" s="40"/>
      <c r="AF40" s="40"/>
      <c r="AG40" s="40"/>
      <c r="AH40" s="293">
        <f t="shared" si="4"/>
        <v>0</v>
      </c>
      <c r="AI40" s="40"/>
      <c r="AJ40" s="40"/>
      <c r="AK40" s="40"/>
      <c r="AL40" s="293">
        <f t="shared" si="5"/>
        <v>0</v>
      </c>
      <c r="AM40" s="22"/>
      <c r="AN40" s="22"/>
      <c r="AO40" s="22"/>
      <c r="AR40" s="944" t="s">
        <v>1122</v>
      </c>
    </row>
    <row r="41" spans="5:48" ht="14.65" hidden="1" customHeight="1">
      <c r="E41" s="623">
        <v>15</v>
      </c>
      <c r="F41" s="714">
        <f t="shared" ca="1" si="2"/>
        <v>0</v>
      </c>
      <c r="G41" s="130" t="s">
        <v>982</v>
      </c>
      <c r="T41" s="634" t="b">
        <f t="shared" si="3"/>
        <v>0</v>
      </c>
      <c r="X41" s="1405"/>
      <c r="Z41" s="1405"/>
      <c r="AB41" s="99" t="s">
        <v>1123</v>
      </c>
      <c r="AC41" s="105" t="s">
        <v>1124</v>
      </c>
      <c r="AD41" s="387" t="s">
        <v>837</v>
      </c>
      <c r="AE41" s="293">
        <f ca="1">SUMIFS(Аренда!AE$26:AE$51,Аренда!$F$26:$F$51,$F41,Аренда!$G$26:$G$51,$G41)</f>
        <v>0</v>
      </c>
      <c r="AF41" s="293">
        <f ca="1">SUMIFS(Аренда!AF$26:AF$51,Аренда!$F$26:$F$51,$F41,Аренда!$G$26:$G$51,$G41)</f>
        <v>0</v>
      </c>
      <c r="AG41" s="40">
        <f ca="1">SUMIFS(Аренда!AG$26:AG$51,Аренда!$F$26:$F$51,$F41,Аренда!$G$26:$G$51,$G41)</f>
        <v>0</v>
      </c>
      <c r="AH41" s="293">
        <f t="shared" ca="1" si="4"/>
        <v>0</v>
      </c>
      <c r="AI41" s="293">
        <f ca="1">SUMIFS(Аренда!AH$26:AH$51,Аренда!$F$26:$F$51,$F41,Аренда!$G$26:$G$51,$G41)</f>
        <v>0</v>
      </c>
      <c r="AJ41" s="293">
        <f ca="1">SUMIFS(Аренда!AI$26:AI$51,Аренда!$F$26:$F$51,$F41,Аренда!$G$26:$G$51,$G41)</f>
        <v>0</v>
      </c>
      <c r="AK41" s="293">
        <f ca="1">SUMIFS(Аренда!AS$26:AS$51,Аренда!$F$26:$F$51,$F41,Аренда!$G$26:$G$51,$G41)</f>
        <v>0</v>
      </c>
      <c r="AL41" s="293">
        <f t="shared" ca="1" si="5"/>
        <v>0</v>
      </c>
      <c r="AM41" s="22"/>
      <c r="AN41" s="22"/>
      <c r="AO41" s="22"/>
      <c r="AR41" s="944" t="s">
        <v>1125</v>
      </c>
    </row>
    <row r="42" spans="5:48" s="172" customFormat="1" ht="14.65" hidden="1" customHeight="1">
      <c r="E42" s="623">
        <v>15</v>
      </c>
      <c r="F42" s="714">
        <f t="shared" ca="1" si="2"/>
        <v>0</v>
      </c>
      <c r="G42" s="130" t="s">
        <v>969</v>
      </c>
      <c r="T42" s="634" t="b">
        <f t="shared" si="3"/>
        <v>0</v>
      </c>
      <c r="X42" s="1499"/>
      <c r="Z42" s="1499"/>
      <c r="AB42" s="99" t="s">
        <v>1126</v>
      </c>
      <c r="AC42" s="105" t="s">
        <v>1127</v>
      </c>
      <c r="AD42" s="387" t="s">
        <v>837</v>
      </c>
      <c r="AE42" s="293">
        <f ca="1">SUMIFS(Аренда!AE$26:AE$51,Аренда!$F$26:$F$51,$F42,Аренда!$G$26:$G$51,$G42)</f>
        <v>0</v>
      </c>
      <c r="AF42" s="293">
        <f ca="1">SUMIFS(Аренда!AF$26:AF$51,Аренда!$F$26:$F$51,$F42,Аренда!$G$26:$G$51,$G42)</f>
        <v>0</v>
      </c>
      <c r="AG42" s="40">
        <f ca="1">SUMIFS(Аренда!AG$26:AG$51,Аренда!$F$26:$F$51,$F42,Аренда!$G$26:$G$51,$G42)</f>
        <v>0</v>
      </c>
      <c r="AH42" s="293">
        <f t="shared" ca="1" si="4"/>
        <v>0</v>
      </c>
      <c r="AI42" s="293">
        <f ca="1">SUMIFS(Аренда!AH$26:AH$51,Аренда!$F$26:$F$51,$F42,Аренда!$G$26:$G$51,$G42)</f>
        <v>0</v>
      </c>
      <c r="AJ42" s="293">
        <f ca="1">SUMIFS(Аренда!AI$26:AI$51,Аренда!$F$26:$F$51,$F42,Аренда!$G$26:$G$51,$G42)</f>
        <v>0</v>
      </c>
      <c r="AK42" s="293">
        <f ca="1">SUMIFS(Аренда!AS$26:AS$51,Аренда!$F$26:$F$51,$F42,Аренда!$G$26:$G$51,$G42)</f>
        <v>0</v>
      </c>
      <c r="AL42" s="293">
        <f t="shared" ca="1" si="5"/>
        <v>0</v>
      </c>
      <c r="AM42" s="22"/>
      <c r="AN42" s="22"/>
      <c r="AO42" s="22"/>
      <c r="AR42" s="944" t="s">
        <v>972</v>
      </c>
      <c r="AS42" s="952"/>
      <c r="AT42" s="952"/>
      <c r="AU42" s="953"/>
      <c r="AV42" s="953"/>
    </row>
    <row r="43" spans="5:48" ht="29.25" hidden="1" customHeight="1">
      <c r="E43" s="623">
        <v>30</v>
      </c>
      <c r="F43" s="714">
        <f t="shared" ca="1" si="2"/>
        <v>0</v>
      </c>
      <c r="T43" s="634" t="b">
        <f t="shared" si="3"/>
        <v>0</v>
      </c>
      <c r="X43" s="1405"/>
      <c r="Z43" s="1405"/>
      <c r="AB43" s="99" t="s">
        <v>1128</v>
      </c>
      <c r="AC43" s="106" t="s">
        <v>1129</v>
      </c>
      <c r="AD43" s="387" t="s">
        <v>837</v>
      </c>
      <c r="AE43" s="293">
        <f>SUM(AE44:AE46)</f>
        <v>0</v>
      </c>
      <c r="AF43" s="293">
        <f>SUM(AF44:AF46)</f>
        <v>0</v>
      </c>
      <c r="AG43" s="40">
        <f>SUM(AG44:AG46)</f>
        <v>0</v>
      </c>
      <c r="AH43" s="293">
        <f t="shared" si="4"/>
        <v>0</v>
      </c>
      <c r="AI43" s="293">
        <f>SUM(AI44:AI46)</f>
        <v>0</v>
      </c>
      <c r="AJ43" s="293">
        <f>SUM(AJ44:AJ46)</f>
        <v>0</v>
      </c>
      <c r="AK43" s="293">
        <f>SUM(AK44:AK46)</f>
        <v>0</v>
      </c>
      <c r="AL43" s="293">
        <f t="shared" si="5"/>
        <v>0</v>
      </c>
      <c r="AM43" s="22"/>
      <c r="AN43" s="22"/>
      <c r="AO43" s="22"/>
      <c r="AR43" s="944" t="s">
        <v>1085</v>
      </c>
    </row>
    <row r="44" spans="5:48" ht="11.25" hidden="1" customHeight="1">
      <c r="E44" s="623">
        <v>0</v>
      </c>
      <c r="F44" s="714">
        <f t="shared" ca="1" si="2"/>
        <v>0</v>
      </c>
      <c r="T44" s="634" t="b">
        <f t="shared" si="3"/>
        <v>0</v>
      </c>
      <c r="X44" s="1405"/>
      <c r="Z44" s="1405"/>
      <c r="AB44" s="99"/>
      <c r="AC44" s="103"/>
      <c r="AD44" s="387"/>
      <c r="AE44" s="387"/>
      <c r="AF44" s="387"/>
      <c r="AG44" s="387"/>
      <c r="AH44" s="387"/>
      <c r="AI44" s="387"/>
      <c r="AJ44" s="387"/>
      <c r="AK44" s="387"/>
      <c r="AL44" s="387"/>
      <c r="AM44" s="110"/>
      <c r="AN44" s="110"/>
      <c r="AO44" s="110"/>
      <c r="AR44" s="944" t="str">
        <f>IF(AND(ISNUMBER(VALUE(TRIM(SUBSTITUTE(AB44,".","")))),TRIM(SUBSTITUTE(AB44,".",""))&lt;&gt;""),"P"&amp;SUBSTITUTE(AB44,".",""),"")</f>
        <v/>
      </c>
    </row>
    <row r="45" spans="5:48" ht="14.65" hidden="1" customHeight="1">
      <c r="E45" s="623">
        <v>15</v>
      </c>
      <c r="F45" s="714">
        <f t="shared" ca="1" si="2"/>
        <v>0</v>
      </c>
      <c r="T45" s="634" t="b">
        <f ca="1">AND(F45&gt;0,Y45&gt;0)</f>
        <v>0</v>
      </c>
      <c r="W45" s="113" t="s">
        <v>170</v>
      </c>
      <c r="X45" s="1405"/>
      <c r="Y45" s="113">
        <v>0</v>
      </c>
      <c r="Z45" s="1405"/>
      <c r="AA45" s="865" t="s">
        <v>157</v>
      </c>
      <c r="AB45" s="489" t="str">
        <f>"10."&amp;Y45</f>
        <v>10.0</v>
      </c>
      <c r="AC45" s="55"/>
      <c r="AD45" s="393" t="s">
        <v>837</v>
      </c>
      <c r="AE45" s="56"/>
      <c r="AF45" s="56"/>
      <c r="AG45" s="56"/>
      <c r="AH45" s="431">
        <f>AG45-AF45</f>
        <v>0</v>
      </c>
      <c r="AI45" s="56"/>
      <c r="AJ45" s="56"/>
      <c r="AK45" s="56"/>
      <c r="AL45" s="431">
        <f>IF(AI45=0,0,(AK45-AI45)/AI45*100)</f>
        <v>0</v>
      </c>
      <c r="AM45" s="18"/>
      <c r="AN45" s="18"/>
      <c r="AO45" s="18"/>
      <c r="AR45" s="944" t="s">
        <v>1085</v>
      </c>
      <c r="AS45" s="944" t="s">
        <v>1015</v>
      </c>
      <c r="AT45" s="954">
        <f>AC45</f>
        <v>0</v>
      </c>
      <c r="AV45" s="945" t="b">
        <v>1</v>
      </c>
    </row>
    <row r="46" spans="5:48" ht="13.7" hidden="1" customHeight="1">
      <c r="E46" s="623">
        <v>14.1</v>
      </c>
      <c r="F46" s="714">
        <f t="shared" ca="1" si="2"/>
        <v>0</v>
      </c>
      <c r="T46" s="634" t="b">
        <f ca="1">F46&gt;0</f>
        <v>0</v>
      </c>
      <c r="W46" s="291" t="s">
        <v>399</v>
      </c>
      <c r="X46" s="1405"/>
      <c r="Z46" s="1405"/>
      <c r="AB46" s="558"/>
      <c r="AC46" s="562" t="s">
        <v>172</v>
      </c>
      <c r="AD46" s="559"/>
      <c r="AE46" s="560"/>
      <c r="AF46" s="560"/>
      <c r="AG46" s="560"/>
      <c r="AH46" s="560"/>
      <c r="AI46" s="560"/>
      <c r="AJ46" s="560"/>
      <c r="AK46" s="560"/>
      <c r="AL46" s="560"/>
      <c r="AM46" s="853"/>
      <c r="AN46" s="853"/>
      <c r="AO46" s="854"/>
      <c r="AR46" s="944" t="str">
        <f>IF(AND(ISNUMBER(VALUE(TRIM(SUBSTITUTE(AB46,".","")))),TRIM(SUBSTITUTE(AB46,".",""))&lt;&gt;""),"P"&amp;SUBSTITUTE(AB46,".",""),"")</f>
        <v/>
      </c>
      <c r="AU46" s="945" t="s">
        <v>1015</v>
      </c>
    </row>
    <row r="47" spans="5:48" ht="13.7" hidden="1" customHeight="1">
      <c r="E47" s="623">
        <v>14.1</v>
      </c>
      <c r="F47" s="714">
        <f t="shared" ca="1" si="2"/>
        <v>0</v>
      </c>
      <c r="T47" s="634" t="b">
        <f ca="1">F47&gt;0</f>
        <v>0</v>
      </c>
      <c r="X47" s="1405"/>
      <c r="Z47" s="1405"/>
      <c r="AB47" s="490" t="s">
        <v>1130</v>
      </c>
      <c r="AC47" s="842" t="s">
        <v>1131</v>
      </c>
      <c r="AD47" s="434" t="s">
        <v>837</v>
      </c>
      <c r="AE47" s="492">
        <f>SUM(AE48:AE50)</f>
        <v>0</v>
      </c>
      <c r="AF47" s="492">
        <f>SUM(AF48:AF50)</f>
        <v>0</v>
      </c>
      <c r="AG47" s="57">
        <f>SUM(AG48:AG50)</f>
        <v>0</v>
      </c>
      <c r="AH47" s="492">
        <f>AG47-AF47</f>
        <v>0</v>
      </c>
      <c r="AI47" s="492">
        <f>SUM(AI48:AI50)</f>
        <v>0</v>
      </c>
      <c r="AJ47" s="492">
        <f>SUM(AJ48:AJ50)</f>
        <v>0</v>
      </c>
      <c r="AK47" s="492">
        <f>SUM(AK48:AK50)</f>
        <v>0</v>
      </c>
      <c r="AL47" s="492">
        <f>IF(AI47=0,0,(AK47-AI47)/AI47*100)</f>
        <v>0</v>
      </c>
      <c r="AM47" s="26"/>
      <c r="AN47" s="26"/>
      <c r="AO47" s="26"/>
      <c r="AR47" s="944" t="s">
        <v>1132</v>
      </c>
    </row>
    <row r="48" spans="5:48" ht="11.25" hidden="1" customHeight="1">
      <c r="E48" s="623">
        <v>0</v>
      </c>
      <c r="F48" s="714">
        <f t="shared" ca="1" si="2"/>
        <v>0</v>
      </c>
      <c r="T48" s="634" t="b">
        <f ca="1">F48&gt;0</f>
        <v>0</v>
      </c>
      <c r="X48" s="1405"/>
      <c r="Z48" s="1405"/>
      <c r="AB48" s="489"/>
      <c r="AC48" s="514"/>
      <c r="AD48" s="515"/>
      <c r="AE48" s="387"/>
      <c r="AF48" s="387"/>
      <c r="AG48" s="387"/>
      <c r="AI48" s="387"/>
      <c r="AJ48" s="387"/>
      <c r="AK48" s="387"/>
      <c r="AR48" s="944" t="str">
        <f>IF(AND(ISNUMBER(VALUE(TRIM(SUBSTITUTE(AB48,".","")))),TRIM(SUBSTITUTE(AB48,".",""))&lt;&gt;""),"P"&amp;SUBSTITUTE(AB48,".",""),"")</f>
        <v/>
      </c>
    </row>
    <row r="49" spans="1:48" ht="13.7" hidden="1" customHeight="1">
      <c r="E49" s="623">
        <v>14.1</v>
      </c>
      <c r="F49" s="714">
        <f t="shared" ca="1" si="2"/>
        <v>0</v>
      </c>
      <c r="T49" s="634" t="b">
        <f ca="1">AND(F49&gt;0,Y49&gt;0)</f>
        <v>0</v>
      </c>
      <c r="W49" s="113" t="s">
        <v>170</v>
      </c>
      <c r="X49" s="1405"/>
      <c r="Y49" s="113">
        <v>0</v>
      </c>
      <c r="Z49" s="1405"/>
      <c r="AA49" s="865" t="s">
        <v>157</v>
      </c>
      <c r="AB49" s="489" t="str">
        <f>"11."&amp;Y49</f>
        <v>11.0</v>
      </c>
      <c r="AC49" s="52"/>
      <c r="AD49" s="111" t="s">
        <v>837</v>
      </c>
      <c r="AE49" s="40"/>
      <c r="AF49" s="40"/>
      <c r="AG49" s="40"/>
      <c r="AH49" s="293">
        <f>AG49-AF49</f>
        <v>0</v>
      </c>
      <c r="AI49" s="40"/>
      <c r="AJ49" s="40"/>
      <c r="AK49" s="40"/>
      <c r="AL49" s="293">
        <f>IF(AI49=0,0,(AK49-AI49)/AI49*100)</f>
        <v>0</v>
      </c>
      <c r="AM49" s="22"/>
      <c r="AN49" s="22"/>
      <c r="AO49" s="22"/>
      <c r="AR49" s="944" t="s">
        <v>1132</v>
      </c>
      <c r="AS49" s="944" t="s">
        <v>1133</v>
      </c>
      <c r="AT49" s="954">
        <f>AC49</f>
        <v>0</v>
      </c>
      <c r="AV49" s="945" t="b">
        <v>1</v>
      </c>
    </row>
    <row r="50" spans="1:48" ht="13.7" hidden="1" customHeight="1">
      <c r="E50" s="623">
        <v>14.1</v>
      </c>
      <c r="F50" s="714">
        <f t="shared" ca="1" si="2"/>
        <v>0</v>
      </c>
      <c r="T50" s="634" t="b">
        <f ca="1">F50&gt;0</f>
        <v>0</v>
      </c>
      <c r="W50" s="291" t="s">
        <v>519</v>
      </c>
      <c r="X50" s="1405"/>
      <c r="Z50" s="1405"/>
      <c r="AB50" s="558"/>
      <c r="AC50" s="562" t="s">
        <v>172</v>
      </c>
      <c r="AD50" s="559"/>
      <c r="AE50" s="561"/>
      <c r="AF50" s="561"/>
      <c r="AG50" s="561"/>
      <c r="AH50" s="561"/>
      <c r="AI50" s="561"/>
      <c r="AJ50" s="561"/>
      <c r="AK50" s="561"/>
      <c r="AL50" s="561"/>
      <c r="AM50" s="561"/>
      <c r="AN50" s="561"/>
      <c r="AO50" s="561"/>
      <c r="AU50" s="945" t="s">
        <v>1133</v>
      </c>
    </row>
    <row r="51" spans="1:48" s="1167" customFormat="1" ht="13.5" customHeight="1">
      <c r="A51" s="157"/>
      <c r="B51" s="157"/>
      <c r="C51" s="157"/>
      <c r="D51" s="157"/>
      <c r="E51" s="623">
        <v>14.1</v>
      </c>
      <c r="F51" s="714" t="str">
        <f>X51</f>
        <v>1</v>
      </c>
      <c r="G51" s="130" t="str">
        <f>INDEX('Общие сведения'!$AK$169:$AK$202,MATCH($F51,'Общие сведения'!$Z$169:$Z$202,0))</f>
        <v>одноставочный</v>
      </c>
      <c r="H51" s="157"/>
      <c r="I51" s="150" t="str">
        <f>INDEX('Общие сведения'!$AE$169:$AE$202,MATCH($F51,'Общие сведения'!$Z$169:$Z$202,0))</f>
        <v>Теплоснабжение</v>
      </c>
      <c r="J51" s="157"/>
      <c r="K51" s="157"/>
      <c r="L51" s="157"/>
      <c r="M51" s="157"/>
      <c r="N51" s="157"/>
      <c r="O51" s="157"/>
      <c r="P51" s="157"/>
      <c r="Q51" s="157"/>
      <c r="R51" s="157"/>
      <c r="S51" s="157"/>
      <c r="T51" s="645" t="b">
        <f>X51&gt;0</f>
        <v>1</v>
      </c>
      <c r="U51" s="157"/>
      <c r="V51" s="113" t="str">
        <f>Налоги!$AB$41</f>
        <v>Тариф 1 (Теплоснабжение) - Тарифы на теплоноситель (Не определено)</v>
      </c>
      <c r="W51" s="157"/>
      <c r="X51" s="1405" t="s">
        <v>247</v>
      </c>
      <c r="Y51" s="157"/>
      <c r="Z51" s="1403"/>
      <c r="AA51" s="157"/>
      <c r="AB51" s="252" t="str">
        <f>IF(ISBLANK(Налоги!$AB$41),"",Налоги!$AB$41)</f>
        <v>Тариф 1 (Теплоснабжение) - Тарифы на теплоноситель (Не определено)</v>
      </c>
      <c r="AC51" s="253"/>
      <c r="AD51" s="253"/>
      <c r="AE51" s="253"/>
      <c r="AF51" s="253"/>
      <c r="AG51" s="253"/>
      <c r="AH51" s="253"/>
      <c r="AI51" s="253"/>
      <c r="AJ51" s="253"/>
      <c r="AK51" s="253"/>
      <c r="AL51" s="253"/>
      <c r="AM51" s="253"/>
      <c r="AN51" s="253"/>
      <c r="AO51" s="253"/>
      <c r="AP51" s="157"/>
      <c r="AQ51" s="157"/>
      <c r="AR51" s="912"/>
      <c r="AS51" s="912"/>
      <c r="AT51" s="912"/>
      <c r="AU51" s="915"/>
      <c r="AV51" s="915"/>
    </row>
    <row r="52" spans="1:48" s="1168" customFormat="1" ht="13.5" customHeight="1">
      <c r="A52" s="171"/>
      <c r="B52" s="171"/>
      <c r="C52" s="171"/>
      <c r="D52" s="171"/>
      <c r="E52" s="629">
        <v>14.1</v>
      </c>
      <c r="F52" s="714" t="str">
        <f t="shared" ref="F52:F74" ca="1" si="6">OFFSET(G52,-1,-1)</f>
        <v>1</v>
      </c>
      <c r="G52" s="723" t="s">
        <v>1094</v>
      </c>
      <c r="H52" s="171"/>
      <c r="I52" s="171"/>
      <c r="J52" s="171"/>
      <c r="K52" s="167" t="str">
        <f ca="1">F52&amp;"komm"</f>
        <v>1komm</v>
      </c>
      <c r="L52" s="171">
        <f>AN52</f>
        <v>0</v>
      </c>
      <c r="M52" s="171"/>
      <c r="N52" s="171"/>
      <c r="O52" s="171"/>
      <c r="P52" s="171"/>
      <c r="Q52" s="171"/>
      <c r="R52" s="171"/>
      <c r="S52" s="171"/>
      <c r="T52" s="634" t="b">
        <f t="shared" ref="T52:T68" si="7">T51</f>
        <v>1</v>
      </c>
      <c r="U52" s="171"/>
      <c r="V52" s="171"/>
      <c r="W52" s="171"/>
      <c r="X52" s="1497"/>
      <c r="Y52" s="171"/>
      <c r="Z52" s="1497"/>
      <c r="AA52" s="171"/>
      <c r="AB52" s="1501" t="s">
        <v>1095</v>
      </c>
      <c r="AC52" s="1502"/>
      <c r="AD52" s="239" t="s">
        <v>648</v>
      </c>
      <c r="AE52" s="1169">
        <f ca="1">SUM(AE53:AE57)+SUM(AE63:AE67)+AE71</f>
        <v>0</v>
      </c>
      <c r="AF52" s="1169">
        <f ca="1">SUM(AF53:AF57)+SUM(AF63:AF67)+AF71</f>
        <v>0</v>
      </c>
      <c r="AG52" s="1169">
        <f ca="1">SUM(AG53:AG57)+SUM(AG63:AG67)+AG71</f>
        <v>0</v>
      </c>
      <c r="AH52" s="1169">
        <f t="shared" ref="AH52:AH67" ca="1" si="8">AG52-AF52</f>
        <v>0</v>
      </c>
      <c r="AI52" s="1169">
        <f ca="1">SUM(AI53:AI57)+SUM(AI63:AI67)+AI71</f>
        <v>0</v>
      </c>
      <c r="AJ52" s="1169">
        <f ca="1">SUM(AJ53:AJ57)+SUM(AJ63:AJ67)+AJ71</f>
        <v>0</v>
      </c>
      <c r="AK52" s="1169">
        <f ca="1">SUM(AK53:AK57)+SUM(AK63:AK67)+AK71</f>
        <v>0</v>
      </c>
      <c r="AL52" s="292">
        <f t="shared" ref="AL52:AL67" ca="1" si="9">IF(AI52=0,0,(AK52-AI52)/AI52*100)</f>
        <v>0</v>
      </c>
      <c r="AM52" s="1106"/>
      <c r="AN52" s="1106"/>
      <c r="AO52" s="1106"/>
      <c r="AP52" s="171"/>
      <c r="AQ52" s="171"/>
      <c r="AR52" s="944" t="s">
        <v>1096</v>
      </c>
      <c r="AS52" s="950"/>
      <c r="AT52" s="950"/>
      <c r="AU52" s="951"/>
      <c r="AV52" s="951"/>
    </row>
    <row r="53" spans="1:48" s="1057" customFormat="1" ht="29.25" customHeight="1">
      <c r="A53" s="988"/>
      <c r="B53" s="718"/>
      <c r="C53" s="165"/>
      <c r="D53" s="165"/>
      <c r="E53" s="623">
        <v>30</v>
      </c>
      <c r="F53" s="714" t="str">
        <f t="shared" ca="1" si="6"/>
        <v>1</v>
      </c>
      <c r="G53" s="167"/>
      <c r="H53" s="167"/>
      <c r="I53" s="167"/>
      <c r="J53" s="167"/>
      <c r="K53" s="167"/>
      <c r="L53" s="167"/>
      <c r="M53" s="167"/>
      <c r="N53" s="167"/>
      <c r="O53" s="167"/>
      <c r="P53" s="167"/>
      <c r="Q53" s="130"/>
      <c r="R53" s="130"/>
      <c r="S53" s="167"/>
      <c r="T53" s="634" t="b">
        <f t="shared" si="7"/>
        <v>1</v>
      </c>
      <c r="U53" s="1012"/>
      <c r="V53" s="1012"/>
      <c r="W53" s="1012"/>
      <c r="X53" s="1405"/>
      <c r="Y53" s="1012"/>
      <c r="Z53" s="1405"/>
      <c r="AA53" s="167"/>
      <c r="AB53" s="99">
        <v>1</v>
      </c>
      <c r="AC53" s="106" t="s">
        <v>1097</v>
      </c>
      <c r="AD53" s="434" t="s">
        <v>837</v>
      </c>
      <c r="AE53" s="1170"/>
      <c r="AF53" s="1170"/>
      <c r="AG53" s="1170"/>
      <c r="AH53" s="298">
        <f t="shared" si="8"/>
        <v>0</v>
      </c>
      <c r="AI53" s="1170"/>
      <c r="AJ53" s="1170"/>
      <c r="AK53" s="1170"/>
      <c r="AL53" s="293">
        <f t="shared" si="9"/>
        <v>0</v>
      </c>
      <c r="AM53" s="1106"/>
      <c r="AN53" s="1106"/>
      <c r="AO53" s="1106"/>
      <c r="AP53" s="167"/>
      <c r="AQ53" s="167"/>
      <c r="AR53" s="944" t="s">
        <v>1098</v>
      </c>
      <c r="AS53" s="944"/>
      <c r="AT53" s="944"/>
      <c r="AU53" s="945"/>
      <c r="AV53" s="945"/>
    </row>
    <row r="54" spans="1:48" s="1171" customFormat="1" ht="14.25" customHeight="1">
      <c r="A54" s="170"/>
      <c r="B54" s="170"/>
      <c r="C54" s="170"/>
      <c r="D54" s="170"/>
      <c r="E54" s="629">
        <v>15</v>
      </c>
      <c r="F54" s="714" t="str">
        <f t="shared" ca="1" si="6"/>
        <v>1</v>
      </c>
      <c r="G54" s="170"/>
      <c r="H54" s="170"/>
      <c r="I54" s="170"/>
      <c r="J54" s="170"/>
      <c r="K54" s="170"/>
      <c r="L54" s="170"/>
      <c r="M54" s="170"/>
      <c r="N54" s="170"/>
      <c r="O54" s="170"/>
      <c r="P54" s="170"/>
      <c r="Q54" s="170"/>
      <c r="R54" s="170"/>
      <c r="S54" s="170"/>
      <c r="T54" s="634" t="b">
        <f t="shared" si="7"/>
        <v>1</v>
      </c>
      <c r="U54" s="170"/>
      <c r="V54" s="170"/>
      <c r="W54" s="170"/>
      <c r="X54" s="1498"/>
      <c r="Y54" s="170"/>
      <c r="Z54" s="1498"/>
      <c r="AA54" s="170"/>
      <c r="AB54" s="99">
        <v>2</v>
      </c>
      <c r="AC54" s="106" t="s">
        <v>1099</v>
      </c>
      <c r="AD54" s="434" t="s">
        <v>837</v>
      </c>
      <c r="AE54" s="1170"/>
      <c r="AF54" s="1170"/>
      <c r="AG54" s="1170"/>
      <c r="AH54" s="293">
        <f t="shared" si="8"/>
        <v>0</v>
      </c>
      <c r="AI54" s="1170"/>
      <c r="AJ54" s="1170"/>
      <c r="AK54" s="1170"/>
      <c r="AL54" s="293">
        <f t="shared" si="9"/>
        <v>0</v>
      </c>
      <c r="AM54" s="1106"/>
      <c r="AN54" s="1106"/>
      <c r="AO54" s="1106"/>
      <c r="AP54" s="170"/>
      <c r="AQ54" s="170"/>
      <c r="AR54" s="944" t="s">
        <v>1100</v>
      </c>
      <c r="AS54" s="950"/>
      <c r="AT54" s="950"/>
      <c r="AU54" s="951"/>
      <c r="AV54" s="951"/>
    </row>
    <row r="55" spans="1:48" s="1057" customFormat="1" ht="14.25" customHeight="1">
      <c r="A55" s="988"/>
      <c r="B55" s="718"/>
      <c r="C55" s="165"/>
      <c r="D55" s="165"/>
      <c r="E55" s="623">
        <v>15</v>
      </c>
      <c r="F55" s="714" t="str">
        <f t="shared" ca="1" si="6"/>
        <v>1</v>
      </c>
      <c r="G55" s="130" t="s">
        <v>46</v>
      </c>
      <c r="H55" s="167"/>
      <c r="I55" s="167"/>
      <c r="J55" s="167"/>
      <c r="K55" s="167"/>
      <c r="L55" s="167"/>
      <c r="M55" s="167"/>
      <c r="N55" s="167"/>
      <c r="O55" s="167"/>
      <c r="P55" s="167"/>
      <c r="Q55" s="130"/>
      <c r="R55" s="130"/>
      <c r="S55" s="167"/>
      <c r="T55" s="634" t="b">
        <f t="shared" si="7"/>
        <v>1</v>
      </c>
      <c r="U55" s="1012"/>
      <c r="V55" s="1012"/>
      <c r="W55" s="1012"/>
      <c r="X55" s="1405"/>
      <c r="Y55" s="1012"/>
      <c r="Z55" s="1405"/>
      <c r="AA55" s="167"/>
      <c r="AB55" s="99">
        <v>3</v>
      </c>
      <c r="AC55" s="105" t="s">
        <v>47</v>
      </c>
      <c r="AD55" s="387" t="s">
        <v>837</v>
      </c>
      <c r="AE55" s="1142">
        <f ca="1">SUMIFS(ФОТ!AE$26:AE$77,ФОТ!$F$26:$F$77,$F55,ФОТ!$G$26:$G$77,$G55)</f>
        <v>0</v>
      </c>
      <c r="AF55" s="1142">
        <f ca="1">SUMIFS(ФОТ!AF$26:AF$77,ФОТ!$F$26:$F$77,$F55,ФОТ!$G$26:$G$77,$G55)</f>
        <v>0</v>
      </c>
      <c r="AG55" s="1142">
        <f ca="1">SUMIFS(ФОТ!AG$26:AG$77,ФОТ!$F$26:$F$77,$F55,ФОТ!$G$26:$G$77,$G55)</f>
        <v>0</v>
      </c>
      <c r="AH55" s="293">
        <f t="shared" ca="1" si="8"/>
        <v>0</v>
      </c>
      <c r="AI55" s="1142">
        <f ca="1">SUMIFS(ФОТ!AH$26:AH$77,ФОТ!$F$26:$F$77,$F55,ФОТ!$G$26:$G$77,$G55)</f>
        <v>0</v>
      </c>
      <c r="AJ55" s="293">
        <f ca="1">SUMIFS(ФОТ!AI$26:AI$77,ФОТ!$F$26:$F$77,$F55,ФОТ!$G$26:$G$77,$G55)</f>
        <v>0</v>
      </c>
      <c r="AK55" s="293">
        <f ca="1">SUMIFS(ФОТ!AJ$26:AJ$77,ФОТ!$F$26:$F$77,$F55,ФОТ!$G$26:$G$77,$G55)</f>
        <v>0</v>
      </c>
      <c r="AL55" s="293">
        <f t="shared" ca="1" si="9"/>
        <v>0</v>
      </c>
      <c r="AM55" s="1106"/>
      <c r="AN55" s="1106"/>
      <c r="AO55" s="1106"/>
      <c r="AP55" s="167"/>
      <c r="AQ55" s="167"/>
      <c r="AR55" s="944" t="s">
        <v>1101</v>
      </c>
      <c r="AS55" s="944"/>
      <c r="AT55" s="944"/>
      <c r="AU55" s="945"/>
      <c r="AV55" s="945"/>
    </row>
    <row r="56" spans="1:48" s="1057" customFormat="1" ht="52.5" customHeight="1">
      <c r="A56" s="988"/>
      <c r="B56" s="718"/>
      <c r="C56" s="165"/>
      <c r="D56" s="165"/>
      <c r="E56" s="623">
        <v>54</v>
      </c>
      <c r="F56" s="714" t="str">
        <f t="shared" ca="1" si="6"/>
        <v>1</v>
      </c>
      <c r="G56" s="167"/>
      <c r="H56" s="167"/>
      <c r="I56" s="167"/>
      <c r="J56" s="167"/>
      <c r="K56" s="167"/>
      <c r="L56" s="167"/>
      <c r="M56" s="167"/>
      <c r="N56" s="167"/>
      <c r="O56" s="167"/>
      <c r="P56" s="167"/>
      <c r="Q56" s="130"/>
      <c r="R56" s="130"/>
      <c r="S56" s="167"/>
      <c r="T56" s="634" t="b">
        <f t="shared" si="7"/>
        <v>1</v>
      </c>
      <c r="U56" s="1012"/>
      <c r="V56" s="1012"/>
      <c r="W56" s="1012"/>
      <c r="X56" s="1405"/>
      <c r="Y56" s="1012"/>
      <c r="Z56" s="1405"/>
      <c r="AA56" s="167"/>
      <c r="AB56" s="99">
        <v>4</v>
      </c>
      <c r="AC56" s="106" t="s">
        <v>1102</v>
      </c>
      <c r="AD56" s="387" t="s">
        <v>837</v>
      </c>
      <c r="AE56" s="1142"/>
      <c r="AF56" s="1142"/>
      <c r="AG56" s="1142"/>
      <c r="AH56" s="293">
        <f t="shared" si="8"/>
        <v>0</v>
      </c>
      <c r="AI56" s="1142"/>
      <c r="AJ56" s="1142"/>
      <c r="AK56" s="1142"/>
      <c r="AL56" s="293">
        <f t="shared" si="9"/>
        <v>0</v>
      </c>
      <c r="AM56" s="1106"/>
      <c r="AN56" s="1106"/>
      <c r="AO56" s="1106"/>
      <c r="AP56" s="167"/>
      <c r="AQ56" s="167"/>
      <c r="AR56" s="944" t="s">
        <v>1103</v>
      </c>
      <c r="AS56" s="944"/>
      <c r="AT56" s="944"/>
      <c r="AU56" s="945"/>
      <c r="AV56" s="945"/>
    </row>
    <row r="57" spans="1:48" s="1057" customFormat="1" ht="30" customHeight="1">
      <c r="A57" s="988"/>
      <c r="B57" s="718"/>
      <c r="C57" s="165"/>
      <c r="D57" s="165"/>
      <c r="E57" s="623">
        <v>31.5</v>
      </c>
      <c r="F57" s="714" t="str">
        <f t="shared" ca="1" si="6"/>
        <v>1</v>
      </c>
      <c r="G57" s="167"/>
      <c r="H57" s="167"/>
      <c r="I57" s="167"/>
      <c r="J57" s="167"/>
      <c r="K57" s="167"/>
      <c r="L57" s="167"/>
      <c r="M57" s="167"/>
      <c r="N57" s="167"/>
      <c r="O57" s="167"/>
      <c r="P57" s="167"/>
      <c r="Q57" s="130"/>
      <c r="R57" s="130"/>
      <c r="S57" s="167"/>
      <c r="T57" s="634" t="b">
        <f t="shared" si="7"/>
        <v>1</v>
      </c>
      <c r="U57" s="1012"/>
      <c r="V57" s="1012"/>
      <c r="W57" s="1012"/>
      <c r="X57" s="1405"/>
      <c r="Y57" s="1012"/>
      <c r="Z57" s="1405"/>
      <c r="AA57" s="167"/>
      <c r="AB57" s="99">
        <v>5</v>
      </c>
      <c r="AC57" s="106" t="s">
        <v>1104</v>
      </c>
      <c r="AD57" s="387" t="s">
        <v>837</v>
      </c>
      <c r="AE57" s="293">
        <f>SUM(AE58:AE62)</f>
        <v>0</v>
      </c>
      <c r="AF57" s="293">
        <f>SUM(AF58:AF62)</f>
        <v>0</v>
      </c>
      <c r="AG57" s="1142">
        <f>SUM(AG58:AG62)</f>
        <v>0</v>
      </c>
      <c r="AH57" s="293">
        <f t="shared" si="8"/>
        <v>0</v>
      </c>
      <c r="AI57" s="293">
        <f>SUM(AI58:AI62)</f>
        <v>0</v>
      </c>
      <c r="AJ57" s="293">
        <f>SUM(AJ58:AJ62)</f>
        <v>0</v>
      </c>
      <c r="AK57" s="293">
        <f>SUM(AK58:AK62)</f>
        <v>0</v>
      </c>
      <c r="AL57" s="293">
        <f t="shared" si="9"/>
        <v>0</v>
      </c>
      <c r="AM57" s="1106"/>
      <c r="AN57" s="1106"/>
      <c r="AO57" s="1106"/>
      <c r="AP57" s="167"/>
      <c r="AQ57" s="167"/>
      <c r="AR57" s="944" t="s">
        <v>1105</v>
      </c>
      <c r="AS57" s="944"/>
      <c r="AT57" s="944"/>
      <c r="AU57" s="945"/>
      <c r="AV57" s="945"/>
    </row>
    <row r="58" spans="1:48" s="1057" customFormat="1" ht="14.25" customHeight="1">
      <c r="A58" s="988"/>
      <c r="B58" s="718"/>
      <c r="C58" s="165"/>
      <c r="D58" s="165"/>
      <c r="E58" s="623">
        <v>15</v>
      </c>
      <c r="F58" s="714" t="str">
        <f t="shared" ca="1" si="6"/>
        <v>1</v>
      </c>
      <c r="G58" s="167"/>
      <c r="H58" s="167"/>
      <c r="I58" s="167"/>
      <c r="J58" s="167"/>
      <c r="K58" s="167"/>
      <c r="L58" s="167"/>
      <c r="M58" s="167"/>
      <c r="N58" s="167"/>
      <c r="O58" s="167"/>
      <c r="P58" s="167"/>
      <c r="Q58" s="130"/>
      <c r="R58" s="130"/>
      <c r="S58" s="167"/>
      <c r="T58" s="634" t="b">
        <f t="shared" si="7"/>
        <v>1</v>
      </c>
      <c r="U58" s="1012"/>
      <c r="V58" s="1012"/>
      <c r="W58" s="1012"/>
      <c r="X58" s="1405"/>
      <c r="Y58" s="1012"/>
      <c r="Z58" s="1405"/>
      <c r="AA58" s="167"/>
      <c r="AB58" s="99" t="s">
        <v>537</v>
      </c>
      <c r="AC58" s="103" t="s">
        <v>1106</v>
      </c>
      <c r="AD58" s="387" t="s">
        <v>837</v>
      </c>
      <c r="AE58" s="1142"/>
      <c r="AF58" s="1142"/>
      <c r="AG58" s="1142"/>
      <c r="AH58" s="293">
        <f t="shared" si="8"/>
        <v>0</v>
      </c>
      <c r="AI58" s="1142"/>
      <c r="AJ58" s="1142"/>
      <c r="AK58" s="1142"/>
      <c r="AL58" s="293">
        <f t="shared" si="9"/>
        <v>0</v>
      </c>
      <c r="AM58" s="1106"/>
      <c r="AN58" s="1106"/>
      <c r="AO58" s="1106"/>
      <c r="AP58" s="167"/>
      <c r="AQ58" s="167"/>
      <c r="AR58" s="944" t="s">
        <v>1107</v>
      </c>
      <c r="AS58" s="944"/>
      <c r="AT58" s="944"/>
      <c r="AU58" s="945"/>
      <c r="AV58" s="945"/>
    </row>
    <row r="59" spans="1:48" s="1057" customFormat="1" ht="14.25" customHeight="1">
      <c r="A59" s="988"/>
      <c r="B59" s="718"/>
      <c r="C59" s="165"/>
      <c r="D59" s="165"/>
      <c r="E59" s="623">
        <v>15</v>
      </c>
      <c r="F59" s="714" t="str">
        <f t="shared" ca="1" si="6"/>
        <v>1</v>
      </c>
      <c r="G59" s="167"/>
      <c r="H59" s="167"/>
      <c r="I59" s="167"/>
      <c r="J59" s="167"/>
      <c r="K59" s="167"/>
      <c r="L59" s="167"/>
      <c r="M59" s="167"/>
      <c r="N59" s="167"/>
      <c r="O59" s="167"/>
      <c r="P59" s="167"/>
      <c r="Q59" s="130"/>
      <c r="R59" s="130"/>
      <c r="S59" s="167"/>
      <c r="T59" s="634" t="b">
        <f t="shared" si="7"/>
        <v>1</v>
      </c>
      <c r="U59" s="1012"/>
      <c r="V59" s="1012"/>
      <c r="W59" s="1012"/>
      <c r="X59" s="1405"/>
      <c r="Y59" s="1012"/>
      <c r="Z59" s="1405"/>
      <c r="AA59" s="167"/>
      <c r="AB59" s="99" t="s">
        <v>539</v>
      </c>
      <c r="AC59" s="103" t="s">
        <v>1108</v>
      </c>
      <c r="AD59" s="387" t="s">
        <v>837</v>
      </c>
      <c r="AE59" s="1142"/>
      <c r="AF59" s="1142"/>
      <c r="AG59" s="1142"/>
      <c r="AH59" s="293">
        <f t="shared" si="8"/>
        <v>0</v>
      </c>
      <c r="AI59" s="1142"/>
      <c r="AJ59" s="1142"/>
      <c r="AK59" s="1142"/>
      <c r="AL59" s="293">
        <f t="shared" si="9"/>
        <v>0</v>
      </c>
      <c r="AM59" s="1106"/>
      <c r="AN59" s="1106"/>
      <c r="AO59" s="1106"/>
      <c r="AP59" s="167"/>
      <c r="AQ59" s="167"/>
      <c r="AR59" s="944" t="s">
        <v>1109</v>
      </c>
      <c r="AS59" s="944"/>
      <c r="AT59" s="944"/>
      <c r="AU59" s="945"/>
      <c r="AV59" s="945"/>
    </row>
    <row r="60" spans="1:48" s="1057" customFormat="1" ht="14.25" customHeight="1">
      <c r="A60" s="988"/>
      <c r="B60" s="718"/>
      <c r="C60" s="165"/>
      <c r="D60" s="165"/>
      <c r="E60" s="623">
        <v>15</v>
      </c>
      <c r="F60" s="714" t="str">
        <f t="shared" ca="1" si="6"/>
        <v>1</v>
      </c>
      <c r="G60" s="167"/>
      <c r="H60" s="167"/>
      <c r="I60" s="167"/>
      <c r="J60" s="167"/>
      <c r="K60" s="167"/>
      <c r="L60" s="167"/>
      <c r="M60" s="167"/>
      <c r="N60" s="167"/>
      <c r="O60" s="167"/>
      <c r="P60" s="167"/>
      <c r="Q60" s="130"/>
      <c r="R60" s="130"/>
      <c r="S60" s="167"/>
      <c r="T60" s="634" t="b">
        <f t="shared" si="7"/>
        <v>1</v>
      </c>
      <c r="U60" s="1012"/>
      <c r="V60" s="1012"/>
      <c r="W60" s="1012"/>
      <c r="X60" s="1405"/>
      <c r="Y60" s="1012"/>
      <c r="Z60" s="1405"/>
      <c r="AA60" s="167"/>
      <c r="AB60" s="99" t="s">
        <v>1110</v>
      </c>
      <c r="AC60" s="103" t="s">
        <v>1111</v>
      </c>
      <c r="AD60" s="387" t="s">
        <v>837</v>
      </c>
      <c r="AE60" s="1142"/>
      <c r="AF60" s="1142"/>
      <c r="AG60" s="1142"/>
      <c r="AH60" s="293">
        <f t="shared" si="8"/>
        <v>0</v>
      </c>
      <c r="AI60" s="1142"/>
      <c r="AJ60" s="1142"/>
      <c r="AK60" s="1142"/>
      <c r="AL60" s="293">
        <f t="shared" si="9"/>
        <v>0</v>
      </c>
      <c r="AM60" s="1106"/>
      <c r="AN60" s="1106"/>
      <c r="AO60" s="1106"/>
      <c r="AP60" s="167"/>
      <c r="AQ60" s="167"/>
      <c r="AR60" s="944" t="s">
        <v>1112</v>
      </c>
      <c r="AS60" s="944"/>
      <c r="AT60" s="944"/>
      <c r="AU60" s="945"/>
      <c r="AV60" s="945"/>
    </row>
    <row r="61" spans="1:48" s="1057" customFormat="1" ht="23.25" customHeight="1">
      <c r="A61" s="988"/>
      <c r="B61" s="718"/>
      <c r="C61" s="165"/>
      <c r="D61" s="165"/>
      <c r="E61" s="623">
        <v>24</v>
      </c>
      <c r="F61" s="714" t="str">
        <f t="shared" ca="1" si="6"/>
        <v>1</v>
      </c>
      <c r="G61" s="167"/>
      <c r="H61" s="167"/>
      <c r="I61" s="167"/>
      <c r="J61" s="167"/>
      <c r="K61" s="167"/>
      <c r="L61" s="167"/>
      <c r="M61" s="167"/>
      <c r="N61" s="167"/>
      <c r="O61" s="167"/>
      <c r="P61" s="167"/>
      <c r="Q61" s="130"/>
      <c r="R61" s="130"/>
      <c r="S61" s="167"/>
      <c r="T61" s="634" t="b">
        <f t="shared" si="7"/>
        <v>1</v>
      </c>
      <c r="U61" s="1012"/>
      <c r="V61" s="1012"/>
      <c r="W61" s="1012"/>
      <c r="X61" s="1405"/>
      <c r="Y61" s="1012"/>
      <c r="Z61" s="1405"/>
      <c r="AA61" s="167"/>
      <c r="AB61" s="99" t="s">
        <v>1113</v>
      </c>
      <c r="AC61" s="103" t="s">
        <v>1114</v>
      </c>
      <c r="AD61" s="387" t="s">
        <v>837</v>
      </c>
      <c r="AE61" s="1142"/>
      <c r="AF61" s="1142"/>
      <c r="AG61" s="1142"/>
      <c r="AH61" s="293">
        <f t="shared" si="8"/>
        <v>0</v>
      </c>
      <c r="AI61" s="1142"/>
      <c r="AJ61" s="1142"/>
      <c r="AK61" s="1142"/>
      <c r="AL61" s="293">
        <f t="shared" si="9"/>
        <v>0</v>
      </c>
      <c r="AM61" s="1106"/>
      <c r="AN61" s="1106"/>
      <c r="AO61" s="1106"/>
      <c r="AP61" s="167"/>
      <c r="AQ61" s="167"/>
      <c r="AR61" s="944" t="s">
        <v>1115</v>
      </c>
      <c r="AS61" s="944"/>
      <c r="AT61" s="944"/>
      <c r="AU61" s="945"/>
      <c r="AV61" s="945"/>
    </row>
    <row r="62" spans="1:48" s="1057" customFormat="1" ht="14.25" customHeight="1">
      <c r="A62" s="988"/>
      <c r="B62" s="718"/>
      <c r="C62" s="165"/>
      <c r="D62" s="165"/>
      <c r="E62" s="623">
        <v>15</v>
      </c>
      <c r="F62" s="714" t="str">
        <f t="shared" ca="1" si="6"/>
        <v>1</v>
      </c>
      <c r="G62" s="167"/>
      <c r="H62" s="167"/>
      <c r="I62" s="167"/>
      <c r="J62" s="167"/>
      <c r="K62" s="167"/>
      <c r="L62" s="167"/>
      <c r="M62" s="167"/>
      <c r="N62" s="167"/>
      <c r="O62" s="167"/>
      <c r="P62" s="167"/>
      <c r="Q62" s="130"/>
      <c r="R62" s="130"/>
      <c r="S62" s="167"/>
      <c r="T62" s="634" t="b">
        <f t="shared" si="7"/>
        <v>1</v>
      </c>
      <c r="U62" s="1012"/>
      <c r="V62" s="1012"/>
      <c r="W62" s="1012"/>
      <c r="X62" s="1405"/>
      <c r="Y62" s="1012"/>
      <c r="Z62" s="1405"/>
      <c r="AA62" s="167"/>
      <c r="AB62" s="99" t="s">
        <v>1116</v>
      </c>
      <c r="AC62" s="103" t="s">
        <v>1117</v>
      </c>
      <c r="AD62" s="387" t="s">
        <v>837</v>
      </c>
      <c r="AE62" s="1142"/>
      <c r="AF62" s="1142"/>
      <c r="AG62" s="1142"/>
      <c r="AH62" s="293">
        <f t="shared" si="8"/>
        <v>0</v>
      </c>
      <c r="AI62" s="1142"/>
      <c r="AJ62" s="1142"/>
      <c r="AK62" s="1142"/>
      <c r="AL62" s="293">
        <f t="shared" si="9"/>
        <v>0</v>
      </c>
      <c r="AM62" s="1106"/>
      <c r="AN62" s="1106"/>
      <c r="AO62" s="1106"/>
      <c r="AP62" s="167"/>
      <c r="AQ62" s="167"/>
      <c r="AR62" s="944" t="s">
        <v>1118</v>
      </c>
      <c r="AS62" s="944"/>
      <c r="AT62" s="944"/>
      <c r="AU62" s="945"/>
      <c r="AV62" s="945"/>
    </row>
    <row r="63" spans="1:48" s="1172" customFormat="1" ht="14.25" customHeight="1">
      <c r="A63" s="172"/>
      <c r="B63" s="172"/>
      <c r="C63" s="172"/>
      <c r="D63" s="172"/>
      <c r="E63" s="623">
        <v>15</v>
      </c>
      <c r="F63" s="714" t="str">
        <f t="shared" ca="1" si="6"/>
        <v>1</v>
      </c>
      <c r="G63" s="172"/>
      <c r="H63" s="172"/>
      <c r="I63" s="172"/>
      <c r="J63" s="172"/>
      <c r="K63" s="172"/>
      <c r="L63" s="172"/>
      <c r="M63" s="172"/>
      <c r="N63" s="172"/>
      <c r="O63" s="172"/>
      <c r="P63" s="172"/>
      <c r="Q63" s="172"/>
      <c r="R63" s="172"/>
      <c r="S63" s="172"/>
      <c r="T63" s="634" t="b">
        <f t="shared" si="7"/>
        <v>1</v>
      </c>
      <c r="U63" s="172"/>
      <c r="V63" s="172"/>
      <c r="W63" s="172"/>
      <c r="X63" s="1499"/>
      <c r="Y63" s="172"/>
      <c r="Z63" s="1499"/>
      <c r="AA63" s="172"/>
      <c r="AB63" s="99" t="s">
        <v>541</v>
      </c>
      <c r="AC63" s="106" t="s">
        <v>1119</v>
      </c>
      <c r="AD63" s="387" t="s">
        <v>837</v>
      </c>
      <c r="AE63" s="1142"/>
      <c r="AF63" s="1142"/>
      <c r="AG63" s="1142"/>
      <c r="AH63" s="293">
        <f t="shared" si="8"/>
        <v>0</v>
      </c>
      <c r="AI63" s="1142"/>
      <c r="AJ63" s="1142"/>
      <c r="AK63" s="1142"/>
      <c r="AL63" s="293">
        <f t="shared" si="9"/>
        <v>0</v>
      </c>
      <c r="AM63" s="1106"/>
      <c r="AN63" s="1106"/>
      <c r="AO63" s="1106"/>
      <c r="AP63" s="172"/>
      <c r="AQ63" s="172"/>
      <c r="AR63" s="944" t="s">
        <v>1120</v>
      </c>
      <c r="AS63" s="952"/>
      <c r="AT63" s="952"/>
      <c r="AU63" s="953"/>
      <c r="AV63" s="953"/>
    </row>
    <row r="64" spans="1:48" s="1057" customFormat="1" ht="14.25" customHeight="1">
      <c r="A64" s="988"/>
      <c r="B64" s="718"/>
      <c r="C64" s="165"/>
      <c r="D64" s="165"/>
      <c r="E64" s="623">
        <v>15</v>
      </c>
      <c r="F64" s="714" t="str">
        <f t="shared" ca="1" si="6"/>
        <v>1</v>
      </c>
      <c r="G64" s="167"/>
      <c r="H64" s="167"/>
      <c r="I64" s="167"/>
      <c r="J64" s="167"/>
      <c r="K64" s="167"/>
      <c r="L64" s="167"/>
      <c r="M64" s="167"/>
      <c r="N64" s="167"/>
      <c r="O64" s="167"/>
      <c r="P64" s="167"/>
      <c r="Q64" s="130"/>
      <c r="R64" s="130"/>
      <c r="S64" s="167"/>
      <c r="T64" s="634" t="b">
        <f t="shared" si="7"/>
        <v>1</v>
      </c>
      <c r="U64" s="1012"/>
      <c r="V64" s="1012"/>
      <c r="W64" s="1012"/>
      <c r="X64" s="1405"/>
      <c r="Y64" s="1012"/>
      <c r="Z64" s="1405"/>
      <c r="AA64" s="167"/>
      <c r="AB64" s="99" t="s">
        <v>549</v>
      </c>
      <c r="AC64" s="106" t="s">
        <v>1121</v>
      </c>
      <c r="AD64" s="387" t="s">
        <v>837</v>
      </c>
      <c r="AE64" s="1142"/>
      <c r="AF64" s="1142"/>
      <c r="AG64" s="1142"/>
      <c r="AH64" s="293">
        <f t="shared" si="8"/>
        <v>0</v>
      </c>
      <c r="AI64" s="1142"/>
      <c r="AJ64" s="1142"/>
      <c r="AK64" s="1142"/>
      <c r="AL64" s="293">
        <f t="shared" si="9"/>
        <v>0</v>
      </c>
      <c r="AM64" s="1106"/>
      <c r="AN64" s="1106"/>
      <c r="AO64" s="1106"/>
      <c r="AP64" s="167"/>
      <c r="AQ64" s="167"/>
      <c r="AR64" s="944" t="s">
        <v>1122</v>
      </c>
      <c r="AS64" s="944"/>
      <c r="AT64" s="944"/>
      <c r="AU64" s="945"/>
      <c r="AV64" s="945"/>
    </row>
    <row r="65" spans="1:48" s="1057" customFormat="1" ht="14.25" customHeight="1">
      <c r="A65" s="988"/>
      <c r="B65" s="718"/>
      <c r="C65" s="165"/>
      <c r="D65" s="165"/>
      <c r="E65" s="623">
        <v>15</v>
      </c>
      <c r="F65" s="714" t="str">
        <f t="shared" ca="1" si="6"/>
        <v>1</v>
      </c>
      <c r="G65" s="130" t="s">
        <v>982</v>
      </c>
      <c r="H65" s="167"/>
      <c r="I65" s="167"/>
      <c r="J65" s="167"/>
      <c r="K65" s="167"/>
      <c r="L65" s="167"/>
      <c r="M65" s="167"/>
      <c r="N65" s="167"/>
      <c r="O65" s="167"/>
      <c r="P65" s="167"/>
      <c r="Q65" s="130"/>
      <c r="R65" s="130"/>
      <c r="S65" s="167"/>
      <c r="T65" s="634" t="b">
        <f t="shared" si="7"/>
        <v>1</v>
      </c>
      <c r="U65" s="1012"/>
      <c r="V65" s="1012"/>
      <c r="W65" s="1012"/>
      <c r="X65" s="1405"/>
      <c r="Y65" s="1012"/>
      <c r="Z65" s="1405"/>
      <c r="AA65" s="167"/>
      <c r="AB65" s="99" t="s">
        <v>1123</v>
      </c>
      <c r="AC65" s="105" t="s">
        <v>1124</v>
      </c>
      <c r="AD65" s="387" t="s">
        <v>837</v>
      </c>
      <c r="AE65" s="293">
        <f ca="1">SUMIFS(Аренда!AE$26:AE$51,Аренда!$F$26:$F$51,$F65,Аренда!$G$26:$G$51,$G65)</f>
        <v>0</v>
      </c>
      <c r="AF65" s="293">
        <f ca="1">SUMIFS(Аренда!AF$26:AF$51,Аренда!$F$26:$F$51,$F65,Аренда!$G$26:$G$51,$G65)</f>
        <v>0</v>
      </c>
      <c r="AG65" s="1142">
        <f ca="1">SUMIFS(Аренда!AG$26:AG$51,Аренда!$F$26:$F$51,$F65,Аренда!$G$26:$G$51,$G65)</f>
        <v>0</v>
      </c>
      <c r="AH65" s="293">
        <f t="shared" ca="1" si="8"/>
        <v>0</v>
      </c>
      <c r="AI65" s="293">
        <f ca="1">SUMIFS(Аренда!AH$26:AH$51,Аренда!$F$26:$F$51,$F65,Аренда!$G$26:$G$51,$G65)</f>
        <v>0</v>
      </c>
      <c r="AJ65" s="293">
        <f ca="1">SUMIFS(Аренда!AI$26:AI$51,Аренда!$F$26:$F$51,$F65,Аренда!$G$26:$G$51,$G65)</f>
        <v>0</v>
      </c>
      <c r="AK65" s="293">
        <f ca="1">SUMIFS(Аренда!AS$26:AS$51,Аренда!$F$26:$F$51,$F65,Аренда!$G$26:$G$51,$G65)</f>
        <v>0</v>
      </c>
      <c r="AL65" s="293">
        <f t="shared" ca="1" si="9"/>
        <v>0</v>
      </c>
      <c r="AM65" s="1106"/>
      <c r="AN65" s="1106"/>
      <c r="AO65" s="1106"/>
      <c r="AP65" s="167"/>
      <c r="AQ65" s="167"/>
      <c r="AR65" s="944" t="s">
        <v>1125</v>
      </c>
      <c r="AS65" s="944"/>
      <c r="AT65" s="944"/>
      <c r="AU65" s="945"/>
      <c r="AV65" s="945"/>
    </row>
    <row r="66" spans="1:48" s="1173" customFormat="1" ht="14.25" customHeight="1">
      <c r="A66" s="172"/>
      <c r="B66" s="172"/>
      <c r="C66" s="172"/>
      <c r="D66" s="172"/>
      <c r="E66" s="623">
        <v>15</v>
      </c>
      <c r="F66" s="714" t="str">
        <f t="shared" ca="1" si="6"/>
        <v>1</v>
      </c>
      <c r="G66" s="130" t="s">
        <v>969</v>
      </c>
      <c r="H66" s="172"/>
      <c r="I66" s="172"/>
      <c r="J66" s="172"/>
      <c r="K66" s="172"/>
      <c r="L66" s="172"/>
      <c r="M66" s="172"/>
      <c r="N66" s="172"/>
      <c r="O66" s="172"/>
      <c r="P66" s="172"/>
      <c r="Q66" s="172"/>
      <c r="R66" s="172"/>
      <c r="S66" s="172"/>
      <c r="T66" s="634" t="b">
        <f t="shared" si="7"/>
        <v>1</v>
      </c>
      <c r="U66" s="172"/>
      <c r="V66" s="172"/>
      <c r="W66" s="172"/>
      <c r="X66" s="1499"/>
      <c r="Y66" s="172"/>
      <c r="Z66" s="1499"/>
      <c r="AA66" s="172"/>
      <c r="AB66" s="99" t="s">
        <v>1126</v>
      </c>
      <c r="AC66" s="105" t="s">
        <v>1127</v>
      </c>
      <c r="AD66" s="387" t="s">
        <v>837</v>
      </c>
      <c r="AE66" s="293">
        <f ca="1">SUMIFS(Аренда!AE$26:AE$51,Аренда!$F$26:$F$51,$F66,Аренда!$G$26:$G$51,$G66)</f>
        <v>0</v>
      </c>
      <c r="AF66" s="293">
        <f ca="1">SUMIFS(Аренда!AF$26:AF$51,Аренда!$F$26:$F$51,$F66,Аренда!$G$26:$G$51,$G66)</f>
        <v>0</v>
      </c>
      <c r="AG66" s="1142">
        <f ca="1">SUMIFS(Аренда!AG$26:AG$51,Аренда!$F$26:$F$51,$F66,Аренда!$G$26:$G$51,$G66)</f>
        <v>0</v>
      </c>
      <c r="AH66" s="293">
        <f t="shared" ca="1" si="8"/>
        <v>0</v>
      </c>
      <c r="AI66" s="293">
        <f ca="1">SUMIFS(Аренда!AH$26:AH$51,Аренда!$F$26:$F$51,$F66,Аренда!$G$26:$G$51,$G66)</f>
        <v>0</v>
      </c>
      <c r="AJ66" s="293">
        <f ca="1">SUMIFS(Аренда!AI$26:AI$51,Аренда!$F$26:$F$51,$F66,Аренда!$G$26:$G$51,$G66)</f>
        <v>0</v>
      </c>
      <c r="AK66" s="293">
        <f ca="1">SUMIFS(Аренда!AS$26:AS$51,Аренда!$F$26:$F$51,$F66,Аренда!$G$26:$G$51,$G66)</f>
        <v>0</v>
      </c>
      <c r="AL66" s="293">
        <f t="shared" ca="1" si="9"/>
        <v>0</v>
      </c>
      <c r="AM66" s="1106"/>
      <c r="AN66" s="1106"/>
      <c r="AO66" s="1106"/>
      <c r="AP66" s="172"/>
      <c r="AQ66" s="172"/>
      <c r="AR66" s="944" t="s">
        <v>972</v>
      </c>
      <c r="AS66" s="952"/>
      <c r="AT66" s="952"/>
      <c r="AU66" s="953"/>
      <c r="AV66" s="953"/>
    </row>
    <row r="67" spans="1:48" s="1057" customFormat="1" ht="29.25" customHeight="1">
      <c r="A67" s="988"/>
      <c r="B67" s="718"/>
      <c r="C67" s="165"/>
      <c r="D67" s="165"/>
      <c r="E67" s="623">
        <v>30</v>
      </c>
      <c r="F67" s="714" t="str">
        <f t="shared" ca="1" si="6"/>
        <v>1</v>
      </c>
      <c r="G67" s="167"/>
      <c r="H67" s="167"/>
      <c r="I67" s="167"/>
      <c r="J67" s="167"/>
      <c r="K67" s="167"/>
      <c r="L67" s="167"/>
      <c r="M67" s="167"/>
      <c r="N67" s="167"/>
      <c r="O67" s="167"/>
      <c r="P67" s="167"/>
      <c r="Q67" s="130"/>
      <c r="R67" s="130"/>
      <c r="S67" s="167"/>
      <c r="T67" s="634" t="b">
        <f t="shared" si="7"/>
        <v>1</v>
      </c>
      <c r="U67" s="1012"/>
      <c r="V67" s="1012"/>
      <c r="W67" s="1012"/>
      <c r="X67" s="1405"/>
      <c r="Y67" s="1012"/>
      <c r="Z67" s="1405"/>
      <c r="AA67" s="167"/>
      <c r="AB67" s="99" t="s">
        <v>1128</v>
      </c>
      <c r="AC67" s="106" t="s">
        <v>1129</v>
      </c>
      <c r="AD67" s="387" t="s">
        <v>837</v>
      </c>
      <c r="AE67" s="293">
        <f>SUM(AE68:AE70)</f>
        <v>0</v>
      </c>
      <c r="AF67" s="293">
        <f>SUM(AF68:AF70)</f>
        <v>0</v>
      </c>
      <c r="AG67" s="1142">
        <f>SUM(AG68:AG70)</f>
        <v>0</v>
      </c>
      <c r="AH67" s="293">
        <f t="shared" si="8"/>
        <v>0</v>
      </c>
      <c r="AI67" s="293">
        <f>SUM(AI68:AI70)</f>
        <v>0</v>
      </c>
      <c r="AJ67" s="293">
        <f>SUM(AJ68:AJ70)</f>
        <v>0</v>
      </c>
      <c r="AK67" s="293">
        <f>SUM(AK68:AK70)</f>
        <v>0</v>
      </c>
      <c r="AL67" s="293">
        <f t="shared" si="9"/>
        <v>0</v>
      </c>
      <c r="AM67" s="1106"/>
      <c r="AN67" s="1106"/>
      <c r="AO67" s="1106"/>
      <c r="AP67" s="167"/>
      <c r="AQ67" s="167"/>
      <c r="AR67" s="944" t="s">
        <v>1085</v>
      </c>
      <c r="AS67" s="944"/>
      <c r="AT67" s="944"/>
      <c r="AU67" s="945"/>
      <c r="AV67" s="945"/>
    </row>
    <row r="68" spans="1:48" s="1057" customFormat="1" ht="11.25" hidden="1" customHeight="1">
      <c r="A68" s="988"/>
      <c r="B68" s="718"/>
      <c r="C68" s="165"/>
      <c r="D68" s="165"/>
      <c r="E68" s="623">
        <v>0</v>
      </c>
      <c r="F68" s="714" t="str">
        <f t="shared" ca="1" si="6"/>
        <v>1</v>
      </c>
      <c r="G68" s="167"/>
      <c r="H68" s="167"/>
      <c r="I68" s="167"/>
      <c r="J68" s="167"/>
      <c r="K68" s="167"/>
      <c r="L68" s="167"/>
      <c r="M68" s="167"/>
      <c r="N68" s="167"/>
      <c r="O68" s="167"/>
      <c r="P68" s="167"/>
      <c r="Q68" s="130"/>
      <c r="R68" s="130"/>
      <c r="S68" s="167"/>
      <c r="T68" s="634" t="b">
        <f t="shared" si="7"/>
        <v>1</v>
      </c>
      <c r="U68" s="1012"/>
      <c r="V68" s="1012"/>
      <c r="W68" s="1012"/>
      <c r="X68" s="1405"/>
      <c r="Y68" s="1012"/>
      <c r="Z68" s="1405"/>
      <c r="AA68" s="167"/>
      <c r="AB68" s="99"/>
      <c r="AC68" s="103"/>
      <c r="AD68" s="387"/>
      <c r="AE68" s="387"/>
      <c r="AF68" s="387"/>
      <c r="AG68" s="387"/>
      <c r="AH68" s="387"/>
      <c r="AI68" s="387"/>
      <c r="AJ68" s="387"/>
      <c r="AK68" s="387"/>
      <c r="AL68" s="387"/>
      <c r="AM68" s="110"/>
      <c r="AN68" s="110"/>
      <c r="AO68" s="110"/>
      <c r="AP68" s="167"/>
      <c r="AQ68" s="167"/>
      <c r="AR68" s="944" t="str">
        <f>IF(AND(ISNUMBER(VALUE(TRIM(SUBSTITUTE(AB68,".","")))),TRIM(SUBSTITUTE(AB68,".",""))&lt;&gt;""),"P"&amp;SUBSTITUTE(AB68,".",""),"")</f>
        <v/>
      </c>
      <c r="AS68" s="944"/>
      <c r="AT68" s="944"/>
      <c r="AU68" s="945"/>
      <c r="AV68" s="945"/>
    </row>
    <row r="69" spans="1:48" s="1057" customFormat="1" ht="14.25" hidden="1" customHeight="1">
      <c r="A69" s="988"/>
      <c r="B69" s="718"/>
      <c r="C69" s="165"/>
      <c r="D69" s="165"/>
      <c r="E69" s="623">
        <v>15</v>
      </c>
      <c r="F69" s="714" t="str">
        <f t="shared" ca="1" si="6"/>
        <v>1</v>
      </c>
      <c r="G69" s="167"/>
      <c r="H69" s="167"/>
      <c r="I69" s="167"/>
      <c r="J69" s="167"/>
      <c r="K69" s="167"/>
      <c r="L69" s="167"/>
      <c r="M69" s="167"/>
      <c r="N69" s="167"/>
      <c r="O69" s="167"/>
      <c r="P69" s="167"/>
      <c r="Q69" s="130"/>
      <c r="R69" s="130"/>
      <c r="S69" s="167"/>
      <c r="T69" s="634" t="b">
        <f ca="1">AND(F69&gt;0,Y69&gt;0)</f>
        <v>0</v>
      </c>
      <c r="U69" s="1012"/>
      <c r="V69" s="1012"/>
      <c r="W69" s="113" t="s">
        <v>170</v>
      </c>
      <c r="X69" s="1405"/>
      <c r="Y69" s="113">
        <v>0</v>
      </c>
      <c r="Z69" s="1405"/>
      <c r="AA69" s="865" t="s">
        <v>157</v>
      </c>
      <c r="AB69" s="489" t="str">
        <f>"10."&amp;Y69</f>
        <v>10.0</v>
      </c>
      <c r="AC69" s="55"/>
      <c r="AD69" s="393" t="s">
        <v>837</v>
      </c>
      <c r="AE69" s="56"/>
      <c r="AF69" s="56"/>
      <c r="AG69" s="56"/>
      <c r="AH69" s="431">
        <f>AG69-AF69</f>
        <v>0</v>
      </c>
      <c r="AI69" s="56"/>
      <c r="AJ69" s="56"/>
      <c r="AK69" s="56"/>
      <c r="AL69" s="431">
        <f>IF(AI69=0,0,(AK69-AI69)/AI69*100)</f>
        <v>0</v>
      </c>
      <c r="AM69" s="18"/>
      <c r="AN69" s="18"/>
      <c r="AO69" s="18"/>
      <c r="AP69" s="167"/>
      <c r="AQ69" s="167"/>
      <c r="AR69" s="944" t="s">
        <v>1085</v>
      </c>
      <c r="AS69" s="944" t="s">
        <v>1015</v>
      </c>
      <c r="AT69" s="954">
        <f>AC69</f>
        <v>0</v>
      </c>
      <c r="AU69" s="945"/>
      <c r="AV69" s="945" t="b">
        <v>1</v>
      </c>
    </row>
    <row r="70" spans="1:48" s="1057" customFormat="1" ht="13.5" customHeight="1">
      <c r="A70" s="988"/>
      <c r="B70" s="718"/>
      <c r="C70" s="165"/>
      <c r="D70" s="165"/>
      <c r="E70" s="623">
        <v>14.1</v>
      </c>
      <c r="F70" s="714" t="str">
        <f t="shared" ca="1" si="6"/>
        <v>1</v>
      </c>
      <c r="G70" s="167"/>
      <c r="H70" s="167"/>
      <c r="I70" s="167"/>
      <c r="J70" s="167"/>
      <c r="K70" s="167"/>
      <c r="L70" s="167"/>
      <c r="M70" s="167"/>
      <c r="N70" s="167"/>
      <c r="O70" s="167"/>
      <c r="P70" s="167"/>
      <c r="Q70" s="130"/>
      <c r="R70" s="130"/>
      <c r="S70" s="167"/>
      <c r="T70" s="634" t="b">
        <f ca="1">F70&gt;0</f>
        <v>1</v>
      </c>
      <c r="U70" s="1012"/>
      <c r="V70" s="1012"/>
      <c r="W70" s="291" t="s">
        <v>399</v>
      </c>
      <c r="X70" s="1405"/>
      <c r="Y70" s="1012"/>
      <c r="Z70" s="1405"/>
      <c r="AA70" s="167"/>
      <c r="AB70" s="558"/>
      <c r="AC70" s="562" t="s">
        <v>172</v>
      </c>
      <c r="AD70" s="559"/>
      <c r="AE70" s="560"/>
      <c r="AF70" s="560"/>
      <c r="AG70" s="560"/>
      <c r="AH70" s="560"/>
      <c r="AI70" s="560"/>
      <c r="AJ70" s="560"/>
      <c r="AK70" s="560"/>
      <c r="AL70" s="560"/>
      <c r="AM70" s="853"/>
      <c r="AN70" s="853"/>
      <c r="AO70" s="854"/>
      <c r="AP70" s="167"/>
      <c r="AQ70" s="167"/>
      <c r="AR70" s="944" t="str">
        <f>IF(AND(ISNUMBER(VALUE(TRIM(SUBSTITUTE(AB70,".","")))),TRIM(SUBSTITUTE(AB70,".",""))&lt;&gt;""),"P"&amp;SUBSTITUTE(AB70,".",""),"")</f>
        <v/>
      </c>
      <c r="AS70" s="944"/>
      <c r="AT70" s="944"/>
      <c r="AU70" s="945" t="s">
        <v>1015</v>
      </c>
      <c r="AV70" s="945"/>
    </row>
    <row r="71" spans="1:48" s="1057" customFormat="1" ht="13.5" customHeight="1">
      <c r="A71" s="988"/>
      <c r="B71" s="718"/>
      <c r="C71" s="165"/>
      <c r="D71" s="165"/>
      <c r="E71" s="623">
        <v>14.1</v>
      </c>
      <c r="F71" s="714" t="str">
        <f t="shared" ca="1" si="6"/>
        <v>1</v>
      </c>
      <c r="G71" s="167"/>
      <c r="H71" s="167"/>
      <c r="I71" s="167"/>
      <c r="J71" s="167"/>
      <c r="K71" s="167"/>
      <c r="L71" s="167"/>
      <c r="M71" s="167"/>
      <c r="N71" s="167"/>
      <c r="O71" s="167"/>
      <c r="P71" s="167"/>
      <c r="Q71" s="130"/>
      <c r="R71" s="130"/>
      <c r="S71" s="167"/>
      <c r="T71" s="634" t="b">
        <f ca="1">F71&gt;0</f>
        <v>1</v>
      </c>
      <c r="U71" s="1012"/>
      <c r="V71" s="1012"/>
      <c r="W71" s="1012"/>
      <c r="X71" s="1405"/>
      <c r="Y71" s="1012"/>
      <c r="Z71" s="1405"/>
      <c r="AA71" s="167"/>
      <c r="AB71" s="490" t="s">
        <v>1130</v>
      </c>
      <c r="AC71" s="842" t="s">
        <v>1131</v>
      </c>
      <c r="AD71" s="434" t="s">
        <v>837</v>
      </c>
      <c r="AE71" s="492">
        <f>SUM(AE72:AE74)</f>
        <v>0</v>
      </c>
      <c r="AF71" s="492">
        <f>SUM(AF72:AF74)</f>
        <v>0</v>
      </c>
      <c r="AG71" s="1174">
        <f>SUM(AG72:AG74)</f>
        <v>0</v>
      </c>
      <c r="AH71" s="492">
        <f>AG71-AF71</f>
        <v>0</v>
      </c>
      <c r="AI71" s="492">
        <f>SUM(AI72:AI74)</f>
        <v>0</v>
      </c>
      <c r="AJ71" s="492">
        <f>SUM(AJ72:AJ74)</f>
        <v>0</v>
      </c>
      <c r="AK71" s="492">
        <f>SUM(AK72:AK74)</f>
        <v>0</v>
      </c>
      <c r="AL71" s="492">
        <f>IF(AI71=0,0,(AK71-AI71)/AI71*100)</f>
        <v>0</v>
      </c>
      <c r="AM71" s="1108"/>
      <c r="AN71" s="1108"/>
      <c r="AO71" s="1108"/>
      <c r="AP71" s="167"/>
      <c r="AQ71" s="167"/>
      <c r="AR71" s="944" t="s">
        <v>1132</v>
      </c>
      <c r="AS71" s="944"/>
      <c r="AT71" s="944"/>
      <c r="AU71" s="945"/>
      <c r="AV71" s="945"/>
    </row>
    <row r="72" spans="1:48" s="1057" customFormat="1" ht="11.25" hidden="1" customHeight="1">
      <c r="A72" s="988"/>
      <c r="B72" s="718"/>
      <c r="C72" s="165"/>
      <c r="D72" s="165"/>
      <c r="E72" s="623">
        <v>0</v>
      </c>
      <c r="F72" s="714" t="str">
        <f t="shared" ca="1" si="6"/>
        <v>1</v>
      </c>
      <c r="G72" s="167"/>
      <c r="H72" s="167"/>
      <c r="I72" s="167"/>
      <c r="J72" s="167"/>
      <c r="K72" s="167"/>
      <c r="L72" s="167"/>
      <c r="M72" s="167"/>
      <c r="N72" s="167"/>
      <c r="O72" s="167"/>
      <c r="P72" s="167"/>
      <c r="Q72" s="130"/>
      <c r="R72" s="130"/>
      <c r="S72" s="167"/>
      <c r="T72" s="634" t="b">
        <f ca="1">F72&gt;0</f>
        <v>1</v>
      </c>
      <c r="U72" s="1012"/>
      <c r="V72" s="1012"/>
      <c r="W72" s="1012"/>
      <c r="X72" s="1405"/>
      <c r="Y72" s="1012"/>
      <c r="Z72" s="1405"/>
      <c r="AA72" s="167"/>
      <c r="AB72" s="489"/>
      <c r="AC72" s="514"/>
      <c r="AD72" s="515"/>
      <c r="AE72" s="387"/>
      <c r="AF72" s="387"/>
      <c r="AG72" s="387"/>
      <c r="AH72" s="167"/>
      <c r="AI72" s="387"/>
      <c r="AJ72" s="387"/>
      <c r="AK72" s="387"/>
      <c r="AL72" s="167"/>
      <c r="AM72" s="167"/>
      <c r="AN72" s="167"/>
      <c r="AO72" s="167"/>
      <c r="AP72" s="167"/>
      <c r="AQ72" s="167"/>
      <c r="AR72" s="944" t="str">
        <f>IF(AND(ISNUMBER(VALUE(TRIM(SUBSTITUTE(AB72,".","")))),TRIM(SUBSTITUTE(AB72,".",""))&lt;&gt;""),"P"&amp;SUBSTITUTE(AB72,".",""),"")</f>
        <v/>
      </c>
      <c r="AS72" s="944"/>
      <c r="AT72" s="944"/>
      <c r="AU72" s="945"/>
      <c r="AV72" s="945"/>
    </row>
    <row r="73" spans="1:48" s="1057" customFormat="1" ht="13.5" hidden="1" customHeight="1">
      <c r="A73" s="988"/>
      <c r="B73" s="718"/>
      <c r="C73" s="165"/>
      <c r="D73" s="165"/>
      <c r="E73" s="623">
        <v>14.1</v>
      </c>
      <c r="F73" s="714" t="str">
        <f t="shared" ca="1" si="6"/>
        <v>1</v>
      </c>
      <c r="G73" s="167"/>
      <c r="H73" s="167"/>
      <c r="I73" s="167"/>
      <c r="J73" s="167"/>
      <c r="K73" s="167"/>
      <c r="L73" s="167"/>
      <c r="M73" s="167"/>
      <c r="N73" s="167"/>
      <c r="O73" s="167"/>
      <c r="P73" s="167"/>
      <c r="Q73" s="130"/>
      <c r="R73" s="130"/>
      <c r="S73" s="167"/>
      <c r="T73" s="634" t="b">
        <f ca="1">AND(F73&gt;0,Y73&gt;0)</f>
        <v>0</v>
      </c>
      <c r="U73" s="1012"/>
      <c r="V73" s="1012"/>
      <c r="W73" s="113" t="s">
        <v>170</v>
      </c>
      <c r="X73" s="1405"/>
      <c r="Y73" s="113">
        <v>0</v>
      </c>
      <c r="Z73" s="1405"/>
      <c r="AA73" s="865" t="s">
        <v>157</v>
      </c>
      <c r="AB73" s="489" t="str">
        <f>"11."&amp;Y73</f>
        <v>11.0</v>
      </c>
      <c r="AC73" s="52"/>
      <c r="AD73" s="111" t="s">
        <v>837</v>
      </c>
      <c r="AE73" s="40"/>
      <c r="AF73" s="40"/>
      <c r="AG73" s="40"/>
      <c r="AH73" s="293">
        <f>AG73-AF73</f>
        <v>0</v>
      </c>
      <c r="AI73" s="40"/>
      <c r="AJ73" s="40"/>
      <c r="AK73" s="40"/>
      <c r="AL73" s="293">
        <f>IF(AI73=0,0,(AK73-AI73)/AI73*100)</f>
        <v>0</v>
      </c>
      <c r="AM73" s="22"/>
      <c r="AN73" s="22"/>
      <c r="AO73" s="22"/>
      <c r="AP73" s="167"/>
      <c r="AQ73" s="167"/>
      <c r="AR73" s="944" t="s">
        <v>1132</v>
      </c>
      <c r="AS73" s="944" t="s">
        <v>1133</v>
      </c>
      <c r="AT73" s="954">
        <f>AC73</f>
        <v>0</v>
      </c>
      <c r="AU73" s="945"/>
      <c r="AV73" s="945" t="b">
        <v>1</v>
      </c>
    </row>
    <row r="74" spans="1:48" s="1057" customFormat="1" ht="13.5" customHeight="1">
      <c r="A74" s="988"/>
      <c r="B74" s="718"/>
      <c r="C74" s="165"/>
      <c r="D74" s="165"/>
      <c r="E74" s="623">
        <v>14.1</v>
      </c>
      <c r="F74" s="714" t="str">
        <f t="shared" ca="1" si="6"/>
        <v>1</v>
      </c>
      <c r="G74" s="167"/>
      <c r="H74" s="167"/>
      <c r="I74" s="167"/>
      <c r="J74" s="167"/>
      <c r="K74" s="167"/>
      <c r="L74" s="167"/>
      <c r="M74" s="167"/>
      <c r="N74" s="167"/>
      <c r="O74" s="167"/>
      <c r="P74" s="167"/>
      <c r="Q74" s="130"/>
      <c r="R74" s="130"/>
      <c r="S74" s="167"/>
      <c r="T74" s="634" t="b">
        <f ca="1">F74&gt;0</f>
        <v>1</v>
      </c>
      <c r="U74" s="1012"/>
      <c r="V74" s="1012"/>
      <c r="W74" s="291" t="s">
        <v>519</v>
      </c>
      <c r="X74" s="1405"/>
      <c r="Y74" s="1012"/>
      <c r="Z74" s="1405"/>
      <c r="AA74" s="167"/>
      <c r="AB74" s="558"/>
      <c r="AC74" s="562" t="s">
        <v>172</v>
      </c>
      <c r="AD74" s="559"/>
      <c r="AE74" s="561"/>
      <c r="AF74" s="561"/>
      <c r="AG74" s="561"/>
      <c r="AH74" s="561"/>
      <c r="AI74" s="561"/>
      <c r="AJ74" s="561"/>
      <c r="AK74" s="561"/>
      <c r="AL74" s="561"/>
      <c r="AM74" s="561"/>
      <c r="AN74" s="561"/>
      <c r="AO74" s="561"/>
      <c r="AP74" s="167"/>
      <c r="AQ74" s="167"/>
      <c r="AR74" s="944"/>
      <c r="AS74" s="944"/>
      <c r="AT74" s="944"/>
      <c r="AU74" s="945" t="s">
        <v>1133</v>
      </c>
      <c r="AV74" s="945"/>
    </row>
    <row r="75" spans="1:48" ht="9.9499999999999993" customHeight="1">
      <c r="E75" s="623">
        <v>10.199999999999999</v>
      </c>
      <c r="U75" s="116" t="s">
        <v>172</v>
      </c>
      <c r="V75" s="109" t="s">
        <v>1134</v>
      </c>
    </row>
    <row r="76" spans="1:48" ht="11.25" hidden="1" customHeight="1">
      <c r="E76" s="623">
        <v>0</v>
      </c>
    </row>
    <row r="77" spans="1:48" ht="14.65" customHeight="1">
      <c r="E77" s="623">
        <v>15</v>
      </c>
      <c r="AB77" s="1476" t="s">
        <v>557</v>
      </c>
      <c r="AC77" s="1476"/>
      <c r="AD77" s="1476"/>
      <c r="AE77" s="1476"/>
      <c r="AF77" s="1476"/>
      <c r="AG77" s="1476"/>
      <c r="AH77" s="1476"/>
      <c r="AI77" s="1476"/>
      <c r="AJ77" s="1476"/>
      <c r="AK77" s="1476"/>
      <c r="AL77" s="1476"/>
      <c r="AM77" s="1476"/>
      <c r="AN77" s="1476"/>
      <c r="AO77" s="1476"/>
    </row>
    <row r="78" spans="1:48" ht="14.65" customHeight="1">
      <c r="E78" s="623">
        <v>15</v>
      </c>
      <c r="AA78" s="713"/>
      <c r="AB78" s="1500"/>
      <c r="AC78" s="1495"/>
      <c r="AD78" s="1495"/>
      <c r="AE78" s="1495"/>
      <c r="AF78" s="1495"/>
      <c r="AG78" s="1495"/>
      <c r="AH78" s="1495"/>
      <c r="AI78" s="1495"/>
      <c r="AJ78" s="1495"/>
      <c r="AK78" s="1495"/>
      <c r="AL78" s="1495"/>
      <c r="AM78" s="1495"/>
      <c r="AN78" s="1495"/>
      <c r="AO78" s="1495"/>
    </row>
    <row r="79" spans="1:48" ht="14.65" hidden="1" customHeight="1">
      <c r="E79" s="623">
        <v>15</v>
      </c>
      <c r="T79" s="634" t="b">
        <f>ROW(W79)&gt;ROW(W$79)</f>
        <v>0</v>
      </c>
      <c r="W79" s="113" t="s">
        <v>170</v>
      </c>
      <c r="AA79" s="709" t="s">
        <v>157</v>
      </c>
      <c r="AB79" s="1494"/>
      <c r="AC79" s="1495"/>
      <c r="AD79" s="1495"/>
      <c r="AE79" s="1495"/>
      <c r="AF79" s="1495"/>
      <c r="AG79" s="1495"/>
      <c r="AH79" s="1495"/>
      <c r="AI79" s="1495"/>
      <c r="AJ79" s="1495"/>
      <c r="AK79" s="1495"/>
      <c r="AL79" s="1495"/>
      <c r="AM79" s="1495"/>
      <c r="AN79" s="1495"/>
      <c r="AO79" s="1495"/>
    </row>
    <row r="80" spans="1:48" ht="14.65" customHeight="1">
      <c r="E80" s="623">
        <v>15</v>
      </c>
      <c r="W80" s="109" t="s">
        <v>171</v>
      </c>
      <c r="AA80" s="150"/>
      <c r="AB80" s="1420" t="s">
        <v>558</v>
      </c>
      <c r="AC80" s="1421"/>
      <c r="AD80" s="299"/>
      <c r="AE80" s="299"/>
      <c r="AF80" s="299"/>
      <c r="AG80" s="299"/>
      <c r="AH80" s="299"/>
      <c r="AI80" s="299"/>
      <c r="AJ80" s="299"/>
      <c r="AK80" s="299"/>
      <c r="AL80" s="299"/>
      <c r="AM80" s="299"/>
      <c r="AN80" s="299"/>
      <c r="AO80" s="271"/>
    </row>
  </sheetData>
  <sheetProtection formatColumns="0" formatRows="0" insertRows="0" deleteColumns="0" deleteRows="0" sort="0" autoFilter="0"/>
  <mergeCells count="16">
    <mergeCell ref="X27:X50"/>
    <mergeCell ref="Z27:Z50"/>
    <mergeCell ref="AB77:AO77"/>
    <mergeCell ref="AB78:AO78"/>
    <mergeCell ref="AB80:AC80"/>
    <mergeCell ref="AB28:AC28"/>
    <mergeCell ref="X51:X74"/>
    <mergeCell ref="Z51:Z74"/>
    <mergeCell ref="AB52:AC52"/>
    <mergeCell ref="AO24:AO25"/>
    <mergeCell ref="AB79:AO79"/>
    <mergeCell ref="AB24:AB25"/>
    <mergeCell ref="AC24:AC25"/>
    <mergeCell ref="AD24:AD25"/>
    <mergeCell ref="AM24:AM25"/>
    <mergeCell ref="AN24:AN25"/>
  </mergeCell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G51"/>
  <sheetViews>
    <sheetView showGridLines="0" topLeftCell="AA21" workbookViewId="0">
      <selection activeCell="AA21" sqref="AA21"/>
    </sheetView>
  </sheetViews>
  <sheetFormatPr defaultColWidth="9.140625" defaultRowHeight="12.75" customHeight="1"/>
  <cols>
    <col min="1" max="1" width="3.5703125" style="1016" hidden="1" customWidth="1"/>
    <col min="2" max="2" width="8.5703125" style="718" hidden="1" customWidth="1"/>
    <col min="3" max="4" width="3.5703125" style="1016" hidden="1" customWidth="1"/>
    <col min="5" max="5" width="8.42578125" style="717" hidden="1" customWidth="1"/>
    <col min="6" max="26" width="3.5703125" style="1016" hidden="1" customWidth="1"/>
    <col min="27" max="27" width="3" style="726" customWidth="1"/>
    <col min="28" max="28" width="11.140625" style="307" customWidth="1"/>
    <col min="29" max="29" width="32.28515625" style="307" customWidth="1"/>
    <col min="30" max="30" width="115.5703125" style="307" customWidth="1"/>
    <col min="31" max="31" width="3" style="307" customWidth="1"/>
    <col min="32" max="32" width="9.140625" style="307" hidden="1"/>
    <col min="33" max="33" width="18.7109375" style="648" hidden="1" customWidth="1"/>
  </cols>
  <sheetData>
    <row r="1" spans="1:31" s="1016" customFormat="1" ht="12" hidden="1" customHeight="1">
      <c r="B1" s="614"/>
      <c r="E1" s="614"/>
    </row>
    <row r="2" spans="1:31" s="718" customFormat="1" ht="12" hidden="1" customHeight="1">
      <c r="B2" s="703" t="s">
        <v>15</v>
      </c>
    </row>
    <row r="3" spans="1:31" s="1016" customFormat="1" ht="12" hidden="1" customHeight="1">
      <c r="B3" s="614"/>
      <c r="E3" s="614"/>
    </row>
    <row r="4" spans="1:31" s="1016" customFormat="1" ht="12" hidden="1" customHeight="1">
      <c r="B4" s="614"/>
      <c r="E4" s="614"/>
    </row>
    <row r="5" spans="1:31" s="717" customFormat="1" ht="12" hidden="1" customHeight="1">
      <c r="A5" s="614"/>
      <c r="B5" s="614"/>
      <c r="C5" s="614"/>
      <c r="D5" s="614"/>
      <c r="E5" s="623" t="s">
        <v>16</v>
      </c>
      <c r="AA5" s="623">
        <v>3</v>
      </c>
      <c r="AB5" s="623">
        <v>11.13</v>
      </c>
      <c r="AC5" s="623">
        <v>32.25</v>
      </c>
      <c r="AD5" s="623">
        <v>115.5</v>
      </c>
      <c r="AE5" s="623">
        <v>3</v>
      </c>
    </row>
    <row r="6" spans="1:31" s="1016" customFormat="1" ht="12" hidden="1" customHeight="1">
      <c r="B6" s="614"/>
      <c r="E6" s="623"/>
    </row>
    <row r="7" spans="1:31" s="750" customFormat="1" ht="12" hidden="1" customHeight="1">
      <c r="A7" s="116"/>
      <c r="B7" s="614"/>
      <c r="C7" s="116"/>
      <c r="D7" s="116"/>
      <c r="E7" s="623"/>
    </row>
    <row r="8" spans="1:31" s="750" customFormat="1" ht="12" hidden="1" customHeight="1">
      <c r="A8" s="116"/>
      <c r="B8" s="614"/>
      <c r="C8" s="116"/>
      <c r="D8" s="116"/>
      <c r="E8" s="623"/>
    </row>
    <row r="9" spans="1:31" s="1016" customFormat="1" ht="12" hidden="1" customHeight="1">
      <c r="B9" s="614"/>
      <c r="E9" s="623"/>
    </row>
    <row r="10" spans="1:31" s="1016" customFormat="1" ht="12" hidden="1" customHeight="1">
      <c r="B10" s="614"/>
      <c r="E10" s="623"/>
    </row>
    <row r="11" spans="1:31" s="1016" customFormat="1" ht="12" hidden="1" customHeight="1">
      <c r="B11" s="614"/>
      <c r="E11" s="623"/>
    </row>
    <row r="12" spans="1:31" s="1016" customFormat="1" ht="12" hidden="1" customHeight="1">
      <c r="B12" s="614"/>
      <c r="E12" s="623"/>
    </row>
    <row r="13" spans="1:31" s="1016" customFormat="1" ht="12" hidden="1" customHeight="1">
      <c r="B13" s="614"/>
      <c r="E13" s="623"/>
    </row>
    <row r="14" spans="1:31" s="1016" customFormat="1" ht="12" hidden="1" customHeight="1">
      <c r="B14" s="614"/>
      <c r="E14" s="623"/>
    </row>
    <row r="15" spans="1:31" s="1016" customFormat="1" ht="12" hidden="1" customHeight="1">
      <c r="B15" s="614"/>
      <c r="E15" s="623"/>
    </row>
    <row r="16" spans="1:31" s="1016" customFormat="1" ht="12" hidden="1" customHeight="1">
      <c r="B16" s="614"/>
      <c r="E16" s="623"/>
    </row>
    <row r="17" spans="1:33" s="1016" customFormat="1" ht="12" hidden="1" customHeight="1">
      <c r="B17" s="614"/>
      <c r="E17" s="623"/>
    </row>
    <row r="18" spans="1:33" s="1016" customFormat="1" ht="12" hidden="1" customHeight="1">
      <c r="B18" s="614"/>
      <c r="E18" s="623"/>
    </row>
    <row r="19" spans="1:33" s="1016" customFormat="1" ht="12" hidden="1" customHeight="1">
      <c r="B19" s="614"/>
      <c r="E19" s="623"/>
    </row>
    <row r="20" spans="1:33" s="1016" customFormat="1" ht="12" hidden="1" customHeight="1">
      <c r="B20" s="614"/>
      <c r="E20" s="623"/>
    </row>
    <row r="21" spans="1:33" s="726" customFormat="1" ht="12.95" customHeight="1">
      <c r="A21" s="116"/>
      <c r="B21" s="614"/>
      <c r="C21" s="116"/>
      <c r="D21" s="116"/>
      <c r="E21" s="623">
        <v>13.2</v>
      </c>
      <c r="F21" s="116"/>
      <c r="G21" s="116"/>
      <c r="H21" s="116"/>
      <c r="I21" s="116"/>
      <c r="J21" s="116"/>
      <c r="K21" s="116"/>
      <c r="L21" s="116"/>
      <c r="M21" s="116"/>
      <c r="N21" s="116"/>
      <c r="O21" s="116"/>
      <c r="P21" s="116"/>
      <c r="Q21" s="116"/>
      <c r="R21" s="116"/>
      <c r="S21" s="116"/>
      <c r="T21" s="116"/>
      <c r="U21" s="116"/>
      <c r="V21" s="116"/>
      <c r="W21" s="116"/>
      <c r="X21" s="116"/>
      <c r="Y21" s="116"/>
      <c r="Z21" s="116"/>
      <c r="AA21" s="646"/>
      <c r="AG21" s="151"/>
    </row>
    <row r="22" spans="1:33" ht="24.2" customHeight="1">
      <c r="E22" s="623">
        <v>24.9</v>
      </c>
      <c r="AB22" s="308" t="s">
        <v>17</v>
      </c>
      <c r="AC22" s="309"/>
      <c r="AD22" s="309"/>
    </row>
    <row r="23" spans="1:33" ht="16.149999999999999" customHeight="1">
      <c r="E23" s="623">
        <v>16.5</v>
      </c>
      <c r="AB23" s="313" t="s">
        <v>18</v>
      </c>
    </row>
    <row r="24" spans="1:33" ht="34.35" customHeight="1">
      <c r="B24" s="772" t="b">
        <v>1</v>
      </c>
      <c r="E24" s="623">
        <v>35.299999999999997</v>
      </c>
      <c r="H24" s="116">
        <v>2</v>
      </c>
      <c r="AB24" s="310" t="s">
        <v>19</v>
      </c>
      <c r="AC24" s="311" t="s">
        <v>20</v>
      </c>
      <c r="AD24" s="312" t="s">
        <v>21</v>
      </c>
    </row>
    <row r="25" spans="1:33" ht="37.35" customHeight="1">
      <c r="B25" s="772" t="b">
        <v>1</v>
      </c>
      <c r="E25" s="623">
        <v>38.299999999999997</v>
      </c>
      <c r="H25" s="116">
        <f t="shared" ref="H25:H47" si="0">IF(B24,H24+1,H24)</f>
        <v>3</v>
      </c>
      <c r="AB25" s="310" t="s">
        <v>19</v>
      </c>
      <c r="AC25" s="311" t="s">
        <v>22</v>
      </c>
      <c r="AD25" s="312" t="s">
        <v>23</v>
      </c>
    </row>
    <row r="26" spans="1:33" ht="27.2" customHeight="1">
      <c r="B26" s="772" t="b">
        <v>1</v>
      </c>
      <c r="E26" s="623">
        <v>27.9</v>
      </c>
      <c r="H26" s="116">
        <f t="shared" si="0"/>
        <v>4</v>
      </c>
      <c r="AB26" s="310" t="s">
        <v>19</v>
      </c>
      <c r="AC26" s="311" t="s">
        <v>24</v>
      </c>
      <c r="AD26" s="312" t="s">
        <v>25</v>
      </c>
    </row>
    <row r="27" spans="1:33" ht="27.2" customHeight="1">
      <c r="B27" s="772" t="b">
        <f>AND(NOT(method_reg="Метод экономически обоснованных расходов"),NOT(method_reg="Метод сравнения аналогов"))</f>
        <v>1</v>
      </c>
      <c r="E27" s="623">
        <v>27.9</v>
      </c>
      <c r="H27" s="116">
        <f t="shared" si="0"/>
        <v>5</v>
      </c>
      <c r="AB27" s="310" t="s">
        <v>19</v>
      </c>
      <c r="AC27" s="311" t="s">
        <v>26</v>
      </c>
      <c r="AD27" s="312" t="s">
        <v>27</v>
      </c>
    </row>
    <row r="28" spans="1:33" ht="27.2" customHeight="1">
      <c r="B28" s="772" t="b">
        <f>NOT(method_reg="Метод сравнения аналогов")</f>
        <v>1</v>
      </c>
      <c r="E28" s="623">
        <v>27.9</v>
      </c>
      <c r="H28" s="116">
        <f t="shared" si="0"/>
        <v>6</v>
      </c>
      <c r="AB28" s="310" t="s">
        <v>19</v>
      </c>
      <c r="AC28" s="311" t="s">
        <v>28</v>
      </c>
      <c r="AD28" s="312" t="s">
        <v>29</v>
      </c>
    </row>
    <row r="29" spans="1:33" ht="27.75" hidden="1" customHeight="1">
      <c r="B29" s="772" t="b">
        <f>(method_reg="Метод сравнения аналогов")</f>
        <v>0</v>
      </c>
      <c r="H29" s="116">
        <f t="shared" si="0"/>
        <v>7</v>
      </c>
      <c r="AB29" s="310" t="s">
        <v>30</v>
      </c>
      <c r="AC29" s="311" t="s">
        <v>31</v>
      </c>
      <c r="AD29" s="312" t="s">
        <v>29</v>
      </c>
    </row>
    <row r="30" spans="1:33" ht="27.2" customHeight="1">
      <c r="B30" s="772" t="b">
        <v>1</v>
      </c>
      <c r="E30" s="623">
        <v>27.9</v>
      </c>
      <c r="H30" s="116">
        <f t="shared" si="0"/>
        <v>7</v>
      </c>
      <c r="AB30" s="310" t="s">
        <v>19</v>
      </c>
      <c r="AC30" s="311" t="s">
        <v>32</v>
      </c>
      <c r="AD30" s="322" t="s">
        <v>33</v>
      </c>
    </row>
    <row r="31" spans="1:33" ht="27.2" customHeight="1">
      <c r="B31" s="772" t="b">
        <f t="shared" ref="B31:B36" si="1">NOT(method_reg="Метод сравнения аналогов")</f>
        <v>1</v>
      </c>
      <c r="E31" s="623">
        <v>27.9</v>
      </c>
      <c r="H31" s="116">
        <f t="shared" si="0"/>
        <v>8</v>
      </c>
      <c r="AB31" s="310" t="s">
        <v>19</v>
      </c>
      <c r="AC31" s="311" t="s">
        <v>34</v>
      </c>
      <c r="AD31" s="311" t="s">
        <v>35</v>
      </c>
    </row>
    <row r="32" spans="1:33" ht="27.2" customHeight="1">
      <c r="B32" s="772" t="b">
        <f t="shared" si="1"/>
        <v>1</v>
      </c>
      <c r="E32" s="623">
        <v>27.9</v>
      </c>
      <c r="H32" s="116">
        <f t="shared" si="0"/>
        <v>9</v>
      </c>
      <c r="AB32" s="310" t="s">
        <v>19</v>
      </c>
      <c r="AC32" s="311" t="s">
        <v>36</v>
      </c>
      <c r="AD32" s="312" t="s">
        <v>37</v>
      </c>
    </row>
    <row r="33" spans="2:30" ht="27.2" customHeight="1">
      <c r="B33" s="772" t="b">
        <f t="shared" si="1"/>
        <v>1</v>
      </c>
      <c r="E33" s="623">
        <v>27.9</v>
      </c>
      <c r="H33" s="116">
        <f t="shared" si="0"/>
        <v>10</v>
      </c>
      <c r="AB33" s="310" t="s">
        <v>19</v>
      </c>
      <c r="AC33" s="311" t="s">
        <v>38</v>
      </c>
      <c r="AD33" s="312" t="s">
        <v>39</v>
      </c>
    </row>
    <row r="34" spans="2:30" ht="27.2" customHeight="1">
      <c r="B34" s="772" t="b">
        <f t="shared" si="1"/>
        <v>1</v>
      </c>
      <c r="E34" s="623">
        <v>27.9</v>
      </c>
      <c r="H34" s="116">
        <f t="shared" si="0"/>
        <v>11</v>
      </c>
      <c r="AB34" s="310" t="s">
        <v>19</v>
      </c>
      <c r="AC34" s="311" t="s">
        <v>40</v>
      </c>
      <c r="AD34" s="312" t="s">
        <v>41</v>
      </c>
    </row>
    <row r="35" spans="2:30" ht="27.2" customHeight="1">
      <c r="B35" s="772" t="b">
        <f t="shared" si="1"/>
        <v>1</v>
      </c>
      <c r="E35" s="623">
        <v>27.9</v>
      </c>
      <c r="H35" s="116">
        <f t="shared" si="0"/>
        <v>12</v>
      </c>
      <c r="AB35" s="310" t="s">
        <v>19</v>
      </c>
      <c r="AC35" s="311" t="s">
        <v>42</v>
      </c>
      <c r="AD35" s="311" t="s">
        <v>43</v>
      </c>
    </row>
    <row r="36" spans="2:30" ht="27.2" customHeight="1">
      <c r="B36" s="772" t="b">
        <f t="shared" si="1"/>
        <v>1</v>
      </c>
      <c r="E36" s="623">
        <v>27.9</v>
      </c>
      <c r="H36" s="116">
        <f t="shared" si="0"/>
        <v>13</v>
      </c>
      <c r="AB36" s="310" t="s">
        <v>19</v>
      </c>
      <c r="AC36" s="311" t="s">
        <v>44</v>
      </c>
      <c r="AD36" s="311" t="s">
        <v>45</v>
      </c>
    </row>
    <row r="37" spans="2:30" ht="27.2" hidden="1" customHeight="1">
      <c r="B37" s="772" t="b">
        <f>AND(god=first_year,NOT(method_reg="Метод сравнения аналогов"))</f>
        <v>0</v>
      </c>
      <c r="E37" s="623">
        <v>27.9</v>
      </c>
      <c r="H37" s="116">
        <f t="shared" si="0"/>
        <v>14</v>
      </c>
      <c r="AB37" s="310" t="s">
        <v>30</v>
      </c>
      <c r="AC37" s="311" t="s">
        <v>46</v>
      </c>
      <c r="AD37" s="322" t="s">
        <v>47</v>
      </c>
    </row>
    <row r="38" spans="2:30" ht="27.2" customHeight="1">
      <c r="B38" s="772" t="b">
        <f>NOT(method_reg="Метод сравнения аналогов")</f>
        <v>1</v>
      </c>
      <c r="E38" s="623">
        <v>27.8</v>
      </c>
      <c r="H38" s="116">
        <f t="shared" si="0"/>
        <v>14</v>
      </c>
      <c r="AB38" s="310" t="s">
        <v>19</v>
      </c>
      <c r="AC38" s="311" t="s">
        <v>48</v>
      </c>
      <c r="AD38" s="311" t="s">
        <v>49</v>
      </c>
    </row>
    <row r="39" spans="2:30" ht="27.2" customHeight="1">
      <c r="B39" s="772" t="b">
        <f>OR(method_reg="Метод индексации",method_reg="Метод обеспечения доходности инвестированного капитала")</f>
        <v>1</v>
      </c>
      <c r="E39" s="623">
        <v>27.9</v>
      </c>
      <c r="H39" s="116">
        <f t="shared" si="0"/>
        <v>15</v>
      </c>
      <c r="AB39" s="310" t="s">
        <v>19</v>
      </c>
      <c r="AC39" s="311" t="s">
        <v>50</v>
      </c>
      <c r="AD39" s="312" t="s">
        <v>51</v>
      </c>
    </row>
    <row r="40" spans="2:30" ht="27.2" customHeight="1">
      <c r="B40" s="772" t="b">
        <f>OR(method_reg="Метод индексации",method_reg="Метод обеспечения доходности инвестированного капитала")</f>
        <v>1</v>
      </c>
      <c r="E40" s="623">
        <v>27.9</v>
      </c>
      <c r="H40" s="116">
        <f t="shared" si="0"/>
        <v>16</v>
      </c>
      <c r="AB40" s="310" t="s">
        <v>19</v>
      </c>
      <c r="AC40" s="311" t="s">
        <v>52</v>
      </c>
      <c r="AD40" s="312" t="s">
        <v>53</v>
      </c>
    </row>
    <row r="41" spans="2:30" ht="27.2" customHeight="1">
      <c r="B41" s="772" t="b">
        <f>OR(method_reg="Метод индексации",method_reg="Метод обеспечения доходности инвестированного капитала")</f>
        <v>1</v>
      </c>
      <c r="E41" s="623">
        <v>27.9</v>
      </c>
      <c r="H41" s="116">
        <f t="shared" si="0"/>
        <v>17</v>
      </c>
      <c r="AB41" s="310" t="s">
        <v>19</v>
      </c>
      <c r="AC41" s="311" t="s">
        <v>54</v>
      </c>
      <c r="AD41" s="312" t="s">
        <v>55</v>
      </c>
    </row>
    <row r="42" spans="2:30" ht="27.2" customHeight="1">
      <c r="B42" s="772" t="b">
        <f>OR(method_reg="Метод индексации",method_reg="Метод обеспечения доходности инвестированного капитала")</f>
        <v>1</v>
      </c>
      <c r="E42" s="623">
        <v>27.9</v>
      </c>
      <c r="H42" s="116">
        <f t="shared" si="0"/>
        <v>18</v>
      </c>
      <c r="AB42" s="310" t="s">
        <v>19</v>
      </c>
      <c r="AC42" s="311" t="s">
        <v>56</v>
      </c>
      <c r="AD42" s="312" t="s">
        <v>57</v>
      </c>
    </row>
    <row r="43" spans="2:30" ht="27.2" customHeight="1">
      <c r="B43" s="772" t="b">
        <f>OR(method_reg="Метод индексации",method_reg="Метод обеспечения доходности инвестированного капитала")</f>
        <v>1</v>
      </c>
      <c r="E43" s="623">
        <v>27.9</v>
      </c>
      <c r="H43" s="116">
        <f t="shared" si="0"/>
        <v>19</v>
      </c>
      <c r="AB43" s="310" t="s">
        <v>19</v>
      </c>
      <c r="AC43" s="311" t="s">
        <v>58</v>
      </c>
      <c r="AD43" s="312" t="s">
        <v>59</v>
      </c>
    </row>
    <row r="44" spans="2:30" ht="27.2" hidden="1" customHeight="1">
      <c r="B44" s="772" t="b">
        <f>method_reg="Метод экономически обоснованных расходов"</f>
        <v>0</v>
      </c>
      <c r="E44" s="623">
        <v>27.9</v>
      </c>
      <c r="H44" s="116">
        <f t="shared" si="0"/>
        <v>20</v>
      </c>
      <c r="AB44" s="310" t="s">
        <v>30</v>
      </c>
      <c r="AC44" s="311" t="s">
        <v>60</v>
      </c>
      <c r="AD44" s="311" t="s">
        <v>61</v>
      </c>
    </row>
    <row r="45" spans="2:30" ht="27.2" customHeight="1">
      <c r="B45" s="772" t="b">
        <f>OR(method_reg="Метод индексации",method_reg="Метод обеспечения доходности инвестированного капитала")</f>
        <v>1</v>
      </c>
      <c r="E45" s="623">
        <v>27.9</v>
      </c>
      <c r="H45" s="116">
        <f t="shared" si="0"/>
        <v>20</v>
      </c>
      <c r="AB45" s="310" t="s">
        <v>19</v>
      </c>
      <c r="AC45" s="311" t="s">
        <v>62</v>
      </c>
      <c r="AD45" s="312" t="s">
        <v>63</v>
      </c>
    </row>
    <row r="46" spans="2:30" ht="27.2" hidden="1" customHeight="1">
      <c r="B46" s="772" t="b">
        <f>(method_reg="Метод сравнения аналогов")</f>
        <v>0</v>
      </c>
      <c r="E46" s="623">
        <v>27.9</v>
      </c>
      <c r="H46" s="116">
        <f t="shared" si="0"/>
        <v>21</v>
      </c>
      <c r="AB46" s="310" t="s">
        <v>30</v>
      </c>
      <c r="AC46" s="311" t="s">
        <v>64</v>
      </c>
      <c r="AD46" s="322" t="s">
        <v>65</v>
      </c>
    </row>
    <row r="47" spans="2:30" ht="27.2" hidden="1" customHeight="1">
      <c r="B47" s="772" t="b">
        <f>(method_reg="Метод сравнения аналогов")</f>
        <v>0</v>
      </c>
      <c r="E47" s="623">
        <v>27.9</v>
      </c>
      <c r="H47" s="116">
        <f t="shared" si="0"/>
        <v>21</v>
      </c>
      <c r="AB47" s="310" t="s">
        <v>30</v>
      </c>
      <c r="AC47" s="311" t="s">
        <v>66</v>
      </c>
      <c r="AD47" s="322" t="s">
        <v>67</v>
      </c>
    </row>
    <row r="48" spans="2:30" ht="27.2" hidden="1" customHeight="1">
      <c r="B48" s="772" t="b">
        <f>(method_reg="Метод сравнения аналогов")</f>
        <v>0</v>
      </c>
      <c r="E48" s="623">
        <v>27.9</v>
      </c>
      <c r="H48" s="116">
        <f>IF(B46,H46+1,H46)</f>
        <v>21</v>
      </c>
      <c r="AB48" s="310" t="s">
        <v>30</v>
      </c>
      <c r="AC48" s="311" t="s">
        <v>68</v>
      </c>
      <c r="AD48" s="312" t="s">
        <v>69</v>
      </c>
    </row>
    <row r="49" spans="2:30" ht="27.2" customHeight="1">
      <c r="B49" s="772" t="b">
        <f>NOT(method_reg="Метод сравнения аналогов")</f>
        <v>1</v>
      </c>
      <c r="E49" s="623">
        <v>27.9</v>
      </c>
      <c r="H49" s="116">
        <f>IF(B44,H44+1,H44)</f>
        <v>20</v>
      </c>
      <c r="AB49" s="310" t="s">
        <v>19</v>
      </c>
      <c r="AC49" s="311" t="s">
        <v>70</v>
      </c>
      <c r="AD49" s="312" t="s">
        <v>71</v>
      </c>
    </row>
    <row r="50" spans="2:30" ht="27.2" customHeight="1">
      <c r="B50" s="772" t="b">
        <f>OR(method_reg="Метод индексации",method_reg="Метод обеспечения доходности инвестированного капитала")</f>
        <v>1</v>
      </c>
      <c r="E50" s="623">
        <v>27.9</v>
      </c>
      <c r="H50" s="116">
        <f>IF(B49,H49+1,H49)</f>
        <v>21</v>
      </c>
      <c r="AB50" s="310" t="s">
        <v>19</v>
      </c>
      <c r="AC50" s="311" t="s">
        <v>72</v>
      </c>
      <c r="AD50" s="311" t="s">
        <v>73</v>
      </c>
    </row>
    <row r="51" spans="2:30" ht="27.75" hidden="1" customHeight="1">
      <c r="E51" s="623">
        <v>0</v>
      </c>
      <c r="AB51" s="310"/>
      <c r="AC51" s="311"/>
      <c r="AD51" s="312"/>
    </row>
  </sheetData>
  <sheetProtection formatColumns="0" formatRows="0" insertRows="0" deleteColumns="0" deleteRows="0" sort="0" autoFilter="0"/>
  <pageMargins left="0.7" right="0.7" top="0.75" bottom="0.75" header="0.3" footer="0.3"/>
  <pageSetup orientation="portrait"/>
  <headerFooter>
    <oddHeader>&amp;L&amp;C&amp;R</oddHeader>
    <oddFooter>&amp;L&amp;C&amp;R</oddFooter>
    <evenHeader>&amp;L&amp;C&amp;R</evenHeader>
    <evenFooter>&amp;L&amp;C&amp;R</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pageSetUpPr fitToPage="1"/>
  </sheetPr>
  <dimension ref="A1:BS50"/>
  <sheetViews>
    <sheetView showGridLines="0" workbookViewId="0">
      <pane xSplit="34" ySplit="25" topLeftCell="AI36" activePane="bottomRight" state="frozen"/>
      <selection pane="topRight" activeCell="AI1" sqref="AI1"/>
      <selection pane="bottomLeft" activeCell="A26" sqref="A26"/>
      <selection pane="bottomRight" activeCell="AA21" sqref="AA21"/>
    </sheetView>
  </sheetViews>
  <sheetFormatPr defaultColWidth="9.140625" defaultRowHeight="11.25" customHeight="1"/>
  <cols>
    <col min="1" max="1" width="3.5703125" style="165" hidden="1" customWidth="1"/>
    <col min="2" max="2" width="8.5703125" style="718" hidden="1" customWidth="1"/>
    <col min="3" max="4" width="3.5703125" style="165" hidden="1" customWidth="1"/>
    <col min="5" max="5" width="8.42578125" style="717" hidden="1" customWidth="1"/>
    <col min="6" max="6" width="3.5703125" style="165" hidden="1" customWidth="1"/>
    <col min="7" max="16" width="3.5703125" style="167" hidden="1" customWidth="1"/>
    <col min="17" max="18" width="3.5703125" style="130" hidden="1" customWidth="1"/>
    <col min="19" max="19" width="3.5703125" style="167" hidden="1" customWidth="1"/>
    <col min="20" max="20" width="8.28515625" style="1012" hidden="1" customWidth="1"/>
    <col min="21" max="21" width="6" style="1012" hidden="1" customWidth="1"/>
    <col min="22" max="23" width="6.28515625" style="1012" hidden="1" customWidth="1"/>
    <col min="24" max="25" width="5.7109375" style="1012" hidden="1" customWidth="1"/>
    <col min="26" max="26" width="5.42578125" style="1012" hidden="1" customWidth="1"/>
    <col min="27" max="27" width="3" style="167" customWidth="1"/>
    <col min="28" max="28" width="8.140625" style="165" customWidth="1"/>
    <col min="29" max="29" width="70.140625" style="166" customWidth="1"/>
    <col min="30" max="30" width="14.42578125" style="165" customWidth="1"/>
    <col min="31" max="33" width="13.28515625" style="167" hidden="1" customWidth="1"/>
    <col min="34" max="34" width="26.28515625" style="167" hidden="1" customWidth="1"/>
    <col min="35" max="36" width="12.5703125" style="167" customWidth="1"/>
    <col min="37" max="45" width="12.5703125" style="167" hidden="1" customWidth="1"/>
    <col min="46" max="46" width="12.5703125" style="167" customWidth="1"/>
    <col min="47" max="55" width="12.5703125" style="167" hidden="1" customWidth="1"/>
    <col min="56" max="56" width="12.5703125" style="167" customWidth="1"/>
    <col min="57" max="65" width="12.5703125" style="167" hidden="1" customWidth="1"/>
    <col min="66" max="66" width="19" style="167" customWidth="1"/>
    <col min="67" max="67" width="17.28515625" style="167" customWidth="1"/>
    <col min="68" max="68" width="31.28515625" style="167" customWidth="1"/>
    <col min="69" max="69" width="3" style="167" customWidth="1"/>
    <col min="70" max="70" width="9.140625" style="167" hidden="1"/>
    <col min="71" max="71" width="9.140625" style="943" hidden="1"/>
  </cols>
  <sheetData>
    <row r="1" spans="1:71" s="165" customFormat="1" ht="12" hidden="1" customHeight="1">
      <c r="B1" s="614"/>
      <c r="E1" s="614"/>
      <c r="F1" s="634" t="s">
        <v>77</v>
      </c>
      <c r="G1" s="167"/>
      <c r="H1" s="167"/>
      <c r="I1" s="167"/>
      <c r="J1" s="167"/>
      <c r="K1" s="167"/>
      <c r="L1" s="167"/>
      <c r="M1" s="167"/>
      <c r="N1" s="167"/>
      <c r="O1" s="167"/>
      <c r="P1" s="167"/>
      <c r="Q1" s="130"/>
      <c r="R1" s="130"/>
      <c r="S1" s="167"/>
      <c r="T1" s="634" t="s">
        <v>78</v>
      </c>
      <c r="U1" s="634" t="s">
        <v>83</v>
      </c>
      <c r="V1" s="634" t="s">
        <v>79</v>
      </c>
      <c r="W1" s="634" t="s">
        <v>80</v>
      </c>
      <c r="X1" s="634" t="s">
        <v>81</v>
      </c>
      <c r="Y1" s="645" t="s">
        <v>274</v>
      </c>
      <c r="Z1" s="634" t="s">
        <v>85</v>
      </c>
      <c r="AA1" s="645" t="s">
        <v>82</v>
      </c>
      <c r="AB1" s="645" t="s">
        <v>84</v>
      </c>
      <c r="AC1" s="169"/>
      <c r="BS1" s="943" t="s">
        <v>275</v>
      </c>
    </row>
    <row r="2" spans="1:71" s="718" customFormat="1" ht="12" hidden="1" customHeight="1">
      <c r="B2" s="703" t="s">
        <v>15</v>
      </c>
      <c r="G2" s="721"/>
      <c r="H2" s="721"/>
      <c r="I2" s="721"/>
      <c r="J2" s="721"/>
      <c r="K2" s="721"/>
      <c r="L2" s="721"/>
      <c r="M2" s="721"/>
      <c r="N2" s="721"/>
      <c r="O2" s="721"/>
      <c r="P2" s="721"/>
      <c r="Q2" s="721"/>
      <c r="R2" s="721"/>
      <c r="S2" s="721"/>
      <c r="AC2" s="618"/>
      <c r="AJ2" s="635" t="b">
        <f t="shared" ref="AJ2:BM2" si="0">AJ6&lt;=last_year_vis</f>
        <v>1</v>
      </c>
      <c r="AK2" s="635" t="b">
        <f t="shared" si="0"/>
        <v>0</v>
      </c>
      <c r="AL2" s="635" t="b">
        <f t="shared" si="0"/>
        <v>0</v>
      </c>
      <c r="AM2" s="635" t="b">
        <f t="shared" si="0"/>
        <v>0</v>
      </c>
      <c r="AN2" s="635" t="b">
        <f t="shared" si="0"/>
        <v>0</v>
      </c>
      <c r="AO2" s="635" t="b">
        <f t="shared" si="0"/>
        <v>0</v>
      </c>
      <c r="AP2" s="635" t="b">
        <f t="shared" si="0"/>
        <v>0</v>
      </c>
      <c r="AQ2" s="635" t="b">
        <f t="shared" si="0"/>
        <v>0</v>
      </c>
      <c r="AR2" s="635" t="b">
        <f t="shared" si="0"/>
        <v>0</v>
      </c>
      <c r="AS2" s="635" t="b">
        <f t="shared" si="0"/>
        <v>0</v>
      </c>
      <c r="AT2" s="635" t="b">
        <f t="shared" si="0"/>
        <v>1</v>
      </c>
      <c r="AU2" s="635" t="b">
        <f t="shared" si="0"/>
        <v>0</v>
      </c>
      <c r="AV2" s="635" t="b">
        <f t="shared" si="0"/>
        <v>0</v>
      </c>
      <c r="AW2" s="635" t="b">
        <f t="shared" si="0"/>
        <v>0</v>
      </c>
      <c r="AX2" s="635" t="b">
        <f t="shared" si="0"/>
        <v>0</v>
      </c>
      <c r="AY2" s="635" t="b">
        <f t="shared" si="0"/>
        <v>0</v>
      </c>
      <c r="AZ2" s="635" t="b">
        <f t="shared" si="0"/>
        <v>0</v>
      </c>
      <c r="BA2" s="635" t="b">
        <f t="shared" si="0"/>
        <v>0</v>
      </c>
      <c r="BB2" s="635" t="b">
        <f t="shared" si="0"/>
        <v>0</v>
      </c>
      <c r="BC2" s="635" t="b">
        <f t="shared" si="0"/>
        <v>0</v>
      </c>
      <c r="BD2" s="635" t="b">
        <f t="shared" si="0"/>
        <v>1</v>
      </c>
      <c r="BE2" s="635" t="b">
        <f t="shared" si="0"/>
        <v>0</v>
      </c>
      <c r="BF2" s="635" t="b">
        <f t="shared" si="0"/>
        <v>0</v>
      </c>
      <c r="BG2" s="635" t="b">
        <f t="shared" si="0"/>
        <v>0</v>
      </c>
      <c r="BH2" s="635" t="b">
        <f t="shared" si="0"/>
        <v>0</v>
      </c>
      <c r="BI2" s="635" t="b">
        <f t="shared" si="0"/>
        <v>0</v>
      </c>
      <c r="BJ2" s="635" t="b">
        <f t="shared" si="0"/>
        <v>0</v>
      </c>
      <c r="BK2" s="635" t="b">
        <f t="shared" si="0"/>
        <v>0</v>
      </c>
      <c r="BL2" s="635" t="b">
        <f t="shared" si="0"/>
        <v>0</v>
      </c>
      <c r="BM2" s="635" t="b">
        <f t="shared" si="0"/>
        <v>0</v>
      </c>
      <c r="BS2" s="878"/>
    </row>
    <row r="3" spans="1:71" s="165" customFormat="1" ht="12" hidden="1" customHeight="1">
      <c r="B3" s="614"/>
      <c r="E3" s="614"/>
      <c r="G3" s="167"/>
      <c r="H3" s="167"/>
      <c r="I3" s="167"/>
      <c r="J3" s="167"/>
      <c r="K3" s="167"/>
      <c r="L3" s="167"/>
      <c r="M3" s="167"/>
      <c r="N3" s="167"/>
      <c r="O3" s="167"/>
      <c r="P3" s="167"/>
      <c r="Q3" s="130"/>
      <c r="R3" s="130"/>
      <c r="S3" s="167"/>
      <c r="T3" s="113"/>
      <c r="U3" s="113"/>
      <c r="V3" s="113"/>
      <c r="W3" s="113"/>
      <c r="X3" s="113"/>
      <c r="Y3" s="113"/>
      <c r="Z3" s="113"/>
      <c r="AC3" s="169"/>
      <c r="BS3" s="943"/>
    </row>
    <row r="4" spans="1:71" s="165" customFormat="1" ht="12" hidden="1" customHeight="1">
      <c r="B4" s="614"/>
      <c r="E4" s="614"/>
      <c r="G4" s="167"/>
      <c r="H4" s="167"/>
      <c r="I4" s="167"/>
      <c r="J4" s="167"/>
      <c r="K4" s="167"/>
      <c r="L4" s="167"/>
      <c r="M4" s="167"/>
      <c r="N4" s="167"/>
      <c r="O4" s="167"/>
      <c r="P4" s="167"/>
      <c r="Q4" s="130"/>
      <c r="R4" s="130"/>
      <c r="S4" s="167"/>
      <c r="T4" s="113"/>
      <c r="U4" s="113"/>
      <c r="V4" s="113"/>
      <c r="W4" s="113"/>
      <c r="X4" s="113"/>
      <c r="Y4" s="113"/>
      <c r="Z4" s="113"/>
      <c r="AC4" s="169"/>
      <c r="BS4" s="943"/>
    </row>
    <row r="5" spans="1:71" s="717" customFormat="1" ht="12" hidden="1" customHeight="1">
      <c r="A5" s="614"/>
      <c r="B5" s="614"/>
      <c r="C5" s="614"/>
      <c r="D5" s="614"/>
      <c r="E5" s="623" t="s">
        <v>16</v>
      </c>
      <c r="G5" s="722"/>
      <c r="H5" s="722"/>
      <c r="I5" s="722"/>
      <c r="J5" s="722"/>
      <c r="K5" s="722"/>
      <c r="L5" s="722"/>
      <c r="M5" s="722"/>
      <c r="N5" s="722"/>
      <c r="O5" s="722"/>
      <c r="P5" s="722"/>
      <c r="Q5" s="722"/>
      <c r="R5" s="722"/>
      <c r="S5" s="722"/>
      <c r="AA5" s="623">
        <v>3</v>
      </c>
      <c r="AB5" s="623">
        <v>8.1300000000000008</v>
      </c>
      <c r="AC5" s="629">
        <v>70.13</v>
      </c>
      <c r="AD5" s="623">
        <v>14.38</v>
      </c>
      <c r="AE5" s="623">
        <v>0</v>
      </c>
      <c r="AF5" s="623">
        <v>0</v>
      </c>
      <c r="AG5" s="623">
        <v>0</v>
      </c>
      <c r="AH5" s="623">
        <v>0</v>
      </c>
      <c r="AI5" s="623">
        <v>12.63</v>
      </c>
      <c r="AJ5" s="623">
        <v>12.63</v>
      </c>
      <c r="AK5" s="623">
        <v>12.63</v>
      </c>
      <c r="AL5" s="623">
        <v>12.63</v>
      </c>
      <c r="AM5" s="623">
        <v>12.63</v>
      </c>
      <c r="AN5" s="623">
        <v>12.63</v>
      </c>
      <c r="AO5" s="623">
        <v>12.63</v>
      </c>
      <c r="AP5" s="623">
        <v>12.63</v>
      </c>
      <c r="AQ5" s="623">
        <v>12.63</v>
      </c>
      <c r="AR5" s="623">
        <v>12.63</v>
      </c>
      <c r="AS5" s="623">
        <v>12.63</v>
      </c>
      <c r="AT5" s="623">
        <v>12.63</v>
      </c>
      <c r="AU5" s="623">
        <v>12.63</v>
      </c>
      <c r="AV5" s="623">
        <v>12.63</v>
      </c>
      <c r="AW5" s="623">
        <v>12.63</v>
      </c>
      <c r="AX5" s="623">
        <v>12.63</v>
      </c>
      <c r="AY5" s="623">
        <v>12.63</v>
      </c>
      <c r="AZ5" s="623">
        <v>12.63</v>
      </c>
      <c r="BA5" s="623">
        <v>12.63</v>
      </c>
      <c r="BB5" s="623">
        <v>12.63</v>
      </c>
      <c r="BC5" s="623">
        <v>12.63</v>
      </c>
      <c r="BD5" s="623">
        <v>12.63</v>
      </c>
      <c r="BE5" s="623">
        <v>12.63</v>
      </c>
      <c r="BF5" s="623">
        <v>12.63</v>
      </c>
      <c r="BG5" s="623">
        <v>12.63</v>
      </c>
      <c r="BH5" s="623">
        <v>12.63</v>
      </c>
      <c r="BI5" s="623">
        <v>12.63</v>
      </c>
      <c r="BJ5" s="623">
        <v>12.63</v>
      </c>
      <c r="BK5" s="623">
        <v>12.63</v>
      </c>
      <c r="BL5" s="623">
        <v>12.63</v>
      </c>
      <c r="BM5" s="623">
        <v>12.63</v>
      </c>
      <c r="BN5" s="623">
        <v>19</v>
      </c>
      <c r="BO5" s="623">
        <v>17.25</v>
      </c>
      <c r="BP5" s="623">
        <v>31.25</v>
      </c>
      <c r="BQ5" s="623">
        <v>3</v>
      </c>
      <c r="BS5" s="878"/>
    </row>
    <row r="6" spans="1:71" s="165" customFormat="1" ht="12" hidden="1" customHeight="1">
      <c r="B6" s="614"/>
      <c r="E6" s="623"/>
      <c r="G6" s="167"/>
      <c r="H6" s="167"/>
      <c r="I6" s="167"/>
      <c r="J6" s="167"/>
      <c r="K6" s="167"/>
      <c r="L6" s="167"/>
      <c r="M6" s="167"/>
      <c r="N6" s="167"/>
      <c r="O6" s="167"/>
      <c r="P6" s="167"/>
      <c r="Q6" s="130"/>
      <c r="R6" s="130"/>
      <c r="S6" s="167"/>
      <c r="T6" s="113"/>
      <c r="U6" s="113"/>
      <c r="V6" s="113"/>
      <c r="W6" s="113"/>
      <c r="X6" s="113"/>
      <c r="Y6" s="113"/>
      <c r="Z6" s="113"/>
      <c r="AC6" s="169"/>
      <c r="AI6" s="113">
        <f>god-1</f>
        <v>2025</v>
      </c>
      <c r="AJ6" s="113">
        <f>god</f>
        <v>2026</v>
      </c>
      <c r="AK6" s="113">
        <f>god+1</f>
        <v>2027</v>
      </c>
      <c r="AL6" s="113">
        <f>god+2</f>
        <v>2028</v>
      </c>
      <c r="AM6" s="113">
        <f>god+3</f>
        <v>2029</v>
      </c>
      <c r="AN6" s="113">
        <f>god+4</f>
        <v>2030</v>
      </c>
      <c r="AO6" s="113">
        <f>god+5</f>
        <v>2031</v>
      </c>
      <c r="AP6" s="113">
        <f>god+6</f>
        <v>2032</v>
      </c>
      <c r="AQ6" s="113">
        <f>god+7</f>
        <v>2033</v>
      </c>
      <c r="AR6" s="113">
        <f>god+8</f>
        <v>2034</v>
      </c>
      <c r="AS6" s="113">
        <f>god+9</f>
        <v>2035</v>
      </c>
      <c r="AT6" s="113">
        <f>god</f>
        <v>2026</v>
      </c>
      <c r="AU6" s="113">
        <f>god+1</f>
        <v>2027</v>
      </c>
      <c r="AV6" s="113">
        <f>god+2</f>
        <v>2028</v>
      </c>
      <c r="AW6" s="113">
        <f>god+3</f>
        <v>2029</v>
      </c>
      <c r="AX6" s="113">
        <f>god+4</f>
        <v>2030</v>
      </c>
      <c r="AY6" s="113">
        <f>god+5</f>
        <v>2031</v>
      </c>
      <c r="AZ6" s="113">
        <f>god+6</f>
        <v>2032</v>
      </c>
      <c r="BA6" s="113">
        <f>god+7</f>
        <v>2033</v>
      </c>
      <c r="BB6" s="113">
        <f>god+8</f>
        <v>2034</v>
      </c>
      <c r="BC6" s="113">
        <f>god+9</f>
        <v>2035</v>
      </c>
      <c r="BD6" s="113">
        <f>god</f>
        <v>2026</v>
      </c>
      <c r="BE6" s="113">
        <f>god+1</f>
        <v>2027</v>
      </c>
      <c r="BF6" s="113">
        <f>god+2</f>
        <v>2028</v>
      </c>
      <c r="BG6" s="113">
        <f>god+3</f>
        <v>2029</v>
      </c>
      <c r="BH6" s="113">
        <f>god+4</f>
        <v>2030</v>
      </c>
      <c r="BI6" s="113">
        <f>god+5</f>
        <v>2031</v>
      </c>
      <c r="BJ6" s="113">
        <f>god+6</f>
        <v>2032</v>
      </c>
      <c r="BK6" s="113">
        <f>god+7</f>
        <v>2033</v>
      </c>
      <c r="BL6" s="113">
        <f>god+8</f>
        <v>2034</v>
      </c>
      <c r="BM6" s="113">
        <f>god+9</f>
        <v>2035</v>
      </c>
      <c r="BS6" s="943"/>
    </row>
    <row r="7" spans="1:71" ht="12" hidden="1" customHeight="1">
      <c r="F7" s="167"/>
      <c r="T7" s="150"/>
      <c r="U7" s="150"/>
      <c r="V7" s="150"/>
      <c r="W7" s="150"/>
      <c r="X7" s="150"/>
      <c r="Y7" s="150"/>
      <c r="Z7" s="150"/>
      <c r="AB7" s="167"/>
      <c r="AD7" s="167"/>
      <c r="AI7" s="150" t="str">
        <f>AI25</f>
        <v>Принято органом регулирования</v>
      </c>
      <c r="AJ7" s="150" t="str">
        <f t="shared" ref="AJ7:AS7" si="1">$AJ$25</f>
        <v>Предложение организации</v>
      </c>
      <c r="AK7" s="150" t="str">
        <f t="shared" si="1"/>
        <v>Предложение организации</v>
      </c>
      <c r="AL7" s="150" t="str">
        <f t="shared" si="1"/>
        <v>Предложение организации</v>
      </c>
      <c r="AM7" s="150" t="str">
        <f t="shared" si="1"/>
        <v>Предложение организации</v>
      </c>
      <c r="AN7" s="150" t="str">
        <f t="shared" si="1"/>
        <v>Предложение организации</v>
      </c>
      <c r="AO7" s="150" t="str">
        <f t="shared" si="1"/>
        <v>Предложение организации</v>
      </c>
      <c r="AP7" s="150" t="str">
        <f t="shared" si="1"/>
        <v>Предложение организации</v>
      </c>
      <c r="AQ7" s="150" t="str">
        <f t="shared" si="1"/>
        <v>Предложение организации</v>
      </c>
      <c r="AR7" s="150" t="str">
        <f t="shared" si="1"/>
        <v>Предложение организации</v>
      </c>
      <c r="AS7" s="150" t="str">
        <f t="shared" si="1"/>
        <v>Предложение организации</v>
      </c>
      <c r="AT7" s="150" t="str">
        <f t="shared" ref="AT7:BC7" si="2">$AT$25</f>
        <v>Принято органом регулирования</v>
      </c>
      <c r="AU7" s="150" t="str">
        <f t="shared" si="2"/>
        <v>Принято органом регулирования</v>
      </c>
      <c r="AV7" s="150" t="str">
        <f t="shared" si="2"/>
        <v>Принято органом регулирования</v>
      </c>
      <c r="AW7" s="150" t="str">
        <f t="shared" si="2"/>
        <v>Принято органом регулирования</v>
      </c>
      <c r="AX7" s="150" t="str">
        <f t="shared" si="2"/>
        <v>Принято органом регулирования</v>
      </c>
      <c r="AY7" s="150" t="str">
        <f t="shared" si="2"/>
        <v>Принято органом регулирования</v>
      </c>
      <c r="AZ7" s="150" t="str">
        <f t="shared" si="2"/>
        <v>Принято органом регулирования</v>
      </c>
      <c r="BA7" s="150" t="str">
        <f t="shared" si="2"/>
        <v>Принято органом регулирования</v>
      </c>
      <c r="BB7" s="150" t="str">
        <f t="shared" si="2"/>
        <v>Принято органом регулирования</v>
      </c>
      <c r="BC7" s="150" t="str">
        <f t="shared" si="2"/>
        <v>Принято органом регулирования</v>
      </c>
      <c r="BD7" s="150"/>
      <c r="BE7" s="150"/>
      <c r="BF7" s="150"/>
      <c r="BG7" s="150"/>
      <c r="BH7" s="150"/>
    </row>
    <row r="8" spans="1:71" ht="12" hidden="1" customHeight="1">
      <c r="F8" s="167"/>
      <c r="T8" s="150"/>
      <c r="U8" s="150"/>
      <c r="V8" s="150"/>
      <c r="W8" s="150"/>
      <c r="X8" s="150"/>
      <c r="Y8" s="150"/>
      <c r="Z8" s="150"/>
      <c r="AB8" s="167"/>
      <c r="AD8" s="167"/>
      <c r="AI8" s="150" t="str">
        <f t="shared" ref="AI8:BC8" si="3">AI6&amp;AI7</f>
        <v>2025Принято органом регулирования</v>
      </c>
      <c r="AJ8" s="150" t="str">
        <f t="shared" si="3"/>
        <v>2026Предложение организации</v>
      </c>
      <c r="AK8" s="150" t="str">
        <f t="shared" si="3"/>
        <v>2027Предложение организации</v>
      </c>
      <c r="AL8" s="150" t="str">
        <f t="shared" si="3"/>
        <v>2028Предложение организации</v>
      </c>
      <c r="AM8" s="150" t="str">
        <f t="shared" si="3"/>
        <v>2029Предложение организации</v>
      </c>
      <c r="AN8" s="150" t="str">
        <f t="shared" si="3"/>
        <v>2030Предложение организации</v>
      </c>
      <c r="AO8" s="150" t="str">
        <f t="shared" si="3"/>
        <v>2031Предложение организации</v>
      </c>
      <c r="AP8" s="150" t="str">
        <f t="shared" si="3"/>
        <v>2032Предложение организации</v>
      </c>
      <c r="AQ8" s="150" t="str">
        <f t="shared" si="3"/>
        <v>2033Предложение организации</v>
      </c>
      <c r="AR8" s="150" t="str">
        <f t="shared" si="3"/>
        <v>2034Предложение организации</v>
      </c>
      <c r="AS8" s="150" t="str">
        <f t="shared" si="3"/>
        <v>2035Предложение организации</v>
      </c>
      <c r="AT8" s="150" t="str">
        <f t="shared" si="3"/>
        <v>2026Принято органом регулирования</v>
      </c>
      <c r="AU8" s="150" t="str">
        <f t="shared" si="3"/>
        <v>2027Принято органом регулирования</v>
      </c>
      <c r="AV8" s="150" t="str">
        <f t="shared" si="3"/>
        <v>2028Принято органом регулирования</v>
      </c>
      <c r="AW8" s="150" t="str">
        <f t="shared" si="3"/>
        <v>2029Принято органом регулирования</v>
      </c>
      <c r="AX8" s="150" t="str">
        <f t="shared" si="3"/>
        <v>2030Принято органом регулирования</v>
      </c>
      <c r="AY8" s="150" t="str">
        <f t="shared" si="3"/>
        <v>2031Принято органом регулирования</v>
      </c>
      <c r="AZ8" s="150" t="str">
        <f t="shared" si="3"/>
        <v>2032Принято органом регулирования</v>
      </c>
      <c r="BA8" s="150" t="str">
        <f t="shared" si="3"/>
        <v>2033Принято органом регулирования</v>
      </c>
      <c r="BB8" s="150" t="str">
        <f t="shared" si="3"/>
        <v>2034Принято органом регулирования</v>
      </c>
      <c r="BC8" s="150" t="str">
        <f t="shared" si="3"/>
        <v>2035Принято органом регулирования</v>
      </c>
      <c r="BD8" s="150"/>
      <c r="BE8" s="150"/>
      <c r="BF8" s="150"/>
      <c r="BG8" s="150"/>
      <c r="BH8" s="150"/>
    </row>
    <row r="9" spans="1:71" s="943" customFormat="1" ht="12" hidden="1" customHeight="1">
      <c r="A9" s="913" t="s">
        <v>327</v>
      </c>
      <c r="B9" s="878"/>
      <c r="E9" s="878"/>
      <c r="Q9" s="923"/>
      <c r="R9" s="923"/>
      <c r="T9" s="891"/>
      <c r="U9" s="891"/>
      <c r="V9" s="891"/>
      <c r="W9" s="891"/>
      <c r="X9" s="891"/>
      <c r="Y9" s="891"/>
      <c r="Z9" s="891"/>
      <c r="AI9" s="943">
        <f>god-1</f>
        <v>2025</v>
      </c>
      <c r="AJ9" s="943">
        <f>god</f>
        <v>2026</v>
      </c>
      <c r="AK9" s="943">
        <f>god+1</f>
        <v>2027</v>
      </c>
      <c r="AL9" s="943">
        <f>god+2</f>
        <v>2028</v>
      </c>
      <c r="AM9" s="943">
        <f>god+3</f>
        <v>2029</v>
      </c>
      <c r="AN9" s="943">
        <f>god+4</f>
        <v>2030</v>
      </c>
      <c r="AO9" s="943">
        <f>god+5</f>
        <v>2031</v>
      </c>
      <c r="AP9" s="943">
        <f>god+6</f>
        <v>2032</v>
      </c>
      <c r="AQ9" s="943">
        <f>god+7</f>
        <v>2033</v>
      </c>
      <c r="AR9" s="943">
        <f>god+8</f>
        <v>2034</v>
      </c>
      <c r="AS9" s="943">
        <f>god+9</f>
        <v>2035</v>
      </c>
      <c r="AT9" s="943">
        <f>god</f>
        <v>2026</v>
      </c>
      <c r="AU9" s="943">
        <f>god+1</f>
        <v>2027</v>
      </c>
      <c r="AV9" s="943">
        <f>god+2</f>
        <v>2028</v>
      </c>
      <c r="AW9" s="943">
        <f>god+3</f>
        <v>2029</v>
      </c>
      <c r="AX9" s="943">
        <f>god+4</f>
        <v>2030</v>
      </c>
      <c r="AY9" s="943">
        <f>god+5</f>
        <v>2031</v>
      </c>
      <c r="AZ9" s="943">
        <f>god+6</f>
        <v>2032</v>
      </c>
      <c r="BA9" s="943">
        <f>god+7</f>
        <v>2033</v>
      </c>
      <c r="BB9" s="943">
        <f>god+8</f>
        <v>2034</v>
      </c>
      <c r="BC9" s="943">
        <f>god+9</f>
        <v>2035</v>
      </c>
      <c r="BD9" s="943">
        <f>god</f>
        <v>2026</v>
      </c>
      <c r="BE9" s="943">
        <f>god+1</f>
        <v>2027</v>
      </c>
      <c r="BF9" s="943">
        <f>god+2</f>
        <v>2028</v>
      </c>
      <c r="BG9" s="943">
        <f>god+3</f>
        <v>2029</v>
      </c>
      <c r="BH9" s="943">
        <f>god+4</f>
        <v>2030</v>
      </c>
      <c r="BI9" s="943">
        <f>god+5</f>
        <v>2031</v>
      </c>
      <c r="BJ9" s="943">
        <f>god+6</f>
        <v>2032</v>
      </c>
      <c r="BK9" s="943">
        <f>god+7</f>
        <v>2033</v>
      </c>
      <c r="BL9" s="943">
        <f>god+8</f>
        <v>2034</v>
      </c>
      <c r="BM9" s="943">
        <f>god+9</f>
        <v>2035</v>
      </c>
    </row>
    <row r="10" spans="1:71" s="943" customFormat="1" ht="12" hidden="1" customHeight="1">
      <c r="A10" s="913" t="s">
        <v>328</v>
      </c>
      <c r="B10" s="878"/>
      <c r="E10" s="878"/>
      <c r="Q10" s="923"/>
      <c r="R10" s="923"/>
      <c r="T10" s="891"/>
      <c r="U10" s="891"/>
      <c r="V10" s="891"/>
      <c r="W10" s="891"/>
      <c r="X10" s="891"/>
      <c r="Y10" s="891"/>
      <c r="Z10" s="891"/>
      <c r="AI10" s="943" t="str">
        <f t="shared" ref="AI10:BC10" si="4">AI25</f>
        <v>Принято органом регулирования</v>
      </c>
      <c r="AJ10" s="943" t="str">
        <f t="shared" si="4"/>
        <v>Предложение организации</v>
      </c>
      <c r="AK10" s="943" t="str">
        <f t="shared" si="4"/>
        <v>Предложение организации</v>
      </c>
      <c r="AL10" s="943" t="str">
        <f t="shared" si="4"/>
        <v>Предложение организации</v>
      </c>
      <c r="AM10" s="943" t="str">
        <f t="shared" si="4"/>
        <v>Предложение организации</v>
      </c>
      <c r="AN10" s="943" t="str">
        <f t="shared" si="4"/>
        <v>Предложение организации</v>
      </c>
      <c r="AO10" s="943" t="str">
        <f t="shared" si="4"/>
        <v>Предложение организации</v>
      </c>
      <c r="AP10" s="943" t="str">
        <f t="shared" si="4"/>
        <v>Предложение организации</v>
      </c>
      <c r="AQ10" s="943" t="str">
        <f t="shared" si="4"/>
        <v>Предложение организации</v>
      </c>
      <c r="AR10" s="943" t="str">
        <f t="shared" si="4"/>
        <v>Предложение организации</v>
      </c>
      <c r="AS10" s="943" t="str">
        <f t="shared" si="4"/>
        <v>Предложение организации</v>
      </c>
      <c r="AT10" s="943" t="str">
        <f t="shared" si="4"/>
        <v>Принято органом регулирования</v>
      </c>
      <c r="AU10" s="943" t="str">
        <f t="shared" si="4"/>
        <v>Принято органом регулирования</v>
      </c>
      <c r="AV10" s="943" t="str">
        <f t="shared" si="4"/>
        <v>Принято органом регулирования</v>
      </c>
      <c r="AW10" s="943" t="str">
        <f t="shared" si="4"/>
        <v>Принято органом регулирования</v>
      </c>
      <c r="AX10" s="943" t="str">
        <f t="shared" si="4"/>
        <v>Принято органом регулирования</v>
      </c>
      <c r="AY10" s="943" t="str">
        <f t="shared" si="4"/>
        <v>Принято органом регулирования</v>
      </c>
      <c r="AZ10" s="943" t="str">
        <f t="shared" si="4"/>
        <v>Принято органом регулирования</v>
      </c>
      <c r="BA10" s="943" t="str">
        <f t="shared" si="4"/>
        <v>Принято органом регулирования</v>
      </c>
      <c r="BB10" s="943" t="str">
        <f t="shared" si="4"/>
        <v>Принято органом регулирования</v>
      </c>
      <c r="BC10" s="943" t="str">
        <f t="shared" si="4"/>
        <v>Принято органом регулирования</v>
      </c>
    </row>
    <row r="11" spans="1:71" s="943" customFormat="1" ht="12" hidden="1" customHeight="1">
      <c r="A11" s="913" t="s">
        <v>329</v>
      </c>
      <c r="B11" s="878"/>
      <c r="E11" s="878"/>
      <c r="G11" s="946"/>
      <c r="H11" s="946"/>
      <c r="I11" s="946"/>
      <c r="J11" s="946"/>
      <c r="K11" s="946"/>
      <c r="L11" s="946"/>
      <c r="M11" s="946"/>
      <c r="N11" s="946"/>
      <c r="O11" s="946"/>
      <c r="P11" s="946"/>
      <c r="Q11" s="925"/>
      <c r="R11" s="925"/>
      <c r="S11" s="946"/>
      <c r="T11" s="891"/>
      <c r="U11" s="891"/>
      <c r="V11" s="891"/>
      <c r="W11" s="891"/>
      <c r="X11" s="891"/>
      <c r="Y11" s="891"/>
      <c r="Z11" s="891"/>
      <c r="AC11" s="947"/>
      <c r="BN11" s="943" t="str">
        <f>BN24</f>
        <v>Указание на подтверждающие документы / URL-ссылка на копии подтверждающих документов</v>
      </c>
      <c r="BO11" s="943" t="str">
        <f>BO24</f>
        <v>Ссылка на правовую норму (основание для принятия показателя в расчет тарифа)</v>
      </c>
      <c r="BP11" s="943"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r="12" spans="1:71" s="165" customFormat="1" ht="12" hidden="1" customHeight="1">
      <c r="B12" s="614"/>
      <c r="E12" s="623"/>
      <c r="G12" s="167"/>
      <c r="H12" s="167"/>
      <c r="I12" s="167"/>
      <c r="J12" s="167"/>
      <c r="K12" s="167"/>
      <c r="L12" s="167"/>
      <c r="M12" s="167"/>
      <c r="N12" s="167"/>
      <c r="O12" s="167"/>
      <c r="P12" s="167"/>
      <c r="Q12" s="130"/>
      <c r="R12" s="130"/>
      <c r="S12" s="167"/>
      <c r="T12" s="113"/>
      <c r="U12" s="113"/>
      <c r="V12" s="113"/>
      <c r="W12" s="113"/>
      <c r="X12" s="113"/>
      <c r="Y12" s="113"/>
      <c r="Z12" s="113"/>
      <c r="AC12" s="169"/>
      <c r="AE12" s="165">
        <f>god-2</f>
        <v>2024</v>
      </c>
      <c r="AF12" s="165">
        <f>god-2</f>
        <v>2024</v>
      </c>
      <c r="AG12" s="165">
        <f>god-2</f>
        <v>2024</v>
      </c>
      <c r="AH12" s="165">
        <f>god-2</f>
        <v>2024</v>
      </c>
      <c r="BS12" s="943"/>
    </row>
    <row r="13" spans="1:71" s="165" customFormat="1" ht="12" hidden="1" customHeight="1">
      <c r="B13" s="614"/>
      <c r="E13" s="623"/>
      <c r="G13" s="167"/>
      <c r="H13" s="167"/>
      <c r="I13" s="167"/>
      <c r="J13" s="167"/>
      <c r="K13" s="167"/>
      <c r="L13" s="167"/>
      <c r="M13" s="167"/>
      <c r="N13" s="167"/>
      <c r="O13" s="167"/>
      <c r="P13" s="167"/>
      <c r="Q13" s="130"/>
      <c r="R13" s="130"/>
      <c r="S13" s="167"/>
      <c r="T13" s="113"/>
      <c r="U13" s="113"/>
      <c r="V13" s="113"/>
      <c r="W13" s="113"/>
      <c r="X13" s="113"/>
      <c r="Y13" s="113"/>
      <c r="Z13" s="113"/>
      <c r="AC13" s="169"/>
      <c r="AE13" s="113" t="str">
        <f>AE25</f>
        <v>Принято органом регулирования</v>
      </c>
      <c r="AF13" s="113" t="str">
        <f>AF25</f>
        <v>Факт по данным организации</v>
      </c>
      <c r="AG13" s="113" t="str">
        <f>AG25</f>
        <v>Факт, принятый органом регулирования</v>
      </c>
      <c r="AH13" s="113" t="str">
        <f>AH25</f>
        <v>отклонение факта по данным организации к факту принятому органом регулирования</v>
      </c>
      <c r="BI13" s="113"/>
      <c r="BJ13" s="113"/>
      <c r="BK13" s="113"/>
      <c r="BL13" s="113"/>
      <c r="BM13" s="113"/>
      <c r="BS13" s="943"/>
    </row>
    <row r="14" spans="1:71" s="165" customFormat="1" ht="12" hidden="1" customHeight="1">
      <c r="B14" s="614"/>
      <c r="E14" s="623"/>
      <c r="G14" s="167"/>
      <c r="H14" s="167"/>
      <c r="I14" s="167"/>
      <c r="J14" s="167"/>
      <c r="K14" s="167"/>
      <c r="L14" s="167"/>
      <c r="M14" s="167"/>
      <c r="N14" s="167"/>
      <c r="O14" s="167"/>
      <c r="P14" s="167"/>
      <c r="Q14" s="130"/>
      <c r="R14" s="130"/>
      <c r="S14" s="167"/>
      <c r="T14" s="113"/>
      <c r="U14" s="113"/>
      <c r="V14" s="113"/>
      <c r="W14" s="113"/>
      <c r="X14" s="113"/>
      <c r="Y14" s="113"/>
      <c r="Z14" s="113"/>
      <c r="AC14" s="169"/>
      <c r="AE14" s="113" t="str">
        <f>AE12&amp;AE13</f>
        <v>2024Принято органом регулирования</v>
      </c>
      <c r="AF14" s="113" t="str">
        <f>AF12&amp;AF13</f>
        <v>2024Факт по данным организации</v>
      </c>
      <c r="AG14" s="113" t="str">
        <f>AG12&amp;AG13</f>
        <v>2024Факт, принятый органом регулирования</v>
      </c>
      <c r="AH14" s="113" t="str">
        <f>AH12&amp;AH13</f>
        <v>2024отклонение факта по данным организации к факту принятому органом регулирования</v>
      </c>
      <c r="BI14" s="113"/>
      <c r="BJ14" s="113"/>
      <c r="BK14" s="113"/>
      <c r="BL14" s="113"/>
      <c r="BM14" s="113"/>
      <c r="BS14" s="943"/>
    </row>
    <row r="15" spans="1:71" s="165" customFormat="1" ht="12" hidden="1" customHeight="1">
      <c r="B15" s="614"/>
      <c r="E15" s="623"/>
      <c r="G15" s="167"/>
      <c r="H15" s="167"/>
      <c r="I15" s="167"/>
      <c r="J15" s="167"/>
      <c r="K15" s="167"/>
      <c r="L15" s="167"/>
      <c r="M15" s="167"/>
      <c r="N15" s="167"/>
      <c r="O15" s="167"/>
      <c r="P15" s="167"/>
      <c r="Q15" s="130"/>
      <c r="R15" s="130"/>
      <c r="S15" s="167"/>
      <c r="T15" s="113"/>
      <c r="U15" s="113"/>
      <c r="V15" s="113"/>
      <c r="W15" s="113"/>
      <c r="X15" s="113"/>
      <c r="Y15" s="113"/>
      <c r="Z15" s="113"/>
      <c r="AC15" s="169"/>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S15" s="943"/>
    </row>
    <row r="16" spans="1:71" s="165" customFormat="1" ht="12" hidden="1" customHeight="1">
      <c r="B16" s="614"/>
      <c r="E16" s="623"/>
      <c r="G16" s="167"/>
      <c r="H16" s="167"/>
      <c r="I16" s="167"/>
      <c r="J16" s="167"/>
      <c r="K16" s="167"/>
      <c r="L16" s="167"/>
      <c r="M16" s="167"/>
      <c r="N16" s="167"/>
      <c r="O16" s="167"/>
      <c r="P16" s="167"/>
      <c r="Q16" s="130"/>
      <c r="R16" s="130"/>
      <c r="S16" s="167"/>
      <c r="T16" s="113"/>
      <c r="U16" s="113"/>
      <c r="V16" s="113"/>
      <c r="W16" s="113"/>
      <c r="X16" s="113"/>
      <c r="Y16" s="113"/>
      <c r="Z16" s="113"/>
      <c r="AC16" s="169"/>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S16" s="943"/>
    </row>
    <row r="17" spans="1:71" s="165" customFormat="1" ht="12" hidden="1" customHeight="1">
      <c r="B17" s="614"/>
      <c r="E17" s="623"/>
      <c r="G17" s="167"/>
      <c r="H17" s="167"/>
      <c r="I17" s="167"/>
      <c r="J17" s="167"/>
      <c r="K17" s="167"/>
      <c r="L17" s="167"/>
      <c r="M17" s="167"/>
      <c r="N17" s="167"/>
      <c r="O17" s="167"/>
      <c r="P17" s="167"/>
      <c r="Q17" s="130"/>
      <c r="R17" s="130"/>
      <c r="S17" s="167"/>
      <c r="T17" s="113"/>
      <c r="U17" s="113"/>
      <c r="V17" s="113"/>
      <c r="W17" s="113"/>
      <c r="X17" s="113"/>
      <c r="Y17" s="113"/>
      <c r="Z17" s="113"/>
      <c r="AC17" s="169"/>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S17" s="943"/>
    </row>
    <row r="18" spans="1:71" s="165" customFormat="1" ht="12" hidden="1" customHeight="1">
      <c r="B18" s="614"/>
      <c r="E18" s="623"/>
      <c r="G18" s="167"/>
      <c r="H18" s="167"/>
      <c r="I18" s="167"/>
      <c r="J18" s="167"/>
      <c r="K18" s="167"/>
      <c r="L18" s="167"/>
      <c r="M18" s="167"/>
      <c r="N18" s="167"/>
      <c r="O18" s="167"/>
      <c r="P18" s="167"/>
      <c r="Q18" s="130"/>
      <c r="R18" s="130"/>
      <c r="S18" s="167"/>
      <c r="T18" s="113"/>
      <c r="U18" s="113"/>
      <c r="V18" s="113"/>
      <c r="W18" s="113"/>
      <c r="X18" s="113"/>
      <c r="Y18" s="113"/>
      <c r="Z18" s="113"/>
      <c r="AC18" s="169"/>
      <c r="BI18" s="113"/>
      <c r="BJ18" s="113"/>
      <c r="BK18" s="113"/>
      <c r="BL18" s="113"/>
      <c r="BM18" s="113"/>
      <c r="BS18" s="943"/>
    </row>
    <row r="19" spans="1:71" s="165" customFormat="1" ht="12" hidden="1" customHeight="1">
      <c r="B19" s="614"/>
      <c r="E19" s="623"/>
      <c r="G19" s="167"/>
      <c r="H19" s="167"/>
      <c r="I19" s="167"/>
      <c r="J19" s="167"/>
      <c r="K19" s="167"/>
      <c r="L19" s="167"/>
      <c r="M19" s="167"/>
      <c r="N19" s="167"/>
      <c r="O19" s="167"/>
      <c r="P19" s="167"/>
      <c r="Q19" s="130"/>
      <c r="R19" s="130"/>
      <c r="S19" s="167"/>
      <c r="T19" s="113"/>
      <c r="U19" s="113"/>
      <c r="V19" s="113"/>
      <c r="W19" s="113"/>
      <c r="X19" s="113"/>
      <c r="Y19" s="113"/>
      <c r="Z19" s="113"/>
      <c r="AC19" s="169"/>
      <c r="BS19" s="943"/>
    </row>
    <row r="20" spans="1:71" s="165" customFormat="1" ht="11.1" hidden="1" customHeight="1">
      <c r="B20" s="614"/>
      <c r="E20" s="623">
        <v>11.4</v>
      </c>
      <c r="G20" s="167"/>
      <c r="H20" s="167"/>
      <c r="I20" s="167"/>
      <c r="J20" s="167"/>
      <c r="K20" s="167"/>
      <c r="L20" s="167"/>
      <c r="M20" s="167"/>
      <c r="N20" s="167"/>
      <c r="O20" s="167"/>
      <c r="P20" s="167"/>
      <c r="Q20" s="130"/>
      <c r="R20" s="130"/>
      <c r="S20" s="167"/>
      <c r="T20" s="113"/>
      <c r="U20" s="113"/>
      <c r="V20" s="113"/>
      <c r="W20" s="113"/>
      <c r="X20" s="113"/>
      <c r="Y20" s="113"/>
      <c r="Z20" s="113"/>
      <c r="AC20" s="169"/>
      <c r="BS20" s="943"/>
    </row>
    <row r="21" spans="1:71" ht="14.65" customHeight="1">
      <c r="E21" s="623">
        <v>15</v>
      </c>
      <c r="AA21" s="646"/>
      <c r="AB21" s="167"/>
      <c r="AC21" s="315" t="str">
        <f>tpl_title</f>
        <v>Кемеровская область / 2026 / АО "СУЭК-Кузбасс" (ИНН:4212024138, КПП:421201001) / ДПР: 2024-2028</v>
      </c>
      <c r="AD21" s="167"/>
    </row>
    <row r="22" spans="1:71" s="1018" customFormat="1" ht="19.5" customHeight="1">
      <c r="A22" s="120"/>
      <c r="B22" s="614"/>
      <c r="C22" s="120"/>
      <c r="D22" s="120"/>
      <c r="E22" s="623">
        <v>20.100000000000001</v>
      </c>
      <c r="F22" s="120"/>
      <c r="Q22" s="130"/>
      <c r="R22" s="130"/>
      <c r="T22" s="116"/>
      <c r="U22" s="116"/>
      <c r="V22" s="116"/>
      <c r="W22" s="116"/>
      <c r="X22" s="116"/>
      <c r="Y22" s="116"/>
      <c r="Z22" s="116"/>
      <c r="AB22" s="306" t="s">
        <v>53</v>
      </c>
      <c r="AC22" s="251"/>
      <c r="AD22" s="251"/>
      <c r="AE22" s="251"/>
      <c r="AF22" s="251"/>
      <c r="AG22" s="251"/>
      <c r="AH22" s="251"/>
      <c r="AI22" s="251"/>
      <c r="AJ22" s="251"/>
      <c r="AK22" s="251"/>
      <c r="AL22" s="251"/>
      <c r="AM22" s="251"/>
      <c r="AN22" s="251"/>
      <c r="AO22" s="251"/>
      <c r="AP22" s="251"/>
      <c r="AQ22" s="251"/>
      <c r="AR22" s="251"/>
      <c r="AS22" s="251"/>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S22" s="922"/>
    </row>
    <row r="23" spans="1:71" s="1018" customFormat="1" ht="9.9499999999999993" customHeight="1">
      <c r="A23" s="120"/>
      <c r="B23" s="614"/>
      <c r="C23" s="120"/>
      <c r="D23" s="120"/>
      <c r="E23" s="623">
        <v>10.199999999999999</v>
      </c>
      <c r="F23" s="120"/>
      <c r="Q23" s="130"/>
      <c r="R23" s="130"/>
      <c r="T23" s="116"/>
      <c r="U23" s="116"/>
      <c r="V23" s="116"/>
      <c r="W23" s="116"/>
      <c r="X23" s="116"/>
      <c r="Y23" s="116"/>
      <c r="Z23" s="116"/>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c r="BP23" s="168"/>
      <c r="BS23" s="922"/>
    </row>
    <row r="24" spans="1:71" s="166" customFormat="1" ht="24.2" customHeight="1">
      <c r="A24" s="169"/>
      <c r="B24" s="618"/>
      <c r="C24" s="169"/>
      <c r="D24" s="169"/>
      <c r="E24" s="629">
        <v>24.8</v>
      </c>
      <c r="F24" s="169"/>
      <c r="Q24" s="723"/>
      <c r="R24" s="723"/>
      <c r="T24" s="109"/>
      <c r="U24" s="109"/>
      <c r="V24" s="109"/>
      <c r="W24" s="109"/>
      <c r="X24" s="109"/>
      <c r="Y24" s="109"/>
      <c r="Z24" s="109"/>
      <c r="AB24" s="1503" t="s">
        <v>288</v>
      </c>
      <c r="AC24" s="1503" t="s">
        <v>330</v>
      </c>
      <c r="AD24" s="1503" t="s">
        <v>331</v>
      </c>
      <c r="AE24" s="107" t="str">
        <f>god-2&amp;" год"</f>
        <v>2024 год</v>
      </c>
      <c r="AF24" s="107" t="str">
        <f>god-2&amp;" год"</f>
        <v>2024 год</v>
      </c>
      <c r="AG24" s="107" t="str">
        <f>god-2&amp;" год"</f>
        <v>2024 год</v>
      </c>
      <c r="AH24" s="107" t="str">
        <f>god-2&amp;" год"</f>
        <v>2024 год</v>
      </c>
      <c r="AI24" s="107" t="str">
        <f>god-1&amp;" год"</f>
        <v>2025 год</v>
      </c>
      <c r="AJ24" s="1001" t="str">
        <f>god&amp;" год"</f>
        <v>2026 год</v>
      </c>
      <c r="AK24" s="1001" t="str">
        <f>god+1&amp;" год"</f>
        <v>2027 год</v>
      </c>
      <c r="AL24" s="1001" t="str">
        <f>god+2&amp;" год"</f>
        <v>2028 год</v>
      </c>
      <c r="AM24" s="1001" t="str">
        <f>god+3&amp;" год"</f>
        <v>2029 год</v>
      </c>
      <c r="AN24" s="1001" t="str">
        <f>god+4&amp;" год"</f>
        <v>2030 год</v>
      </c>
      <c r="AO24" s="1001" t="str">
        <f>god+5&amp;" год"</f>
        <v>2031 год</v>
      </c>
      <c r="AP24" s="1001" t="str">
        <f>god+6&amp;" год"</f>
        <v>2032 год</v>
      </c>
      <c r="AQ24" s="1001" t="str">
        <f>god+7&amp;" год"</f>
        <v>2033 год</v>
      </c>
      <c r="AR24" s="1001" t="str">
        <f>god+8&amp;" год"</f>
        <v>2034 год</v>
      </c>
      <c r="AS24" s="1001" t="str">
        <f>god+9&amp;" год"</f>
        <v>2035 год</v>
      </c>
      <c r="AT24" s="108" t="str">
        <f>god&amp;" год"</f>
        <v>2026 год</v>
      </c>
      <c r="AU24" s="108" t="str">
        <f>god+1&amp;" год"</f>
        <v>2027 год</v>
      </c>
      <c r="AV24" s="108" t="str">
        <f>god+2&amp;" год"</f>
        <v>2028 год</v>
      </c>
      <c r="AW24" s="108" t="str">
        <f>god+3&amp;" год"</f>
        <v>2029 год</v>
      </c>
      <c r="AX24" s="108" t="str">
        <f>god+4&amp;" год"</f>
        <v>2030 год</v>
      </c>
      <c r="AY24" s="108" t="str">
        <f>god+5&amp;" год"</f>
        <v>2031 год</v>
      </c>
      <c r="AZ24" s="108" t="str">
        <f>god+6&amp;" год"</f>
        <v>2032 год</v>
      </c>
      <c r="BA24" s="108" t="str">
        <f>god+7&amp;" год"</f>
        <v>2033 год</v>
      </c>
      <c r="BB24" s="108" t="str">
        <f>god+8&amp;" год"</f>
        <v>2034 год</v>
      </c>
      <c r="BC24" s="108" t="str">
        <f>god+9&amp;" год"</f>
        <v>2035 год</v>
      </c>
      <c r="BD24" s="108" t="str">
        <f>god&amp;" год"</f>
        <v>2026 год</v>
      </c>
      <c r="BE24" s="108" t="str">
        <f>god+1&amp;" год"</f>
        <v>2027 год</v>
      </c>
      <c r="BF24" s="108" t="str">
        <f>god+2&amp;" год"</f>
        <v>2028 год</v>
      </c>
      <c r="BG24" s="108" t="str">
        <f>god+3&amp;" год"</f>
        <v>2029 год</v>
      </c>
      <c r="BH24" s="108" t="str">
        <f>god+4&amp;" год"</f>
        <v>2030 год</v>
      </c>
      <c r="BI24" s="108" t="str">
        <f>god+5&amp;" год"</f>
        <v>2031 год</v>
      </c>
      <c r="BJ24" s="108" t="str">
        <f>god+6&amp;" год"</f>
        <v>2032 год</v>
      </c>
      <c r="BK24" s="108" t="str">
        <f>god+7&amp;" год"</f>
        <v>2033 год</v>
      </c>
      <c r="BL24" s="108" t="str">
        <f>god+8&amp;" год"</f>
        <v>2034 год</v>
      </c>
      <c r="BM24" s="108" t="str">
        <f>god+9&amp;" год"</f>
        <v>2035 год</v>
      </c>
      <c r="BN24" s="1493" t="s">
        <v>1090</v>
      </c>
      <c r="BO24" s="1493" t="s">
        <v>486</v>
      </c>
      <c r="BP24" s="1493" t="s">
        <v>1091</v>
      </c>
      <c r="BQ24" s="169"/>
      <c r="BS24" s="943"/>
    </row>
    <row r="25" spans="1:71" s="166" customFormat="1" ht="44.65" customHeight="1">
      <c r="A25" s="169"/>
      <c r="B25" s="618"/>
      <c r="C25" s="169"/>
      <c r="D25" s="169"/>
      <c r="E25" s="629">
        <v>45.8</v>
      </c>
      <c r="F25" s="169"/>
      <c r="Q25" s="723"/>
      <c r="R25" s="723"/>
      <c r="T25" s="109"/>
      <c r="U25" s="109"/>
      <c r="V25" s="109"/>
      <c r="W25" s="109"/>
      <c r="X25" s="109"/>
      <c r="Y25" s="109"/>
      <c r="Z25" s="109"/>
      <c r="AB25" s="1503"/>
      <c r="AC25" s="1503"/>
      <c r="AD25" s="1503"/>
      <c r="AE25" s="107" t="s">
        <v>304</v>
      </c>
      <c r="AF25" s="107" t="s">
        <v>487</v>
      </c>
      <c r="AG25" s="107" t="s">
        <v>488</v>
      </c>
      <c r="AH25" s="107" t="s">
        <v>1092</v>
      </c>
      <c r="AI25" s="107" t="s">
        <v>304</v>
      </c>
      <c r="AJ25" s="1002" t="s">
        <v>305</v>
      </c>
      <c r="AK25" s="1002" t="s">
        <v>305</v>
      </c>
      <c r="AL25" s="1002" t="s">
        <v>305</v>
      </c>
      <c r="AM25" s="1002" t="s">
        <v>305</v>
      </c>
      <c r="AN25" s="1002" t="s">
        <v>305</v>
      </c>
      <c r="AO25" s="1002" t="s">
        <v>305</v>
      </c>
      <c r="AP25" s="1002" t="s">
        <v>305</v>
      </c>
      <c r="AQ25" s="1002" t="s">
        <v>305</v>
      </c>
      <c r="AR25" s="1002" t="s">
        <v>305</v>
      </c>
      <c r="AS25" s="1002" t="s">
        <v>305</v>
      </c>
      <c r="AT25" s="324" t="s">
        <v>304</v>
      </c>
      <c r="AU25" s="324" t="s">
        <v>304</v>
      </c>
      <c r="AV25" s="324" t="s">
        <v>304</v>
      </c>
      <c r="AW25" s="324" t="s">
        <v>304</v>
      </c>
      <c r="AX25" s="324" t="s">
        <v>304</v>
      </c>
      <c r="AY25" s="324" t="s">
        <v>304</v>
      </c>
      <c r="AZ25" s="324" t="s">
        <v>304</v>
      </c>
      <c r="BA25" s="324" t="s">
        <v>304</v>
      </c>
      <c r="BB25" s="324" t="s">
        <v>304</v>
      </c>
      <c r="BC25" s="324" t="s">
        <v>304</v>
      </c>
      <c r="BD25" s="1493" t="s">
        <v>1093</v>
      </c>
      <c r="BE25" s="1493"/>
      <c r="BF25" s="1493"/>
      <c r="BG25" s="1493"/>
      <c r="BH25" s="1493"/>
      <c r="BI25" s="1493"/>
      <c r="BJ25" s="1493"/>
      <c r="BK25" s="1493"/>
      <c r="BL25" s="1493"/>
      <c r="BM25" s="1493"/>
      <c r="BN25" s="1493"/>
      <c r="BO25" s="1493"/>
      <c r="BP25" s="1493"/>
      <c r="BQ25" s="169"/>
      <c r="BS25" s="943"/>
    </row>
    <row r="26" spans="1:71" s="166" customFormat="1" ht="16.5" hidden="1" customHeight="1">
      <c r="A26" s="169"/>
      <c r="B26" s="618"/>
      <c r="C26" s="169"/>
      <c r="D26" s="169"/>
      <c r="E26" s="629">
        <v>0</v>
      </c>
      <c r="F26" s="169"/>
      <c r="Q26" s="723"/>
      <c r="R26" s="723"/>
      <c r="T26" s="109"/>
      <c r="U26" s="109"/>
      <c r="V26" s="109"/>
      <c r="W26" s="109"/>
      <c r="X26" s="109"/>
      <c r="Y26" s="109"/>
      <c r="Z26" s="109"/>
      <c r="AB26" s="415"/>
      <c r="AC26" s="415"/>
      <c r="AD26" s="415"/>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69"/>
      <c r="BE26" s="169"/>
      <c r="BF26" s="169"/>
      <c r="BG26" s="169"/>
      <c r="BH26" s="169"/>
      <c r="BI26" s="169"/>
      <c r="BJ26" s="169"/>
      <c r="BK26" s="169"/>
      <c r="BL26" s="169"/>
      <c r="BM26" s="169"/>
      <c r="BN26" s="169"/>
      <c r="BO26" s="169"/>
      <c r="BP26" s="169"/>
      <c r="BQ26" s="169"/>
      <c r="BS26" s="943"/>
    </row>
    <row r="27" spans="1:71" s="157" customFormat="1" ht="16.7" hidden="1" customHeight="1">
      <c r="E27" s="623">
        <v>17.100000000000001</v>
      </c>
      <c r="F27" s="714">
        <f>X27</f>
        <v>0</v>
      </c>
      <c r="G27" s="566" t="str">
        <f>INDEX('Общие сведения'!$AK$169:$AK$202,MATCH($F27,'Общие сведения'!$Z$169:$Z$202,0))</f>
        <v>одноставочный</v>
      </c>
      <c r="I27" s="150" t="str">
        <f>INDEX('Общие сведения'!$AE$169:$AE$202,MATCH($F27,'Общие сведения'!$Z$169:$Z$202,0))</f>
        <v>Теплоснабжение</v>
      </c>
      <c r="T27" s="634" t="b">
        <f>X27&gt;0</f>
        <v>0</v>
      </c>
      <c r="V27" s="113" t="s">
        <v>228</v>
      </c>
      <c r="X27" s="1405">
        <v>0</v>
      </c>
      <c r="Z27" s="1403"/>
      <c r="AB27" s="252" t="str">
        <f>INDEX('Общие сведения'!$AG$169:$AG$202,MATCH($F27,'Общие сведения'!$Z$169:$Z$202,0))</f>
        <v>Тариф 0 (Теплоснабжение) - Тарифы на теплоноситель</v>
      </c>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53"/>
      <c r="BB27" s="253"/>
      <c r="BC27" s="253"/>
      <c r="BD27" s="253"/>
      <c r="BE27" s="253"/>
      <c r="BF27" s="253"/>
      <c r="BG27" s="253"/>
      <c r="BH27" s="253"/>
      <c r="BI27" s="253"/>
      <c r="BJ27" s="253"/>
      <c r="BK27" s="253"/>
      <c r="BL27" s="253"/>
      <c r="BM27" s="253"/>
      <c r="BN27" s="253"/>
      <c r="BO27" s="253"/>
      <c r="BP27" s="253"/>
      <c r="BS27" s="883"/>
    </row>
    <row r="28" spans="1:71" ht="16.7" hidden="1" customHeight="1">
      <c r="E28" s="623">
        <v>17.100000000000001</v>
      </c>
      <c r="F28" s="714">
        <f t="shared" ref="F28:F35" ca="1" si="5">OFFSET(G28,-1,-1)</f>
        <v>0</v>
      </c>
      <c r="G28" s="130" t="s">
        <v>400</v>
      </c>
      <c r="T28" s="634" t="b">
        <f t="shared" ref="T28:T35" si="6">T27</f>
        <v>0</v>
      </c>
      <c r="X28" s="1405"/>
      <c r="Z28" s="1405"/>
      <c r="AB28" s="99" t="s">
        <v>247</v>
      </c>
      <c r="AC28" s="569" t="s">
        <v>1135</v>
      </c>
      <c r="AD28" s="99" t="s">
        <v>388</v>
      </c>
      <c r="AE28" s="470"/>
      <c r="AF28" s="468"/>
      <c r="AG28" s="468"/>
      <c r="AH28" s="468"/>
      <c r="AI28" s="58"/>
      <c r="AJ28" s="690">
        <f ca="1">SUMIFS(Сценарии!AE$27:AE$82,Сценарии!$F$27:$F$82,$F28,Сценарии!$G$27:$G$82,$G28)</f>
        <v>0</v>
      </c>
      <c r="AK28" s="690">
        <f ca="1">SUMIFS(Сценарии!AF$27:AF$82,Сценарии!$F$27:$F$82,$F28,Сценарии!$G$27:$G$82,$G28)</f>
        <v>0</v>
      </c>
      <c r="AL28" s="690">
        <f ca="1">SUMIFS(Сценарии!AG$27:AG$82,Сценарии!$F$27:$F$82,$F28,Сценарии!$G$27:$G$82,$G28)</f>
        <v>0</v>
      </c>
      <c r="AM28" s="690">
        <f ca="1">SUMIFS(Сценарии!AH$27:AH$82,Сценарии!$F$27:$F$82,$F28,Сценарии!$G$27:$G$82,$G28)</f>
        <v>0</v>
      </c>
      <c r="AN28" s="690">
        <f ca="1">SUMIFS(Сценарии!AI$27:AI$82,Сценарии!$F$27:$F$82,$F28,Сценарии!$G$27:$G$82,$G28)</f>
        <v>0</v>
      </c>
      <c r="AO28" s="690">
        <f ca="1">SUMIFS(Сценарии!AJ$27:AJ$82,Сценарии!$F$27:$F$82,$F28,Сценарии!$G$27:$G$82,$G28)</f>
        <v>0</v>
      </c>
      <c r="AP28" s="690">
        <f ca="1">SUMIFS(Сценарии!AK$27:AK$82,Сценарии!$F$27:$F$82,$F28,Сценарии!$G$27:$G$82,$G28)</f>
        <v>0</v>
      </c>
      <c r="AQ28" s="690">
        <f ca="1">SUMIFS(Сценарии!AL$27:AL$82,Сценарии!$F$27:$F$82,$F28,Сценарии!$G$27:$G$82,$G28)</f>
        <v>0</v>
      </c>
      <c r="AR28" s="690">
        <f ca="1">SUMIFS(Сценарии!AM$27:AM$82,Сценарии!$F$27:$F$82,$F28,Сценарии!$G$27:$G$82,$G28)</f>
        <v>0</v>
      </c>
      <c r="AS28" s="690">
        <f ca="1">SUMIFS(Сценарии!AN$27:AN$82,Сценарии!$F$27:$F$82,$F28,Сценарии!$G$27:$G$82,$G28)</f>
        <v>0</v>
      </c>
      <c r="AT28" s="690">
        <f ca="1">SUMIFS(Сценарии!AO$27:AO$82,Сценарии!$F$27:$F$82,$F28,Сценарии!$G$27:$G$82,$G28)</f>
        <v>0</v>
      </c>
      <c r="AU28" s="690">
        <f ca="1">SUMIFS(Сценарии!AP$27:AP$82,Сценарии!$F$27:$F$82,$F28,Сценарии!$G$27:$G$82,$G28)</f>
        <v>0</v>
      </c>
      <c r="AV28" s="690">
        <f ca="1">SUMIFS(Сценарии!AQ$27:AQ$82,Сценарии!$F$27:$F$82,$F28,Сценарии!$G$27:$G$82,$G28)</f>
        <v>0</v>
      </c>
      <c r="AW28" s="690">
        <f ca="1">SUMIFS(Сценарии!AR$27:AR$82,Сценарии!$F$27:$F$82,$F28,Сценарии!$G$27:$G$82,$G28)</f>
        <v>0</v>
      </c>
      <c r="AX28" s="690">
        <f ca="1">SUMIFS(Сценарии!AS$27:AS$82,Сценарии!$F$27:$F$82,$F28,Сценарии!$G$27:$G$82,$G28)</f>
        <v>0</v>
      </c>
      <c r="AY28" s="690">
        <f ca="1">SUMIFS(Сценарии!AT$27:AT$82,Сценарии!$F$27:$F$82,$F28,Сценарии!$G$27:$G$82,$G28)</f>
        <v>0</v>
      </c>
      <c r="AZ28" s="690">
        <f ca="1">SUMIFS(Сценарии!AU$27:AU$82,Сценарии!$F$27:$F$82,$F28,Сценарии!$G$27:$G$82,$G28)</f>
        <v>0</v>
      </c>
      <c r="BA28" s="690">
        <f ca="1">SUMIFS(Сценарии!AV$27:AV$82,Сценарии!$F$27:$F$82,$F28,Сценарии!$G$27:$G$82,$G28)</f>
        <v>0</v>
      </c>
      <c r="BB28" s="690">
        <f ca="1">SUMIFS(Сценарии!AW$27:AW$82,Сценарии!$F$27:$F$82,$F28,Сценарии!$G$27:$G$82,$G28)</f>
        <v>0</v>
      </c>
      <c r="BC28" s="690">
        <f ca="1">SUMIFS(Сценарии!AX$27:AX$82,Сценарии!$F$27:$F$82,$F28,Сценарии!$G$27:$G$82,$G28)</f>
        <v>0</v>
      </c>
      <c r="BD28" s="468"/>
      <c r="BE28" s="468"/>
      <c r="BF28" s="468"/>
      <c r="BG28" s="468"/>
      <c r="BH28" s="468"/>
      <c r="BI28" s="468"/>
      <c r="BJ28" s="468"/>
      <c r="BK28" s="468"/>
      <c r="BL28" s="468"/>
      <c r="BM28" s="468"/>
      <c r="BN28" s="22"/>
      <c r="BO28" s="22"/>
      <c r="BP28" s="22"/>
      <c r="BS28" s="943" t="s">
        <v>1136</v>
      </c>
    </row>
    <row r="29" spans="1:71" s="170" customFormat="1" ht="16.7" hidden="1" customHeight="1">
      <c r="E29" s="623">
        <v>17.100000000000001</v>
      </c>
      <c r="F29" s="714">
        <f t="shared" ca="1" si="5"/>
        <v>0</v>
      </c>
      <c r="G29" s="723" t="s">
        <v>390</v>
      </c>
      <c r="T29" s="634" t="b">
        <f t="shared" si="6"/>
        <v>0</v>
      </c>
      <c r="X29" s="1498"/>
      <c r="Z29" s="1498"/>
      <c r="AB29" s="99" t="s">
        <v>343</v>
      </c>
      <c r="AC29" s="106" t="s">
        <v>1137</v>
      </c>
      <c r="AD29" s="99" t="s">
        <v>388</v>
      </c>
      <c r="AE29" s="470"/>
      <c r="AF29" s="468"/>
      <c r="AG29" s="468"/>
      <c r="AH29" s="468"/>
      <c r="AI29" s="58"/>
      <c r="AJ29" s="690">
        <f ca="1">SUMIFS(Сценарии!AE$27:AE$82,Сценарии!$F$27:$F$82,$F29,Сценарии!$G$27:$G$82,$G29)</f>
        <v>1</v>
      </c>
      <c r="AK29" s="690">
        <f ca="1">SUMIFS(Сценарии!AF$27:AF$82,Сценарии!$F$27:$F$82,$F29,Сценарии!$G$27:$G$82,$G29)</f>
        <v>1</v>
      </c>
      <c r="AL29" s="690">
        <f ca="1">SUMIFS(Сценарии!AG$27:AG$82,Сценарии!$F$27:$F$82,$F29,Сценарии!$G$27:$G$82,$G29)</f>
        <v>1</v>
      </c>
      <c r="AM29" s="690">
        <f ca="1">SUMIFS(Сценарии!AH$27:AH$82,Сценарии!$F$27:$F$82,$F29,Сценарии!$G$27:$G$82,$G29)</f>
        <v>1</v>
      </c>
      <c r="AN29" s="690">
        <f ca="1">SUMIFS(Сценарии!AI$27:AI$82,Сценарии!$F$27:$F$82,$F29,Сценарии!$G$27:$G$82,$G29)</f>
        <v>1</v>
      </c>
      <c r="AO29" s="690">
        <f ca="1">SUMIFS(Сценарии!AJ$27:AJ$82,Сценарии!$F$27:$F$82,$F29,Сценарии!$G$27:$G$82,$G29)</f>
        <v>1</v>
      </c>
      <c r="AP29" s="690">
        <f ca="1">SUMIFS(Сценарии!AK$27:AK$82,Сценарии!$F$27:$F$82,$F29,Сценарии!$G$27:$G$82,$G29)</f>
        <v>1</v>
      </c>
      <c r="AQ29" s="690">
        <f ca="1">SUMIFS(Сценарии!AL$27:AL$82,Сценарии!$F$27:$F$82,$F29,Сценарии!$G$27:$G$82,$G29)</f>
        <v>1</v>
      </c>
      <c r="AR29" s="690">
        <f ca="1">SUMIFS(Сценарии!AM$27:AM$82,Сценарии!$F$27:$F$82,$F29,Сценарии!$G$27:$G$82,$G29)</f>
        <v>1</v>
      </c>
      <c r="AS29" s="690">
        <f ca="1">SUMIFS(Сценарии!AN$27:AN$82,Сценарии!$F$27:$F$82,$F29,Сценарии!$G$27:$G$82,$G29)</f>
        <v>1</v>
      </c>
      <c r="AT29" s="976">
        <v>1</v>
      </c>
      <c r="AU29" s="1175">
        <v>1</v>
      </c>
      <c r="AV29" s="1175">
        <v>1</v>
      </c>
      <c r="AW29" s="58">
        <v>1</v>
      </c>
      <c r="AX29" s="58">
        <v>1</v>
      </c>
      <c r="AY29" s="58">
        <v>1</v>
      </c>
      <c r="AZ29" s="58">
        <v>1</v>
      </c>
      <c r="BA29" s="58">
        <v>1</v>
      </c>
      <c r="BB29" s="58">
        <v>1</v>
      </c>
      <c r="BC29" s="58">
        <v>1</v>
      </c>
      <c r="BD29" s="468"/>
      <c r="BE29" s="468"/>
      <c r="BF29" s="468"/>
      <c r="BG29" s="468"/>
      <c r="BH29" s="468"/>
      <c r="BI29" s="468"/>
      <c r="BJ29" s="468"/>
      <c r="BK29" s="468"/>
      <c r="BL29" s="468"/>
      <c r="BM29" s="468"/>
      <c r="BN29" s="22"/>
      <c r="BO29" s="22"/>
      <c r="BP29" s="22"/>
      <c r="BS29" s="943" t="s">
        <v>1138</v>
      </c>
    </row>
    <row r="30" spans="1:71" ht="16.7" hidden="1" customHeight="1">
      <c r="E30" s="623">
        <v>17.100000000000001</v>
      </c>
      <c r="F30" s="714">
        <f t="shared" ca="1" si="5"/>
        <v>0</v>
      </c>
      <c r="G30" s="130" t="s">
        <v>443</v>
      </c>
      <c r="T30" s="634" t="b">
        <f t="shared" si="6"/>
        <v>0</v>
      </c>
      <c r="X30" s="1405"/>
      <c r="Z30" s="1405"/>
      <c r="AB30" s="99" t="s">
        <v>520</v>
      </c>
      <c r="AC30" s="106" t="s">
        <v>1139</v>
      </c>
      <c r="AD30" s="99"/>
      <c r="AE30" s="470"/>
      <c r="AF30" s="468"/>
      <c r="AG30" s="468"/>
      <c r="AH30" s="468"/>
      <c r="AI30" s="58"/>
      <c r="AJ30" s="690">
        <f ca="1">SUMIFS(Сценарии!AE$27:AE$82,Сценарии!$F$27:$F$82,$F30,Сценарии!$G$27:$G$82,$G30)</f>
        <v>0</v>
      </c>
      <c r="AK30" s="690">
        <f ca="1">SUMIFS(Сценарии!AF$27:AF$82,Сценарии!$F$27:$F$82,$F30,Сценарии!$G$27:$G$82,$G30)</f>
        <v>0</v>
      </c>
      <c r="AL30" s="690">
        <f ca="1">SUMIFS(Сценарии!AG$27:AG$82,Сценарии!$F$27:$F$82,$F30,Сценарии!$G$27:$G$82,$G30)</f>
        <v>0</v>
      </c>
      <c r="AM30" s="690">
        <f ca="1">SUMIFS(Сценарии!AH$27:AH$82,Сценарии!$F$27:$F$82,$F30,Сценарии!$G$27:$G$82,$G30)</f>
        <v>0</v>
      </c>
      <c r="AN30" s="690">
        <f ca="1">SUMIFS(Сценарии!AI$27:AI$82,Сценарии!$F$27:$F$82,$F30,Сценарии!$G$27:$G$82,$G30)</f>
        <v>0</v>
      </c>
      <c r="AO30" s="690">
        <f ca="1">SUMIFS(Сценарии!AJ$27:AJ$82,Сценарии!$F$27:$F$82,$F30,Сценарии!$G$27:$G$82,$G30)</f>
        <v>0</v>
      </c>
      <c r="AP30" s="690">
        <f ca="1">SUMIFS(Сценарии!AK$27:AK$82,Сценарии!$F$27:$F$82,$F30,Сценарии!$G$27:$G$82,$G30)</f>
        <v>0</v>
      </c>
      <c r="AQ30" s="690">
        <f ca="1">SUMIFS(Сценарии!AL$27:AL$82,Сценарии!$F$27:$F$82,$F30,Сценарии!$G$27:$G$82,$G30)</f>
        <v>0</v>
      </c>
      <c r="AR30" s="690">
        <f ca="1">SUMIFS(Сценарии!AM$27:AM$82,Сценарии!$F$27:$F$82,$F30,Сценарии!$G$27:$G$82,$G30)</f>
        <v>0</v>
      </c>
      <c r="AS30" s="690">
        <f ca="1">SUMIFS(Сценарии!AN$27:AN$82,Сценарии!$F$27:$F$82,$F30,Сценарии!$G$27:$G$82,$G30)</f>
        <v>0</v>
      </c>
      <c r="AT30" s="690">
        <f ca="1">SUMIFS(Сценарии!AO$27:AO$82,Сценарии!$F$27:$F$82,$F30,Сценарии!$G$27:$G$82,$G30)</f>
        <v>0</v>
      </c>
      <c r="AU30" s="690">
        <f ca="1">SUMIFS(Сценарии!AP$27:AP$82,Сценарии!$F$27:$F$82,$F30,Сценарии!$G$27:$G$82,$G30)</f>
        <v>0</v>
      </c>
      <c r="AV30" s="690">
        <f ca="1">SUMIFS(Сценарии!AQ$27:AQ$82,Сценарии!$F$27:$F$82,$F30,Сценарии!$G$27:$G$82,$G30)</f>
        <v>0</v>
      </c>
      <c r="AW30" s="690">
        <f ca="1">SUMIFS(Сценарии!AR$27:AR$82,Сценарии!$F$27:$F$82,$F30,Сценарии!$G$27:$G$82,$G30)</f>
        <v>0</v>
      </c>
      <c r="AX30" s="690">
        <f ca="1">SUMIFS(Сценарии!AS$27:AS$82,Сценарии!$F$27:$F$82,$F30,Сценарии!$G$27:$G$82,$G30)</f>
        <v>0</v>
      </c>
      <c r="AY30" s="690">
        <f ca="1">SUMIFS(Сценарии!AT$27:AT$82,Сценарии!$F$27:$F$82,$F30,Сценарии!$G$27:$G$82,$G30)</f>
        <v>0</v>
      </c>
      <c r="AZ30" s="690">
        <f ca="1">SUMIFS(Сценарии!AU$27:AU$82,Сценарии!$F$27:$F$82,$F30,Сценарии!$G$27:$G$82,$G30)</f>
        <v>0</v>
      </c>
      <c r="BA30" s="690">
        <f ca="1">SUMIFS(Сценарии!AV$27:AV$82,Сценарии!$F$27:$F$82,$F30,Сценарии!$G$27:$G$82,$G30)</f>
        <v>0</v>
      </c>
      <c r="BB30" s="690">
        <f ca="1">SUMIFS(Сценарии!AW$27:AW$82,Сценарии!$F$27:$F$82,$F30,Сценарии!$G$27:$G$82,$G30)</f>
        <v>0</v>
      </c>
      <c r="BC30" s="690">
        <f ca="1">SUMIFS(Сценарии!AX$27:AX$82,Сценарии!$F$27:$F$82,$F30,Сценарии!$G$27:$G$82,$G30)</f>
        <v>0</v>
      </c>
      <c r="BD30" s="468"/>
      <c r="BE30" s="468"/>
      <c r="BF30" s="468"/>
      <c r="BG30" s="468"/>
      <c r="BH30" s="468"/>
      <c r="BI30" s="468"/>
      <c r="BJ30" s="468"/>
      <c r="BK30" s="468"/>
      <c r="BL30" s="468"/>
      <c r="BM30" s="468"/>
      <c r="BN30" s="22"/>
      <c r="BO30" s="22"/>
      <c r="BP30" s="22"/>
      <c r="BS30" s="943" t="s">
        <v>1140</v>
      </c>
    </row>
    <row r="31" spans="1:71" ht="29.25" hidden="1" customHeight="1">
      <c r="E31" s="623">
        <v>30</v>
      </c>
      <c r="F31" s="714">
        <f t="shared" ca="1" si="5"/>
        <v>0</v>
      </c>
      <c r="G31" s="130" t="s">
        <v>333</v>
      </c>
      <c r="T31" s="634" t="b">
        <f t="shared" si="6"/>
        <v>0</v>
      </c>
      <c r="X31" s="1405"/>
      <c r="Z31" s="1405"/>
      <c r="AB31" s="99" t="s">
        <v>523</v>
      </c>
      <c r="AC31" s="103" t="s">
        <v>1141</v>
      </c>
      <c r="AD31" s="99" t="s">
        <v>1142</v>
      </c>
      <c r="AE31" s="470"/>
      <c r="AF31" s="468"/>
      <c r="AG31" s="468"/>
      <c r="AH31" s="468"/>
      <c r="AI31" s="58">
        <f ca="1">SUMIFS('Расчет УЕ'!AE$26:AE$68,'Расчет УЕ'!$F$26:$F$68,$F31,'Расчет УЕ'!$G$26:$G$68,$G31)</f>
        <v>0</v>
      </c>
      <c r="AJ31" s="690">
        <f ca="1">SUMIFS('Расчет УЕ'!AF$26:AF$68,'Расчет УЕ'!$F$26:$F$68,$F31,'Расчет УЕ'!$G$26:$G$68,$G31)</f>
        <v>0</v>
      </c>
      <c r="AK31" s="690">
        <f ca="1">SUMIFS('Расчет УЕ'!AG$26:AG$68,'Расчет УЕ'!$F$26:$F$68,$F31,'Расчет УЕ'!$G$26:$G$68,$G31)</f>
        <v>0</v>
      </c>
      <c r="AL31" s="690">
        <f ca="1">SUMIFS('Расчет УЕ'!AH$26:AH$68,'Расчет УЕ'!$F$26:$F$68,$F31,'Расчет УЕ'!$G$26:$G$68,$G31)</f>
        <v>0</v>
      </c>
      <c r="AM31" s="690">
        <f ca="1">SUMIFS('Расчет УЕ'!AI$26:AI$68,'Расчет УЕ'!$F$26:$F$68,$F31,'Расчет УЕ'!$G$26:$G$68,$G31)</f>
        <v>0</v>
      </c>
      <c r="AN31" s="690">
        <f ca="1">SUMIFS('Расчет УЕ'!AJ$26:AJ$68,'Расчет УЕ'!$F$26:$F$68,$F31,'Расчет УЕ'!$G$26:$G$68,$G31)</f>
        <v>0</v>
      </c>
      <c r="AO31" s="690">
        <f ca="1">SUMIFS('Расчет УЕ'!AK$26:AK$68,'Расчет УЕ'!$F$26:$F$68,$F31,'Расчет УЕ'!$G$26:$G$68,$G31)</f>
        <v>0</v>
      </c>
      <c r="AP31" s="690">
        <f ca="1">SUMIFS('Расчет УЕ'!AL$26:AL$68,'Расчет УЕ'!$F$26:$F$68,$F31,'Расчет УЕ'!$G$26:$G$68,$G31)</f>
        <v>0</v>
      </c>
      <c r="AQ31" s="690">
        <f ca="1">SUMIFS('Расчет УЕ'!AM$26:AM$68,'Расчет УЕ'!$F$26:$F$68,$F31,'Расчет УЕ'!$G$26:$G$68,$G31)</f>
        <v>0</v>
      </c>
      <c r="AR31" s="690">
        <f ca="1">SUMIFS('Расчет УЕ'!AN$26:AN$68,'Расчет УЕ'!$F$26:$F$68,$F31,'Расчет УЕ'!$G$26:$G$68,$G31)</f>
        <v>0</v>
      </c>
      <c r="AS31" s="690">
        <f ca="1">SUMIFS('Расчет УЕ'!AO$26:AO$68,'Расчет УЕ'!$F$26:$F$68,$F31,'Расчет УЕ'!$G$26:$G$68,$G31)</f>
        <v>0</v>
      </c>
      <c r="AT31" s="690">
        <f ca="1">SUMIFS('Расчет УЕ'!AP$26:AP$68,'Расчет УЕ'!$F$26:$F$68,$F31,'Расчет УЕ'!$G$26:$G$68,$G31)</f>
        <v>0</v>
      </c>
      <c r="AU31" s="690">
        <f ca="1">SUMIFS('Расчет УЕ'!AQ$26:AQ$68,'Расчет УЕ'!$F$26:$F$68,$F31,'Расчет УЕ'!$G$26:$G$68,$G31)</f>
        <v>0</v>
      </c>
      <c r="AV31" s="690">
        <f ca="1">SUMIFS('Расчет УЕ'!AR$26:AR$68,'Расчет УЕ'!$F$26:$F$68,$F31,'Расчет УЕ'!$G$26:$G$68,$G31)</f>
        <v>0</v>
      </c>
      <c r="AW31" s="690">
        <f ca="1">SUMIFS('Расчет УЕ'!AS$26:AS$68,'Расчет УЕ'!$F$26:$F$68,$F31,'Расчет УЕ'!$G$26:$G$68,$G31)</f>
        <v>0</v>
      </c>
      <c r="AX31" s="690">
        <f ca="1">SUMIFS('Расчет УЕ'!AT$26:AT$68,'Расчет УЕ'!$F$26:$F$68,$F31,'Расчет УЕ'!$G$26:$G$68,$G31)</f>
        <v>0</v>
      </c>
      <c r="AY31" s="690">
        <f ca="1">SUMIFS('Расчет УЕ'!AU$26:AU$68,'Расчет УЕ'!$F$26:$F$68,$F31,'Расчет УЕ'!$G$26:$G$68,$G31)</f>
        <v>0</v>
      </c>
      <c r="AZ31" s="690">
        <f ca="1">SUMIFS('Расчет УЕ'!AV$26:AV$68,'Расчет УЕ'!$F$26:$F$68,$F31,'Расчет УЕ'!$G$26:$G$68,$G31)</f>
        <v>0</v>
      </c>
      <c r="BA31" s="690">
        <f ca="1">SUMIFS('Расчет УЕ'!AW$26:AW$68,'Расчет УЕ'!$F$26:$F$68,$F31,'Расчет УЕ'!$G$26:$G$68,$G31)</f>
        <v>0</v>
      </c>
      <c r="BB31" s="690">
        <f ca="1">SUMIFS('Расчет УЕ'!AX$26:AX$68,'Расчет УЕ'!$F$26:$F$68,$F31,'Расчет УЕ'!$G$26:$G$68,$G31)</f>
        <v>0</v>
      </c>
      <c r="BC31" s="690">
        <f ca="1">SUMIFS('Расчет УЕ'!AY$26:AY$68,'Расчет УЕ'!$F$26:$F$68,$F31,'Расчет УЕ'!$G$26:$G$68,$G31)</f>
        <v>0</v>
      </c>
      <c r="BD31" s="468"/>
      <c r="BE31" s="468"/>
      <c r="BF31" s="468"/>
      <c r="BG31" s="468"/>
      <c r="BH31" s="468"/>
      <c r="BI31" s="468"/>
      <c r="BJ31" s="468"/>
      <c r="BK31" s="468"/>
      <c r="BL31" s="468"/>
      <c r="BM31" s="468"/>
      <c r="BN31" s="22"/>
      <c r="BO31" s="22"/>
      <c r="BP31" s="22"/>
      <c r="BS31" s="943" t="s">
        <v>1143</v>
      </c>
    </row>
    <row r="32" spans="1:71" ht="16.7" hidden="1" customHeight="1">
      <c r="E32" s="623">
        <v>17.100000000000001</v>
      </c>
      <c r="F32" s="714">
        <f t="shared" ca="1" si="5"/>
        <v>0</v>
      </c>
      <c r="G32" s="130" t="s">
        <v>338</v>
      </c>
      <c r="T32" s="634" t="b">
        <f t="shared" si="6"/>
        <v>0</v>
      </c>
      <c r="X32" s="1405"/>
      <c r="Z32" s="1405"/>
      <c r="AB32" s="99" t="s">
        <v>525</v>
      </c>
      <c r="AC32" s="103" t="s">
        <v>1144</v>
      </c>
      <c r="AD32" s="99" t="s">
        <v>804</v>
      </c>
      <c r="AE32" s="470"/>
      <c r="AF32" s="468"/>
      <c r="AG32" s="468"/>
      <c r="AH32" s="468"/>
      <c r="AI32" s="975"/>
      <c r="AJ32" s="690">
        <f ca="1">SUMIFS('Расчет УЕ'!AF$26:AF$68,'Расчет УЕ'!$F$26:$F$68,$F32,'Расчет УЕ'!$G$26:$G$68,$G32)</f>
        <v>0</v>
      </c>
      <c r="AK32" s="690">
        <f ca="1">SUMIFS('Расчет УЕ'!AG$26:AG$68,'Расчет УЕ'!$F$26:$F$68,$F32,'Расчет УЕ'!$G$26:$G$68,$G32)</f>
        <v>0</v>
      </c>
      <c r="AL32" s="690">
        <f ca="1">SUMIFS('Расчет УЕ'!AH$26:AH$68,'Расчет УЕ'!$F$26:$F$68,$F32,'Расчет УЕ'!$G$26:$G$68,$G32)</f>
        <v>0</v>
      </c>
      <c r="AM32" s="690">
        <f ca="1">SUMIFS('Расчет УЕ'!AI$26:AI$68,'Расчет УЕ'!$F$26:$F$68,$F32,'Расчет УЕ'!$G$26:$G$68,$G32)</f>
        <v>0</v>
      </c>
      <c r="AN32" s="690">
        <f ca="1">SUMIFS('Расчет УЕ'!AJ$26:AJ$68,'Расчет УЕ'!$F$26:$F$68,$F32,'Расчет УЕ'!$G$26:$G$68,$G32)</f>
        <v>0</v>
      </c>
      <c r="AO32" s="690">
        <f ca="1">SUMIFS('Расчет УЕ'!AK$26:AK$68,'Расчет УЕ'!$F$26:$F$68,$F32,'Расчет УЕ'!$G$26:$G$68,$G32)</f>
        <v>0</v>
      </c>
      <c r="AP32" s="690">
        <f ca="1">SUMIFS('Расчет УЕ'!AL$26:AL$68,'Расчет УЕ'!$F$26:$F$68,$F32,'Расчет УЕ'!$G$26:$G$68,$G32)</f>
        <v>0</v>
      </c>
      <c r="AQ32" s="690">
        <f ca="1">SUMIFS('Расчет УЕ'!AM$26:AM$68,'Расчет УЕ'!$F$26:$F$68,$F32,'Расчет УЕ'!$G$26:$G$68,$G32)</f>
        <v>0</v>
      </c>
      <c r="AR32" s="690">
        <f ca="1">SUMIFS('Расчет УЕ'!AN$26:AN$68,'Расчет УЕ'!$F$26:$F$68,$F32,'Расчет УЕ'!$G$26:$G$68,$G32)</f>
        <v>0</v>
      </c>
      <c r="AS32" s="690">
        <f ca="1">SUMIFS('Расчет УЕ'!AO$26:AO$68,'Расчет УЕ'!$F$26:$F$68,$F32,'Расчет УЕ'!$G$26:$G$68,$G32)</f>
        <v>0</v>
      </c>
      <c r="AT32" s="690">
        <f ca="1">SUMIFS('Расчет УЕ'!AP$26:AP$68,'Расчет УЕ'!$F$26:$F$68,$F32,'Расчет УЕ'!$G$26:$G$68,$G32)</f>
        <v>0</v>
      </c>
      <c r="AU32" s="690">
        <f ca="1">SUMIFS('Расчет УЕ'!AQ$26:AQ$68,'Расчет УЕ'!$F$26:$F$68,$F32,'Расчет УЕ'!$G$26:$G$68,$G32)</f>
        <v>0</v>
      </c>
      <c r="AV32" s="690">
        <f ca="1">SUMIFS('Расчет УЕ'!AR$26:AR$68,'Расчет УЕ'!$F$26:$F$68,$F32,'Расчет УЕ'!$G$26:$G$68,$G32)</f>
        <v>0</v>
      </c>
      <c r="AW32" s="690">
        <f ca="1">SUMIFS('Расчет УЕ'!AS$26:AS$68,'Расчет УЕ'!$F$26:$F$68,$F32,'Расчет УЕ'!$G$26:$G$68,$G32)</f>
        <v>0</v>
      </c>
      <c r="AX32" s="690">
        <f ca="1">SUMIFS('Расчет УЕ'!AT$26:AT$68,'Расчет УЕ'!$F$26:$F$68,$F32,'Расчет УЕ'!$G$26:$G$68,$G32)</f>
        <v>0</v>
      </c>
      <c r="AY32" s="690">
        <f ca="1">SUMIFS('Расчет УЕ'!AU$26:AU$68,'Расчет УЕ'!$F$26:$F$68,$F32,'Расчет УЕ'!$G$26:$G$68,$G32)</f>
        <v>0</v>
      </c>
      <c r="AZ32" s="690">
        <f ca="1">SUMIFS('Расчет УЕ'!AV$26:AV$68,'Расчет УЕ'!$F$26:$F$68,$F32,'Расчет УЕ'!$G$26:$G$68,$G32)</f>
        <v>0</v>
      </c>
      <c r="BA32" s="690">
        <f ca="1">SUMIFS('Расчет УЕ'!AW$26:AW$68,'Расчет УЕ'!$F$26:$F$68,$F32,'Расчет УЕ'!$G$26:$G$68,$G32)</f>
        <v>0</v>
      </c>
      <c r="BB32" s="690">
        <f ca="1">SUMIFS('Расчет УЕ'!AX$26:AX$68,'Расчет УЕ'!$F$26:$F$68,$F32,'Расчет УЕ'!$G$26:$G$68,$G32)</f>
        <v>0</v>
      </c>
      <c r="BC32" s="690">
        <f ca="1">SUMIFS('Расчет УЕ'!AY$26:AY$68,'Расчет УЕ'!$F$26:$F$68,$F32,'Расчет УЕ'!$G$26:$G$68,$G32)</f>
        <v>0</v>
      </c>
      <c r="BD32" s="468"/>
      <c r="BE32" s="468"/>
      <c r="BF32" s="468"/>
      <c r="BG32" s="468"/>
      <c r="BH32" s="468"/>
      <c r="BI32" s="468"/>
      <c r="BJ32" s="468"/>
      <c r="BK32" s="468"/>
      <c r="BL32" s="468"/>
      <c r="BM32" s="468"/>
      <c r="BN32" s="22"/>
      <c r="BO32" s="22"/>
      <c r="BP32" s="22"/>
      <c r="BS32" s="943" t="s">
        <v>1145</v>
      </c>
    </row>
    <row r="33" spans="1:71" ht="16.7" hidden="1" customHeight="1">
      <c r="E33" s="623">
        <v>17.100000000000001</v>
      </c>
      <c r="F33" s="714">
        <f t="shared" ca="1" si="5"/>
        <v>0</v>
      </c>
      <c r="G33" s="566" t="s">
        <v>447</v>
      </c>
      <c r="T33" s="634" t="b">
        <f t="shared" si="6"/>
        <v>0</v>
      </c>
      <c r="X33" s="1405"/>
      <c r="Z33" s="1405"/>
      <c r="AB33" s="99" t="s">
        <v>527</v>
      </c>
      <c r="AC33" s="106" t="s">
        <v>1146</v>
      </c>
      <c r="AD33" s="99"/>
      <c r="AE33" s="565"/>
      <c r="AF33" s="487"/>
      <c r="AG33" s="487"/>
      <c r="AH33" s="487"/>
      <c r="AI33" s="977"/>
      <c r="AJ33" s="690">
        <f ca="1">SUMIFS(Сценарии!AE$27:AE$82,Сценарии!$F$27:$F$82,$F33,Сценарии!$G$27:$G$82,$G33)</f>
        <v>0.75</v>
      </c>
      <c r="AK33" s="690">
        <f ca="1">SUMIFS(Сценарии!AF$27:AF$82,Сценарии!$F$27:$F$82,$F33,Сценарии!$G$27:$G$82,$G33)</f>
        <v>0.75</v>
      </c>
      <c r="AL33" s="690">
        <f ca="1">SUMIFS(Сценарии!AG$27:AG$82,Сценарии!$F$27:$F$82,$F33,Сценарии!$G$27:$G$82,$G33)</f>
        <v>0.75</v>
      </c>
      <c r="AM33" s="690">
        <f ca="1">SUMIFS(Сценарии!AH$27:AH$82,Сценарии!$F$27:$F$82,$F33,Сценарии!$G$27:$G$82,$G33)</f>
        <v>0.75</v>
      </c>
      <c r="AN33" s="690">
        <f ca="1">SUMIFS(Сценарии!AI$27:AI$82,Сценарии!$F$27:$F$82,$F33,Сценарии!$G$27:$G$82,$G33)</f>
        <v>0.75</v>
      </c>
      <c r="AO33" s="690">
        <f ca="1">SUMIFS(Сценарии!AJ$27:AJ$82,Сценарии!$F$27:$F$82,$F33,Сценарии!$G$27:$G$82,$G33)</f>
        <v>0.75</v>
      </c>
      <c r="AP33" s="690">
        <f ca="1">SUMIFS(Сценарии!AK$27:AK$82,Сценарии!$F$27:$F$82,$F33,Сценарии!$G$27:$G$82,$G33)</f>
        <v>0.75</v>
      </c>
      <c r="AQ33" s="690">
        <f ca="1">SUMIFS(Сценарии!AL$27:AL$82,Сценарии!$F$27:$F$82,$F33,Сценарии!$G$27:$G$82,$G33)</f>
        <v>0.75</v>
      </c>
      <c r="AR33" s="690">
        <f ca="1">SUMIFS(Сценарии!AM$27:AM$82,Сценарии!$F$27:$F$82,$F33,Сценарии!$G$27:$G$82,$G33)</f>
        <v>0.75</v>
      </c>
      <c r="AS33" s="690">
        <f ca="1">SUMIFS(Сценарии!AN$27:AN$82,Сценарии!$F$27:$F$82,$F33,Сценарии!$G$27:$G$82,$G33)</f>
        <v>0.75</v>
      </c>
      <c r="AT33" s="690">
        <f ca="1">SUMIFS(Сценарии!AO$27:AO$82,Сценарии!$F$27:$F$82,$F33,Сценарии!$G$27:$G$82,$G33)</f>
        <v>0.75</v>
      </c>
      <c r="AU33" s="690">
        <f ca="1">SUMIFS(Сценарии!AP$27:AP$82,Сценарии!$F$27:$F$82,$F33,Сценарии!$G$27:$G$82,$G33)</f>
        <v>0.75</v>
      </c>
      <c r="AV33" s="690">
        <f ca="1">SUMIFS(Сценарии!AQ$27:AQ$82,Сценарии!$F$27:$F$82,$F33,Сценарии!$G$27:$G$82,$G33)</f>
        <v>0.75</v>
      </c>
      <c r="AW33" s="690">
        <f ca="1">SUMIFS(Сценарии!AR$27:AR$82,Сценарии!$F$27:$F$82,$F33,Сценарии!$G$27:$G$82,$G33)</f>
        <v>0.75</v>
      </c>
      <c r="AX33" s="690">
        <f ca="1">SUMIFS(Сценарии!AS$27:AS$82,Сценарии!$F$27:$F$82,$F33,Сценарии!$G$27:$G$82,$G33)</f>
        <v>0.75</v>
      </c>
      <c r="AY33" s="690">
        <f ca="1">SUMIFS(Сценарии!AT$27:AT$82,Сценарии!$F$27:$F$82,$F33,Сценарии!$G$27:$G$82,$G33)</f>
        <v>0.75</v>
      </c>
      <c r="AZ33" s="690">
        <f ca="1">SUMIFS(Сценарии!AU$27:AU$82,Сценарии!$F$27:$F$82,$F33,Сценарии!$G$27:$G$82,$G33)</f>
        <v>0.75</v>
      </c>
      <c r="BA33" s="690">
        <f ca="1">SUMIFS(Сценарии!AV$27:AV$82,Сценарии!$F$27:$F$82,$F33,Сценарии!$G$27:$G$82,$G33)</f>
        <v>0.75</v>
      </c>
      <c r="BB33" s="690">
        <f ca="1">SUMIFS(Сценарии!AW$27:AW$82,Сценарии!$F$27:$F$82,$F33,Сценарии!$G$27:$G$82,$G33)</f>
        <v>0.75</v>
      </c>
      <c r="BC33" s="690">
        <f ca="1">SUMIFS(Сценарии!AX$27:AX$82,Сценарии!$F$27:$F$82,$F33,Сценарии!$G$27:$G$82,$G33)</f>
        <v>0.75</v>
      </c>
      <c r="BD33" s="487"/>
      <c r="BE33" s="487"/>
      <c r="BF33" s="487"/>
      <c r="BG33" s="487"/>
      <c r="BH33" s="487"/>
      <c r="BI33" s="468"/>
      <c r="BJ33" s="468"/>
      <c r="BK33" s="468"/>
      <c r="BL33" s="468"/>
      <c r="BM33" s="468"/>
      <c r="BN33" s="22"/>
      <c r="BO33" s="22"/>
      <c r="BP33" s="22"/>
      <c r="BS33" s="943" t="s">
        <v>1147</v>
      </c>
    </row>
    <row r="34" spans="1:71" ht="16.7" hidden="1" customHeight="1">
      <c r="E34" s="623">
        <v>17.100000000000001</v>
      </c>
      <c r="F34" s="714">
        <f t="shared" ca="1" si="5"/>
        <v>0</v>
      </c>
      <c r="G34" s="566" t="s">
        <v>1094</v>
      </c>
      <c r="K34" s="167" t="str">
        <f ca="1">F34&amp;"komm"</f>
        <v>0komm</v>
      </c>
      <c r="L34" s="166">
        <f>BO34</f>
        <v>0</v>
      </c>
      <c r="T34" s="634" t="b">
        <f t="shared" si="6"/>
        <v>0</v>
      </c>
      <c r="X34" s="1405"/>
      <c r="Z34" s="1405"/>
      <c r="AB34" s="486" t="s">
        <v>534</v>
      </c>
      <c r="AC34" s="570" t="s">
        <v>1148</v>
      </c>
      <c r="AD34" s="517" t="s">
        <v>648</v>
      </c>
      <c r="AE34" s="472">
        <f ca="1">'Операционные (5.1)'!AE28</f>
        <v>0</v>
      </c>
      <c r="AF34" s="472">
        <f ca="1">'Операционные (5.1)'!AF28</f>
        <v>0</v>
      </c>
      <c r="AG34" s="472">
        <f ca="1">'Операционные (5.1)'!AG28</f>
        <v>0</v>
      </c>
      <c r="AH34" s="472">
        <f ca="1">'Операционные (5.1)'!AH28</f>
        <v>0</v>
      </c>
      <c r="AI34" s="978">
        <f ca="1">SUMIFS('Операционные (5.1)'!AI$26:AI$75,'Операционные (5.1)'!$F$26:$F$75,$F34,'Операционные (5.1)'!$G$26:$G$75,$G34)</f>
        <v>0</v>
      </c>
      <c r="AJ34" s="979">
        <f ca="1">IF(god=first_year,SUMIFS('Операционные (5.1)'!AJ$26:AJ$75,'Операционные (5.1)'!$F$26:$F$75,$F34,'Операционные (5.1)'!$G$26:$G$75,$G34),AI34*AJ35)</f>
        <v>0</v>
      </c>
      <c r="AK34" s="980">
        <f t="shared" ref="AK34:AS34" ca="1" si="7">AJ34*AK35</f>
        <v>0</v>
      </c>
      <c r="AL34" s="981">
        <f t="shared" ca="1" si="7"/>
        <v>0</v>
      </c>
      <c r="AM34" s="981">
        <f t="shared" ca="1" si="7"/>
        <v>0</v>
      </c>
      <c r="AN34" s="981">
        <f t="shared" ca="1" si="7"/>
        <v>0</v>
      </c>
      <c r="AO34" s="981">
        <f t="shared" ca="1" si="7"/>
        <v>0</v>
      </c>
      <c r="AP34" s="981">
        <f t="shared" ca="1" si="7"/>
        <v>0</v>
      </c>
      <c r="AQ34" s="981">
        <f t="shared" ca="1" si="7"/>
        <v>0</v>
      </c>
      <c r="AR34" s="981">
        <f t="shared" ca="1" si="7"/>
        <v>0</v>
      </c>
      <c r="AS34" s="981">
        <f t="shared" ca="1" si="7"/>
        <v>0</v>
      </c>
      <c r="AT34" s="982">
        <f ca="1">IF(god=first_year,SUMIFS('Операционные (5.1)'!AK$26:AK$75,'Операционные (5.1)'!$F$26:$F$75,$F34,'Операционные (5.1)'!$G$26:$G$75,$G34),AI34*AT35)</f>
        <v>0</v>
      </c>
      <c r="AU34" s="981">
        <f t="shared" ref="AU34:BC34" ca="1" si="8">AT34*AU35</f>
        <v>0</v>
      </c>
      <c r="AV34" s="981">
        <f t="shared" ca="1" si="8"/>
        <v>0</v>
      </c>
      <c r="AW34" s="981">
        <f t="shared" ca="1" si="8"/>
        <v>0</v>
      </c>
      <c r="AX34" s="981">
        <f t="shared" ca="1" si="8"/>
        <v>0</v>
      </c>
      <c r="AY34" s="981">
        <f t="shared" ca="1" si="8"/>
        <v>0</v>
      </c>
      <c r="AZ34" s="981">
        <f t="shared" ca="1" si="8"/>
        <v>0</v>
      </c>
      <c r="BA34" s="981">
        <f t="shared" ca="1" si="8"/>
        <v>0</v>
      </c>
      <c r="BB34" s="981">
        <f t="shared" ca="1" si="8"/>
        <v>0</v>
      </c>
      <c r="BC34" s="983">
        <f t="shared" ca="1" si="8"/>
        <v>0</v>
      </c>
      <c r="BD34" s="295"/>
      <c r="BE34" s="292">
        <f t="shared" ref="BE34:BM34" ca="1" si="9">IF(AT34=0,0,(AU34-AT34)/AT34*100)</f>
        <v>0</v>
      </c>
      <c r="BF34" s="292">
        <f t="shared" ca="1" si="9"/>
        <v>0</v>
      </c>
      <c r="BG34" s="292">
        <f t="shared" ca="1" si="9"/>
        <v>0</v>
      </c>
      <c r="BH34" s="292">
        <f t="shared" ca="1" si="9"/>
        <v>0</v>
      </c>
      <c r="BI34" s="292">
        <f t="shared" ca="1" si="9"/>
        <v>0</v>
      </c>
      <c r="BJ34" s="292">
        <f t="shared" ca="1" si="9"/>
        <v>0</v>
      </c>
      <c r="BK34" s="292">
        <f t="shared" ca="1" si="9"/>
        <v>0</v>
      </c>
      <c r="BL34" s="292">
        <f t="shared" ca="1" si="9"/>
        <v>0</v>
      </c>
      <c r="BM34" s="292">
        <f t="shared" ca="1" si="9"/>
        <v>0</v>
      </c>
      <c r="BN34" s="22"/>
      <c r="BO34" s="22"/>
      <c r="BP34" s="22"/>
      <c r="BS34" s="943" t="s">
        <v>1149</v>
      </c>
    </row>
    <row r="35" spans="1:71" s="432" customFormat="1" ht="16.7" hidden="1" customHeight="1">
      <c r="A35" s="746"/>
      <c r="B35" s="724"/>
      <c r="C35" s="746"/>
      <c r="D35" s="746"/>
      <c r="E35" s="623">
        <v>17.100000000000001</v>
      </c>
      <c r="F35" s="714">
        <f t="shared" ca="1" si="5"/>
        <v>0</v>
      </c>
      <c r="G35" s="725"/>
      <c r="T35" s="634" t="b">
        <f t="shared" si="6"/>
        <v>0</v>
      </c>
      <c r="U35" s="746"/>
      <c r="V35" s="746"/>
      <c r="W35" s="747"/>
      <c r="X35" s="1504"/>
      <c r="Y35" s="747"/>
      <c r="Z35" s="1504"/>
      <c r="AB35" s="689" t="s">
        <v>537</v>
      </c>
      <c r="AC35" s="802" t="s">
        <v>1150</v>
      </c>
      <c r="AD35" s="564"/>
      <c r="AE35" s="488"/>
      <c r="AF35" s="488"/>
      <c r="AG35" s="488"/>
      <c r="AH35" s="488"/>
      <c r="AI35" s="59"/>
      <c r="AJ35" s="1176">
        <f t="shared" ref="AJ35:BC35" ca="1" si="10">(1+AJ28%)*(1-AJ29%)*(1+AJ30*AJ33)</f>
        <v>0.99</v>
      </c>
      <c r="AK35" s="1176">
        <f t="shared" ca="1" si="10"/>
        <v>0.99</v>
      </c>
      <c r="AL35" s="1176">
        <f t="shared" ca="1" si="10"/>
        <v>0.99</v>
      </c>
      <c r="AM35" s="1176">
        <f t="shared" ca="1" si="10"/>
        <v>0.99</v>
      </c>
      <c r="AN35" s="1176">
        <f t="shared" ca="1" si="10"/>
        <v>0.99</v>
      </c>
      <c r="AO35" s="1176">
        <f t="shared" ca="1" si="10"/>
        <v>0.99</v>
      </c>
      <c r="AP35" s="1176">
        <f t="shared" ca="1" si="10"/>
        <v>0.99</v>
      </c>
      <c r="AQ35" s="1176">
        <f t="shared" ca="1" si="10"/>
        <v>0.99</v>
      </c>
      <c r="AR35" s="1176">
        <f t="shared" ca="1" si="10"/>
        <v>0.99</v>
      </c>
      <c r="AS35" s="1176">
        <f t="shared" ca="1" si="10"/>
        <v>0.99</v>
      </c>
      <c r="AT35" s="1176">
        <f t="shared" ca="1" si="10"/>
        <v>0.99</v>
      </c>
      <c r="AU35" s="1176">
        <f t="shared" ca="1" si="10"/>
        <v>0.99</v>
      </c>
      <c r="AV35" s="1176">
        <f t="shared" ca="1" si="10"/>
        <v>0.99</v>
      </c>
      <c r="AW35" s="1176">
        <f t="shared" ca="1" si="10"/>
        <v>0.99</v>
      </c>
      <c r="AX35" s="1176">
        <f t="shared" ca="1" si="10"/>
        <v>0.99</v>
      </c>
      <c r="AY35" s="1176">
        <f t="shared" ca="1" si="10"/>
        <v>0.99</v>
      </c>
      <c r="AZ35" s="1176">
        <f t="shared" ca="1" si="10"/>
        <v>0.99</v>
      </c>
      <c r="BA35" s="1176">
        <f t="shared" ca="1" si="10"/>
        <v>0.99</v>
      </c>
      <c r="BB35" s="1176">
        <f t="shared" ca="1" si="10"/>
        <v>0.99</v>
      </c>
      <c r="BC35" s="1176">
        <f t="shared" ca="1" si="10"/>
        <v>0.99</v>
      </c>
      <c r="BD35" s="488"/>
      <c r="BE35" s="488"/>
      <c r="BF35" s="488"/>
      <c r="BG35" s="488"/>
      <c r="BH35" s="488"/>
      <c r="BI35" s="488"/>
      <c r="BJ35" s="488"/>
      <c r="BK35" s="488"/>
      <c r="BL35" s="488"/>
      <c r="BM35" s="488"/>
      <c r="BN35" s="22"/>
      <c r="BO35" s="22"/>
      <c r="BP35" s="22"/>
      <c r="BS35" s="943" t="s">
        <v>1151</v>
      </c>
    </row>
    <row r="36" spans="1:71" s="1177" customFormat="1" ht="16.5" customHeight="1">
      <c r="A36" s="157"/>
      <c r="B36" s="157"/>
      <c r="C36" s="157"/>
      <c r="D36" s="157"/>
      <c r="E36" s="623">
        <v>17.100000000000001</v>
      </c>
      <c r="F36" s="714" t="str">
        <f>X36</f>
        <v>1</v>
      </c>
      <c r="G36" s="566" t="str">
        <f>INDEX('Общие сведения'!$AK$169:$AK$202,MATCH($F36,'Общие сведения'!$Z$169:$Z$202,0))</f>
        <v>одноставочный</v>
      </c>
      <c r="H36" s="157"/>
      <c r="I36" s="150" t="str">
        <f>INDEX('Общие сведения'!$AE$169:$AE$202,MATCH($F36,'Общие сведения'!$Z$169:$Z$202,0))</f>
        <v>Теплоснабжение</v>
      </c>
      <c r="J36" s="157"/>
      <c r="K36" s="157"/>
      <c r="L36" s="157"/>
      <c r="M36" s="157"/>
      <c r="N36" s="157"/>
      <c r="O36" s="157"/>
      <c r="P36" s="157"/>
      <c r="Q36" s="157"/>
      <c r="R36" s="157"/>
      <c r="S36" s="157"/>
      <c r="T36" s="634" t="b">
        <f>X36&gt;0</f>
        <v>1</v>
      </c>
      <c r="U36" s="157"/>
      <c r="V36" s="113" t="str">
        <f>'Операционные (5.1)'!$AB$51</f>
        <v>Тариф 1 (Теплоснабжение) - Тарифы на теплоноситель (Не определено)</v>
      </c>
      <c r="W36" s="157"/>
      <c r="X36" s="1405" t="s">
        <v>247</v>
      </c>
      <c r="Y36" s="157"/>
      <c r="Z36" s="1403"/>
      <c r="AA36" s="157"/>
      <c r="AB36" s="252" t="str">
        <f>IF(ISBLANK('Операционные (5.1)'!$AB$51),"",'Операционные (5.1)'!$AB$51)</f>
        <v>Тариф 1 (Теплоснабжение) - Тарифы на теплоноситель (Не определено)</v>
      </c>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157"/>
      <c r="BR36" s="157"/>
      <c r="BS36" s="883"/>
    </row>
    <row r="37" spans="1:71" s="1057" customFormat="1" ht="16.5" customHeight="1">
      <c r="A37" s="165"/>
      <c r="B37" s="718"/>
      <c r="C37" s="165"/>
      <c r="D37" s="165"/>
      <c r="E37" s="623">
        <v>17.100000000000001</v>
      </c>
      <c r="F37" s="714" t="str">
        <f t="shared" ref="F37:F44" ca="1" si="11">OFFSET(G37,-1,-1)</f>
        <v>1</v>
      </c>
      <c r="G37" s="130" t="s">
        <v>400</v>
      </c>
      <c r="H37" s="167"/>
      <c r="I37" s="167"/>
      <c r="J37" s="167"/>
      <c r="K37" s="167"/>
      <c r="L37" s="167"/>
      <c r="M37" s="167"/>
      <c r="N37" s="167"/>
      <c r="O37" s="167"/>
      <c r="P37" s="167"/>
      <c r="Q37" s="130"/>
      <c r="R37" s="130"/>
      <c r="S37" s="167"/>
      <c r="T37" s="634" t="b">
        <f t="shared" ref="T37:T44" si="12">T36</f>
        <v>1</v>
      </c>
      <c r="U37" s="1012"/>
      <c r="V37" s="1012"/>
      <c r="W37" s="1012"/>
      <c r="X37" s="1405"/>
      <c r="Y37" s="1012"/>
      <c r="Z37" s="1405"/>
      <c r="AA37" s="167"/>
      <c r="AB37" s="99" t="s">
        <v>247</v>
      </c>
      <c r="AC37" s="569" t="s">
        <v>1135</v>
      </c>
      <c r="AD37" s="99" t="s">
        <v>388</v>
      </c>
      <c r="AE37" s="470"/>
      <c r="AF37" s="468"/>
      <c r="AG37" s="468"/>
      <c r="AH37" s="468"/>
      <c r="AI37" s="1178"/>
      <c r="AJ37" s="690">
        <f ca="1">SUMIFS(Сценарии!AE$27:AE$82,Сценарии!$F$27:$F$82,$F37,Сценарии!$G$27:$G$82,$G37)</f>
        <v>0</v>
      </c>
      <c r="AK37" s="690">
        <f ca="1">SUMIFS(Сценарии!AF$27:AF$82,Сценарии!$F$27:$F$82,$F37,Сценарии!$G$27:$G$82,$G37)</f>
        <v>0</v>
      </c>
      <c r="AL37" s="690">
        <f ca="1">SUMIFS(Сценарии!AG$27:AG$82,Сценарии!$F$27:$F$82,$F37,Сценарии!$G$27:$G$82,$G37)</f>
        <v>0</v>
      </c>
      <c r="AM37" s="690">
        <f ca="1">SUMIFS(Сценарии!AH$27:AH$82,Сценарии!$F$27:$F$82,$F37,Сценарии!$G$27:$G$82,$G37)</f>
        <v>0</v>
      </c>
      <c r="AN37" s="690">
        <f ca="1">SUMIFS(Сценарии!AI$27:AI$82,Сценарии!$F$27:$F$82,$F37,Сценарии!$G$27:$G$82,$G37)</f>
        <v>0</v>
      </c>
      <c r="AO37" s="690">
        <f ca="1">SUMIFS(Сценарии!AJ$27:AJ$82,Сценарии!$F$27:$F$82,$F37,Сценарии!$G$27:$G$82,$G37)</f>
        <v>0</v>
      </c>
      <c r="AP37" s="690">
        <f ca="1">SUMIFS(Сценарии!AK$27:AK$82,Сценарии!$F$27:$F$82,$F37,Сценарии!$G$27:$G$82,$G37)</f>
        <v>0</v>
      </c>
      <c r="AQ37" s="690">
        <f ca="1">SUMIFS(Сценарии!AL$27:AL$82,Сценарии!$F$27:$F$82,$F37,Сценарии!$G$27:$G$82,$G37)</f>
        <v>0</v>
      </c>
      <c r="AR37" s="690">
        <f ca="1">SUMIFS(Сценарии!AM$27:AM$82,Сценарии!$F$27:$F$82,$F37,Сценарии!$G$27:$G$82,$G37)</f>
        <v>0</v>
      </c>
      <c r="AS37" s="690">
        <f ca="1">SUMIFS(Сценарии!AN$27:AN$82,Сценарии!$F$27:$F$82,$F37,Сценарии!$G$27:$G$82,$G37)</f>
        <v>0</v>
      </c>
      <c r="AT37" s="690">
        <f ca="1">SUMIFS(Сценарии!AO$27:AO$82,Сценарии!$F$27:$F$82,$F37,Сценарии!$G$27:$G$82,$G37)</f>
        <v>0</v>
      </c>
      <c r="AU37" s="690">
        <f ca="1">SUMIFS(Сценарии!AP$27:AP$82,Сценарии!$F$27:$F$82,$F37,Сценарии!$G$27:$G$82,$G37)</f>
        <v>0</v>
      </c>
      <c r="AV37" s="690">
        <f ca="1">SUMIFS(Сценарии!AQ$27:AQ$82,Сценарии!$F$27:$F$82,$F37,Сценарии!$G$27:$G$82,$G37)</f>
        <v>0</v>
      </c>
      <c r="AW37" s="690">
        <f ca="1">SUMIFS(Сценарии!AR$27:AR$82,Сценарии!$F$27:$F$82,$F37,Сценарии!$G$27:$G$82,$G37)</f>
        <v>0</v>
      </c>
      <c r="AX37" s="690">
        <f ca="1">SUMIFS(Сценарии!AS$27:AS$82,Сценарии!$F$27:$F$82,$F37,Сценарии!$G$27:$G$82,$G37)</f>
        <v>0</v>
      </c>
      <c r="AY37" s="690">
        <f ca="1">SUMIFS(Сценарии!AT$27:AT$82,Сценарии!$F$27:$F$82,$F37,Сценарии!$G$27:$G$82,$G37)</f>
        <v>0</v>
      </c>
      <c r="AZ37" s="690">
        <f ca="1">SUMIFS(Сценарии!AU$27:AU$82,Сценарии!$F$27:$F$82,$F37,Сценарии!$G$27:$G$82,$G37)</f>
        <v>0</v>
      </c>
      <c r="BA37" s="690">
        <f ca="1">SUMIFS(Сценарии!AV$27:AV$82,Сценарии!$F$27:$F$82,$F37,Сценарии!$G$27:$G$82,$G37)</f>
        <v>0</v>
      </c>
      <c r="BB37" s="690">
        <f ca="1">SUMIFS(Сценарии!AW$27:AW$82,Сценарии!$F$27:$F$82,$F37,Сценарии!$G$27:$G$82,$G37)</f>
        <v>0</v>
      </c>
      <c r="BC37" s="690">
        <f ca="1">SUMIFS(Сценарии!AX$27:AX$82,Сценарии!$F$27:$F$82,$F37,Сценарии!$G$27:$G$82,$G37)</f>
        <v>0</v>
      </c>
      <c r="BD37" s="468"/>
      <c r="BE37" s="468"/>
      <c r="BF37" s="468"/>
      <c r="BG37" s="468"/>
      <c r="BH37" s="468"/>
      <c r="BI37" s="468"/>
      <c r="BJ37" s="468"/>
      <c r="BK37" s="468"/>
      <c r="BL37" s="468"/>
      <c r="BM37" s="468"/>
      <c r="BN37" s="1106"/>
      <c r="BO37" s="1106"/>
      <c r="BP37" s="1106"/>
      <c r="BQ37" s="167"/>
      <c r="BR37" s="167"/>
      <c r="BS37" s="943" t="s">
        <v>1136</v>
      </c>
    </row>
    <row r="38" spans="1:71" s="1179" customFormat="1" ht="16.5" customHeight="1">
      <c r="A38" s="170"/>
      <c r="B38" s="170"/>
      <c r="C38" s="170"/>
      <c r="D38" s="170"/>
      <c r="E38" s="623">
        <v>17.100000000000001</v>
      </c>
      <c r="F38" s="714" t="str">
        <f t="shared" ca="1" si="11"/>
        <v>1</v>
      </c>
      <c r="G38" s="723" t="s">
        <v>390</v>
      </c>
      <c r="H38" s="170"/>
      <c r="I38" s="170"/>
      <c r="J38" s="170"/>
      <c r="K38" s="170"/>
      <c r="L38" s="170"/>
      <c r="M38" s="170"/>
      <c r="N38" s="170"/>
      <c r="O38" s="170"/>
      <c r="P38" s="170"/>
      <c r="Q38" s="170"/>
      <c r="R38" s="170"/>
      <c r="S38" s="170"/>
      <c r="T38" s="634" t="b">
        <f t="shared" si="12"/>
        <v>1</v>
      </c>
      <c r="U38" s="170"/>
      <c r="V38" s="170"/>
      <c r="W38" s="170"/>
      <c r="X38" s="1498"/>
      <c r="Y38" s="170"/>
      <c r="Z38" s="1498"/>
      <c r="AA38" s="170"/>
      <c r="AB38" s="99" t="s">
        <v>343</v>
      </c>
      <c r="AC38" s="106" t="s">
        <v>1137</v>
      </c>
      <c r="AD38" s="99" t="s">
        <v>388</v>
      </c>
      <c r="AE38" s="470"/>
      <c r="AF38" s="468"/>
      <c r="AG38" s="468"/>
      <c r="AH38" s="468"/>
      <c r="AI38" s="1178"/>
      <c r="AJ38" s="690">
        <f ca="1">SUMIFS(Сценарии!AE$27:AE$82,Сценарии!$F$27:$F$82,$F38,Сценарии!$G$27:$G$82,$G38)</f>
        <v>1</v>
      </c>
      <c r="AK38" s="690">
        <f ca="1">SUMIFS(Сценарии!AF$27:AF$82,Сценарии!$F$27:$F$82,$F38,Сценарии!$G$27:$G$82,$G38)</f>
        <v>1</v>
      </c>
      <c r="AL38" s="690">
        <f ca="1">SUMIFS(Сценарии!AG$27:AG$82,Сценарии!$F$27:$F$82,$F38,Сценарии!$G$27:$G$82,$G38)</f>
        <v>1</v>
      </c>
      <c r="AM38" s="690">
        <f ca="1">SUMIFS(Сценарии!AH$27:AH$82,Сценарии!$F$27:$F$82,$F38,Сценарии!$G$27:$G$82,$G38)</f>
        <v>1</v>
      </c>
      <c r="AN38" s="690">
        <f ca="1">SUMIFS(Сценарии!AI$27:AI$82,Сценарии!$F$27:$F$82,$F38,Сценарии!$G$27:$G$82,$G38)</f>
        <v>1</v>
      </c>
      <c r="AO38" s="690">
        <f ca="1">SUMIFS(Сценарии!AJ$27:AJ$82,Сценарии!$F$27:$F$82,$F38,Сценарии!$G$27:$G$82,$G38)</f>
        <v>1</v>
      </c>
      <c r="AP38" s="690">
        <f ca="1">SUMIFS(Сценарии!AK$27:AK$82,Сценарии!$F$27:$F$82,$F38,Сценарии!$G$27:$G$82,$G38)</f>
        <v>1</v>
      </c>
      <c r="AQ38" s="690">
        <f ca="1">SUMIFS(Сценарии!AL$27:AL$82,Сценарии!$F$27:$F$82,$F38,Сценарии!$G$27:$G$82,$G38)</f>
        <v>1</v>
      </c>
      <c r="AR38" s="690">
        <f ca="1">SUMIFS(Сценарии!AM$27:AM$82,Сценарии!$F$27:$F$82,$F38,Сценарии!$G$27:$G$82,$G38)</f>
        <v>1</v>
      </c>
      <c r="AS38" s="690">
        <f ca="1">SUMIFS(Сценарии!AN$27:AN$82,Сценарии!$F$27:$F$82,$F38,Сценарии!$G$27:$G$82,$G38)</f>
        <v>1</v>
      </c>
      <c r="AT38" s="976">
        <v>1</v>
      </c>
      <c r="AU38" s="1175">
        <v>1</v>
      </c>
      <c r="AV38" s="1175">
        <v>1</v>
      </c>
      <c r="AW38" s="1178">
        <v>1</v>
      </c>
      <c r="AX38" s="1178">
        <v>1</v>
      </c>
      <c r="AY38" s="1178">
        <v>1</v>
      </c>
      <c r="AZ38" s="1178">
        <v>1</v>
      </c>
      <c r="BA38" s="1178">
        <v>1</v>
      </c>
      <c r="BB38" s="1178">
        <v>1</v>
      </c>
      <c r="BC38" s="1178">
        <v>1</v>
      </c>
      <c r="BD38" s="468"/>
      <c r="BE38" s="468"/>
      <c r="BF38" s="468"/>
      <c r="BG38" s="468"/>
      <c r="BH38" s="468"/>
      <c r="BI38" s="468"/>
      <c r="BJ38" s="468"/>
      <c r="BK38" s="468"/>
      <c r="BL38" s="468"/>
      <c r="BM38" s="468"/>
      <c r="BN38" s="1106"/>
      <c r="BO38" s="1106"/>
      <c r="BP38" s="1106"/>
      <c r="BQ38" s="170"/>
      <c r="BR38" s="170"/>
      <c r="BS38" s="943" t="s">
        <v>1138</v>
      </c>
    </row>
    <row r="39" spans="1:71" s="1057" customFormat="1" ht="16.5" customHeight="1">
      <c r="A39" s="165"/>
      <c r="B39" s="718"/>
      <c r="C39" s="165"/>
      <c r="D39" s="165"/>
      <c r="E39" s="623">
        <v>17.100000000000001</v>
      </c>
      <c r="F39" s="714" t="str">
        <f t="shared" ca="1" si="11"/>
        <v>1</v>
      </c>
      <c r="G39" s="130" t="s">
        <v>443</v>
      </c>
      <c r="H39" s="167"/>
      <c r="I39" s="167"/>
      <c r="J39" s="167"/>
      <c r="K39" s="167"/>
      <c r="L39" s="167"/>
      <c r="M39" s="167"/>
      <c r="N39" s="167"/>
      <c r="O39" s="167"/>
      <c r="P39" s="167"/>
      <c r="Q39" s="130"/>
      <c r="R39" s="130"/>
      <c r="S39" s="167"/>
      <c r="T39" s="634" t="b">
        <f t="shared" si="12"/>
        <v>1</v>
      </c>
      <c r="U39" s="1012"/>
      <c r="V39" s="1012"/>
      <c r="W39" s="1012"/>
      <c r="X39" s="1405"/>
      <c r="Y39" s="1012"/>
      <c r="Z39" s="1405"/>
      <c r="AA39" s="167"/>
      <c r="AB39" s="99" t="s">
        <v>520</v>
      </c>
      <c r="AC39" s="106" t="s">
        <v>1139</v>
      </c>
      <c r="AD39" s="99"/>
      <c r="AE39" s="470"/>
      <c r="AF39" s="468"/>
      <c r="AG39" s="468"/>
      <c r="AH39" s="468"/>
      <c r="AI39" s="1178"/>
      <c r="AJ39" s="690">
        <f ca="1">SUMIFS(Сценарии!AE$27:AE$82,Сценарии!$F$27:$F$82,$F39,Сценарии!$G$27:$G$82,$G39)</f>
        <v>0</v>
      </c>
      <c r="AK39" s="690">
        <f ca="1">SUMIFS(Сценарии!AF$27:AF$82,Сценарии!$F$27:$F$82,$F39,Сценарии!$G$27:$G$82,$G39)</f>
        <v>0</v>
      </c>
      <c r="AL39" s="690">
        <f ca="1">SUMIFS(Сценарии!AG$27:AG$82,Сценарии!$F$27:$F$82,$F39,Сценарии!$G$27:$G$82,$G39)</f>
        <v>0</v>
      </c>
      <c r="AM39" s="690">
        <f ca="1">SUMIFS(Сценарии!AH$27:AH$82,Сценарии!$F$27:$F$82,$F39,Сценарии!$G$27:$G$82,$G39)</f>
        <v>0</v>
      </c>
      <c r="AN39" s="690">
        <f ca="1">SUMIFS(Сценарии!AI$27:AI$82,Сценарии!$F$27:$F$82,$F39,Сценарии!$G$27:$G$82,$G39)</f>
        <v>0</v>
      </c>
      <c r="AO39" s="690">
        <f ca="1">SUMIFS(Сценарии!AJ$27:AJ$82,Сценарии!$F$27:$F$82,$F39,Сценарии!$G$27:$G$82,$G39)</f>
        <v>0</v>
      </c>
      <c r="AP39" s="690">
        <f ca="1">SUMIFS(Сценарии!AK$27:AK$82,Сценарии!$F$27:$F$82,$F39,Сценарии!$G$27:$G$82,$G39)</f>
        <v>0</v>
      </c>
      <c r="AQ39" s="690">
        <f ca="1">SUMIFS(Сценарии!AL$27:AL$82,Сценарии!$F$27:$F$82,$F39,Сценарии!$G$27:$G$82,$G39)</f>
        <v>0</v>
      </c>
      <c r="AR39" s="690">
        <f ca="1">SUMIFS(Сценарии!AM$27:AM$82,Сценарии!$F$27:$F$82,$F39,Сценарии!$G$27:$G$82,$G39)</f>
        <v>0</v>
      </c>
      <c r="AS39" s="690">
        <f ca="1">SUMIFS(Сценарии!AN$27:AN$82,Сценарии!$F$27:$F$82,$F39,Сценарии!$G$27:$G$82,$G39)</f>
        <v>0</v>
      </c>
      <c r="AT39" s="690">
        <f ca="1">SUMIFS(Сценарии!AO$27:AO$82,Сценарии!$F$27:$F$82,$F39,Сценарии!$G$27:$G$82,$G39)</f>
        <v>0</v>
      </c>
      <c r="AU39" s="690">
        <f ca="1">SUMIFS(Сценарии!AP$27:AP$82,Сценарии!$F$27:$F$82,$F39,Сценарии!$G$27:$G$82,$G39)</f>
        <v>0</v>
      </c>
      <c r="AV39" s="690">
        <f ca="1">SUMIFS(Сценарии!AQ$27:AQ$82,Сценарии!$F$27:$F$82,$F39,Сценарии!$G$27:$G$82,$G39)</f>
        <v>0</v>
      </c>
      <c r="AW39" s="690">
        <f ca="1">SUMIFS(Сценарии!AR$27:AR$82,Сценарии!$F$27:$F$82,$F39,Сценарии!$G$27:$G$82,$G39)</f>
        <v>0</v>
      </c>
      <c r="AX39" s="690">
        <f ca="1">SUMIFS(Сценарии!AS$27:AS$82,Сценарии!$F$27:$F$82,$F39,Сценарии!$G$27:$G$82,$G39)</f>
        <v>0</v>
      </c>
      <c r="AY39" s="690">
        <f ca="1">SUMIFS(Сценарии!AT$27:AT$82,Сценарии!$F$27:$F$82,$F39,Сценарии!$G$27:$G$82,$G39)</f>
        <v>0</v>
      </c>
      <c r="AZ39" s="690">
        <f ca="1">SUMIFS(Сценарии!AU$27:AU$82,Сценарии!$F$27:$F$82,$F39,Сценарии!$G$27:$G$82,$G39)</f>
        <v>0</v>
      </c>
      <c r="BA39" s="690">
        <f ca="1">SUMIFS(Сценарии!AV$27:AV$82,Сценарии!$F$27:$F$82,$F39,Сценарии!$G$27:$G$82,$G39)</f>
        <v>0</v>
      </c>
      <c r="BB39" s="690">
        <f ca="1">SUMIFS(Сценарии!AW$27:AW$82,Сценарии!$F$27:$F$82,$F39,Сценарии!$G$27:$G$82,$G39)</f>
        <v>0</v>
      </c>
      <c r="BC39" s="690">
        <f ca="1">SUMIFS(Сценарии!AX$27:AX$82,Сценарии!$F$27:$F$82,$F39,Сценарии!$G$27:$G$82,$G39)</f>
        <v>0</v>
      </c>
      <c r="BD39" s="468"/>
      <c r="BE39" s="468"/>
      <c r="BF39" s="468"/>
      <c r="BG39" s="468"/>
      <c r="BH39" s="468"/>
      <c r="BI39" s="468"/>
      <c r="BJ39" s="468"/>
      <c r="BK39" s="468"/>
      <c r="BL39" s="468"/>
      <c r="BM39" s="468"/>
      <c r="BN39" s="1106"/>
      <c r="BO39" s="1106"/>
      <c r="BP39" s="1106"/>
      <c r="BQ39" s="167"/>
      <c r="BR39" s="167"/>
      <c r="BS39" s="943" t="s">
        <v>1140</v>
      </c>
    </row>
    <row r="40" spans="1:71" s="1057" customFormat="1" ht="29.25" customHeight="1">
      <c r="A40" s="165"/>
      <c r="B40" s="718"/>
      <c r="C40" s="165"/>
      <c r="D40" s="165"/>
      <c r="E40" s="623">
        <v>30</v>
      </c>
      <c r="F40" s="714" t="str">
        <f t="shared" ca="1" si="11"/>
        <v>1</v>
      </c>
      <c r="G40" s="130" t="s">
        <v>333</v>
      </c>
      <c r="H40" s="167"/>
      <c r="I40" s="167"/>
      <c r="J40" s="167"/>
      <c r="K40" s="167"/>
      <c r="L40" s="167"/>
      <c r="M40" s="167"/>
      <c r="N40" s="167"/>
      <c r="O40" s="167"/>
      <c r="P40" s="167"/>
      <c r="Q40" s="130"/>
      <c r="R40" s="130"/>
      <c r="S40" s="167"/>
      <c r="T40" s="634" t="b">
        <f t="shared" si="12"/>
        <v>1</v>
      </c>
      <c r="U40" s="1012"/>
      <c r="V40" s="1012"/>
      <c r="W40" s="1012"/>
      <c r="X40" s="1405"/>
      <c r="Y40" s="1012"/>
      <c r="Z40" s="1405"/>
      <c r="AA40" s="167"/>
      <c r="AB40" s="99" t="s">
        <v>523</v>
      </c>
      <c r="AC40" s="103" t="s">
        <v>1141</v>
      </c>
      <c r="AD40" s="99" t="s">
        <v>1142</v>
      </c>
      <c r="AE40" s="470"/>
      <c r="AF40" s="468"/>
      <c r="AG40" s="468"/>
      <c r="AH40" s="468"/>
      <c r="AI40" s="1178">
        <f ca="1">SUMIFS('Расчет УЕ'!AE$26:AE$68,'Расчет УЕ'!$F$26:$F$68,$F40,'Расчет УЕ'!$G$26:$G$68,$G40)</f>
        <v>51.28</v>
      </c>
      <c r="AJ40" s="690">
        <f ca="1">SUMIFS('Расчет УЕ'!AF$26:AF$68,'Расчет УЕ'!$F$26:$F$68,$F40,'Расчет УЕ'!$G$26:$G$68,$G40)</f>
        <v>51.28</v>
      </c>
      <c r="AK40" s="690">
        <f ca="1">SUMIFS('Расчет УЕ'!AG$26:AG$68,'Расчет УЕ'!$F$26:$F$68,$F40,'Расчет УЕ'!$G$26:$G$68,$G40)</f>
        <v>0</v>
      </c>
      <c r="AL40" s="690">
        <f ca="1">SUMIFS('Расчет УЕ'!AH$26:AH$68,'Расчет УЕ'!$F$26:$F$68,$F40,'Расчет УЕ'!$G$26:$G$68,$G40)</f>
        <v>0</v>
      </c>
      <c r="AM40" s="690">
        <f ca="1">SUMIFS('Расчет УЕ'!AI$26:AI$68,'Расчет УЕ'!$F$26:$F$68,$F40,'Расчет УЕ'!$G$26:$G$68,$G40)</f>
        <v>0</v>
      </c>
      <c r="AN40" s="690">
        <f ca="1">SUMIFS('Расчет УЕ'!AJ$26:AJ$68,'Расчет УЕ'!$F$26:$F$68,$F40,'Расчет УЕ'!$G$26:$G$68,$G40)</f>
        <v>0</v>
      </c>
      <c r="AO40" s="690">
        <f ca="1">SUMIFS('Расчет УЕ'!AK$26:AK$68,'Расчет УЕ'!$F$26:$F$68,$F40,'Расчет УЕ'!$G$26:$G$68,$G40)</f>
        <v>0</v>
      </c>
      <c r="AP40" s="690">
        <f ca="1">SUMIFS('Расчет УЕ'!AL$26:AL$68,'Расчет УЕ'!$F$26:$F$68,$F40,'Расчет УЕ'!$G$26:$G$68,$G40)</f>
        <v>0</v>
      </c>
      <c r="AQ40" s="690">
        <f ca="1">SUMIFS('Расчет УЕ'!AM$26:AM$68,'Расчет УЕ'!$F$26:$F$68,$F40,'Расчет УЕ'!$G$26:$G$68,$G40)</f>
        <v>0</v>
      </c>
      <c r="AR40" s="690">
        <f ca="1">SUMIFS('Расчет УЕ'!AN$26:AN$68,'Расчет УЕ'!$F$26:$F$68,$F40,'Расчет УЕ'!$G$26:$G$68,$G40)</f>
        <v>0</v>
      </c>
      <c r="AS40" s="690">
        <f ca="1">SUMIFS('Расчет УЕ'!AO$26:AO$68,'Расчет УЕ'!$F$26:$F$68,$F40,'Расчет УЕ'!$G$26:$G$68,$G40)</f>
        <v>0</v>
      </c>
      <c r="AT40" s="690">
        <f ca="1">SUMIFS('Расчет УЕ'!AP$26:AP$68,'Расчет УЕ'!$F$26:$F$68,$F40,'Расчет УЕ'!$G$26:$G$68,$G40)</f>
        <v>51.28</v>
      </c>
      <c r="AU40" s="690">
        <f ca="1">SUMIFS('Расчет УЕ'!AQ$26:AQ$68,'Расчет УЕ'!$F$26:$F$68,$F40,'Расчет УЕ'!$G$26:$G$68,$G40)</f>
        <v>0</v>
      </c>
      <c r="AV40" s="690">
        <f ca="1">SUMIFS('Расчет УЕ'!AR$26:AR$68,'Расчет УЕ'!$F$26:$F$68,$F40,'Расчет УЕ'!$G$26:$G$68,$G40)</f>
        <v>0</v>
      </c>
      <c r="AW40" s="690">
        <f ca="1">SUMIFS('Расчет УЕ'!AS$26:AS$68,'Расчет УЕ'!$F$26:$F$68,$F40,'Расчет УЕ'!$G$26:$G$68,$G40)</f>
        <v>0</v>
      </c>
      <c r="AX40" s="690">
        <f ca="1">SUMIFS('Расчет УЕ'!AT$26:AT$68,'Расчет УЕ'!$F$26:$F$68,$F40,'Расчет УЕ'!$G$26:$G$68,$G40)</f>
        <v>0</v>
      </c>
      <c r="AY40" s="690">
        <f ca="1">SUMIFS('Расчет УЕ'!AU$26:AU$68,'Расчет УЕ'!$F$26:$F$68,$F40,'Расчет УЕ'!$G$26:$G$68,$G40)</f>
        <v>0</v>
      </c>
      <c r="AZ40" s="690">
        <f ca="1">SUMIFS('Расчет УЕ'!AV$26:AV$68,'Расчет УЕ'!$F$26:$F$68,$F40,'Расчет УЕ'!$G$26:$G$68,$G40)</f>
        <v>0</v>
      </c>
      <c r="BA40" s="690">
        <f ca="1">SUMIFS('Расчет УЕ'!AW$26:AW$68,'Расчет УЕ'!$F$26:$F$68,$F40,'Расчет УЕ'!$G$26:$G$68,$G40)</f>
        <v>0</v>
      </c>
      <c r="BB40" s="690">
        <f ca="1">SUMIFS('Расчет УЕ'!AX$26:AX$68,'Расчет УЕ'!$F$26:$F$68,$F40,'Расчет УЕ'!$G$26:$G$68,$G40)</f>
        <v>0</v>
      </c>
      <c r="BC40" s="690">
        <f ca="1">SUMIFS('Расчет УЕ'!AY$26:AY$68,'Расчет УЕ'!$F$26:$F$68,$F40,'Расчет УЕ'!$G$26:$G$68,$G40)</f>
        <v>0</v>
      </c>
      <c r="BD40" s="468"/>
      <c r="BE40" s="468"/>
      <c r="BF40" s="468"/>
      <c r="BG40" s="468"/>
      <c r="BH40" s="468"/>
      <c r="BI40" s="468"/>
      <c r="BJ40" s="468"/>
      <c r="BK40" s="468"/>
      <c r="BL40" s="468"/>
      <c r="BM40" s="468"/>
      <c r="BN40" s="1106"/>
      <c r="BO40" s="1106"/>
      <c r="BP40" s="1106"/>
      <c r="BQ40" s="167"/>
      <c r="BR40" s="167"/>
      <c r="BS40" s="943" t="s">
        <v>1143</v>
      </c>
    </row>
    <row r="41" spans="1:71" s="1057" customFormat="1" ht="16.5" customHeight="1">
      <c r="A41" s="165"/>
      <c r="B41" s="718"/>
      <c r="C41" s="165"/>
      <c r="D41" s="165"/>
      <c r="E41" s="623">
        <v>17.100000000000001</v>
      </c>
      <c r="F41" s="714" t="str">
        <f t="shared" ca="1" si="11"/>
        <v>1</v>
      </c>
      <c r="G41" s="130" t="s">
        <v>338</v>
      </c>
      <c r="H41" s="167"/>
      <c r="I41" s="167"/>
      <c r="J41" s="167"/>
      <c r="K41" s="167"/>
      <c r="L41" s="167"/>
      <c r="M41" s="167"/>
      <c r="N41" s="167"/>
      <c r="O41" s="167"/>
      <c r="P41" s="167"/>
      <c r="Q41" s="130"/>
      <c r="R41" s="130"/>
      <c r="S41" s="167"/>
      <c r="T41" s="634" t="b">
        <f t="shared" si="12"/>
        <v>1</v>
      </c>
      <c r="U41" s="1012"/>
      <c r="V41" s="1012"/>
      <c r="W41" s="1012"/>
      <c r="X41" s="1405"/>
      <c r="Y41" s="1012"/>
      <c r="Z41" s="1405"/>
      <c r="AA41" s="167"/>
      <c r="AB41" s="99" t="s">
        <v>525</v>
      </c>
      <c r="AC41" s="103" t="s">
        <v>1144</v>
      </c>
      <c r="AD41" s="99" t="s">
        <v>804</v>
      </c>
      <c r="AE41" s="470"/>
      <c r="AF41" s="468"/>
      <c r="AG41" s="468"/>
      <c r="AH41" s="468"/>
      <c r="AI41" s="975"/>
      <c r="AJ41" s="690">
        <f ca="1">SUMIFS('Расчет УЕ'!AF$26:AF$68,'Расчет УЕ'!$F$26:$F$68,$F41,'Расчет УЕ'!$G$26:$G$68,$G41)</f>
        <v>51.28</v>
      </c>
      <c r="AK41" s="690">
        <f ca="1">SUMIFS('Расчет УЕ'!AG$26:AG$68,'Расчет УЕ'!$F$26:$F$68,$F41,'Расчет УЕ'!$G$26:$G$68,$G41)</f>
        <v>0</v>
      </c>
      <c r="AL41" s="690">
        <f ca="1">SUMIFS('Расчет УЕ'!AH$26:AH$68,'Расчет УЕ'!$F$26:$F$68,$F41,'Расчет УЕ'!$G$26:$G$68,$G41)</f>
        <v>0</v>
      </c>
      <c r="AM41" s="690">
        <f ca="1">SUMIFS('Расчет УЕ'!AI$26:AI$68,'Расчет УЕ'!$F$26:$F$68,$F41,'Расчет УЕ'!$G$26:$G$68,$G41)</f>
        <v>0</v>
      </c>
      <c r="AN41" s="690">
        <f ca="1">SUMIFS('Расчет УЕ'!AJ$26:AJ$68,'Расчет УЕ'!$F$26:$F$68,$F41,'Расчет УЕ'!$G$26:$G$68,$G41)</f>
        <v>0</v>
      </c>
      <c r="AO41" s="690">
        <f ca="1">SUMIFS('Расчет УЕ'!AK$26:AK$68,'Расчет УЕ'!$F$26:$F$68,$F41,'Расчет УЕ'!$G$26:$G$68,$G41)</f>
        <v>0</v>
      </c>
      <c r="AP41" s="690">
        <f ca="1">SUMIFS('Расчет УЕ'!AL$26:AL$68,'Расчет УЕ'!$F$26:$F$68,$F41,'Расчет УЕ'!$G$26:$G$68,$G41)</f>
        <v>0</v>
      </c>
      <c r="AQ41" s="690">
        <f ca="1">SUMIFS('Расчет УЕ'!AM$26:AM$68,'Расчет УЕ'!$F$26:$F$68,$F41,'Расчет УЕ'!$G$26:$G$68,$G41)</f>
        <v>0</v>
      </c>
      <c r="AR41" s="690">
        <f ca="1">SUMIFS('Расчет УЕ'!AN$26:AN$68,'Расчет УЕ'!$F$26:$F$68,$F41,'Расчет УЕ'!$G$26:$G$68,$G41)</f>
        <v>0</v>
      </c>
      <c r="AS41" s="690">
        <f ca="1">SUMIFS('Расчет УЕ'!AO$26:AO$68,'Расчет УЕ'!$F$26:$F$68,$F41,'Расчет УЕ'!$G$26:$G$68,$G41)</f>
        <v>0</v>
      </c>
      <c r="AT41" s="690">
        <f ca="1">SUMIFS('Расчет УЕ'!AP$26:AP$68,'Расчет УЕ'!$F$26:$F$68,$F41,'Расчет УЕ'!$G$26:$G$68,$G41)</f>
        <v>51.28</v>
      </c>
      <c r="AU41" s="690">
        <f ca="1">SUMIFS('Расчет УЕ'!AQ$26:AQ$68,'Расчет УЕ'!$F$26:$F$68,$F41,'Расчет УЕ'!$G$26:$G$68,$G41)</f>
        <v>0</v>
      </c>
      <c r="AV41" s="690">
        <f ca="1">SUMIFS('Расчет УЕ'!AR$26:AR$68,'Расчет УЕ'!$F$26:$F$68,$F41,'Расчет УЕ'!$G$26:$G$68,$G41)</f>
        <v>0</v>
      </c>
      <c r="AW41" s="690">
        <f ca="1">SUMIFS('Расчет УЕ'!AS$26:AS$68,'Расчет УЕ'!$F$26:$F$68,$F41,'Расчет УЕ'!$G$26:$G$68,$G41)</f>
        <v>0</v>
      </c>
      <c r="AX41" s="690">
        <f ca="1">SUMIFS('Расчет УЕ'!AT$26:AT$68,'Расчет УЕ'!$F$26:$F$68,$F41,'Расчет УЕ'!$G$26:$G$68,$G41)</f>
        <v>0</v>
      </c>
      <c r="AY41" s="690">
        <f ca="1">SUMIFS('Расчет УЕ'!AU$26:AU$68,'Расчет УЕ'!$F$26:$F$68,$F41,'Расчет УЕ'!$G$26:$G$68,$G41)</f>
        <v>0</v>
      </c>
      <c r="AZ41" s="690">
        <f ca="1">SUMIFS('Расчет УЕ'!AV$26:AV$68,'Расчет УЕ'!$F$26:$F$68,$F41,'Расчет УЕ'!$G$26:$G$68,$G41)</f>
        <v>0</v>
      </c>
      <c r="BA41" s="690">
        <f ca="1">SUMIFS('Расчет УЕ'!AW$26:AW$68,'Расчет УЕ'!$F$26:$F$68,$F41,'Расчет УЕ'!$G$26:$G$68,$G41)</f>
        <v>0</v>
      </c>
      <c r="BB41" s="690">
        <f ca="1">SUMIFS('Расчет УЕ'!AX$26:AX$68,'Расчет УЕ'!$F$26:$F$68,$F41,'Расчет УЕ'!$G$26:$G$68,$G41)</f>
        <v>0</v>
      </c>
      <c r="BC41" s="690">
        <f ca="1">SUMIFS('Расчет УЕ'!AY$26:AY$68,'Расчет УЕ'!$F$26:$F$68,$F41,'Расчет УЕ'!$G$26:$G$68,$G41)</f>
        <v>0</v>
      </c>
      <c r="BD41" s="468"/>
      <c r="BE41" s="468"/>
      <c r="BF41" s="468"/>
      <c r="BG41" s="468"/>
      <c r="BH41" s="468"/>
      <c r="BI41" s="468"/>
      <c r="BJ41" s="468"/>
      <c r="BK41" s="468"/>
      <c r="BL41" s="468"/>
      <c r="BM41" s="468"/>
      <c r="BN41" s="1106"/>
      <c r="BO41" s="1106"/>
      <c r="BP41" s="1106"/>
      <c r="BQ41" s="167"/>
      <c r="BR41" s="167"/>
      <c r="BS41" s="943" t="s">
        <v>1145</v>
      </c>
    </row>
    <row r="42" spans="1:71" s="1057" customFormat="1" ht="16.5" customHeight="1">
      <c r="A42" s="165"/>
      <c r="B42" s="718"/>
      <c r="C42" s="165"/>
      <c r="D42" s="165"/>
      <c r="E42" s="623">
        <v>17.100000000000001</v>
      </c>
      <c r="F42" s="714" t="str">
        <f t="shared" ca="1" si="11"/>
        <v>1</v>
      </c>
      <c r="G42" s="566" t="s">
        <v>447</v>
      </c>
      <c r="H42" s="167"/>
      <c r="I42" s="167"/>
      <c r="J42" s="167"/>
      <c r="K42" s="167"/>
      <c r="L42" s="167"/>
      <c r="M42" s="167"/>
      <c r="N42" s="167"/>
      <c r="O42" s="167"/>
      <c r="P42" s="167"/>
      <c r="Q42" s="130"/>
      <c r="R42" s="130"/>
      <c r="S42" s="167"/>
      <c r="T42" s="634" t="b">
        <f t="shared" si="12"/>
        <v>1</v>
      </c>
      <c r="U42" s="1012"/>
      <c r="V42" s="1012"/>
      <c r="W42" s="1012"/>
      <c r="X42" s="1405"/>
      <c r="Y42" s="1012"/>
      <c r="Z42" s="1405"/>
      <c r="AA42" s="167"/>
      <c r="AB42" s="99" t="s">
        <v>527</v>
      </c>
      <c r="AC42" s="106" t="s">
        <v>1152</v>
      </c>
      <c r="AD42" s="99"/>
      <c r="AE42" s="565"/>
      <c r="AF42" s="487"/>
      <c r="AG42" s="487"/>
      <c r="AH42" s="487"/>
      <c r="AI42" s="977"/>
      <c r="AJ42" s="690">
        <f ca="1">SUMIFS(Сценарии!AE$27:AE$82,Сценарии!$F$27:$F$82,$F42,Сценарии!$G$27:$G$82,$G42)</f>
        <v>0.75</v>
      </c>
      <c r="AK42" s="690">
        <f ca="1">SUMIFS(Сценарии!AF$27:AF$82,Сценарии!$F$27:$F$82,$F42,Сценарии!$G$27:$G$82,$G42)</f>
        <v>0.75</v>
      </c>
      <c r="AL42" s="690">
        <f ca="1">SUMIFS(Сценарии!AG$27:AG$82,Сценарии!$F$27:$F$82,$F42,Сценарии!$G$27:$G$82,$G42)</f>
        <v>0.75</v>
      </c>
      <c r="AM42" s="690">
        <f ca="1">SUMIFS(Сценарии!AH$27:AH$82,Сценарии!$F$27:$F$82,$F42,Сценарии!$G$27:$G$82,$G42)</f>
        <v>0.75</v>
      </c>
      <c r="AN42" s="690">
        <f ca="1">SUMIFS(Сценарии!AI$27:AI$82,Сценарии!$F$27:$F$82,$F42,Сценарии!$G$27:$G$82,$G42)</f>
        <v>0.75</v>
      </c>
      <c r="AO42" s="690">
        <f ca="1">SUMIFS(Сценарии!AJ$27:AJ$82,Сценарии!$F$27:$F$82,$F42,Сценарии!$G$27:$G$82,$G42)</f>
        <v>0.75</v>
      </c>
      <c r="AP42" s="690">
        <f ca="1">SUMIFS(Сценарии!AK$27:AK$82,Сценарии!$F$27:$F$82,$F42,Сценарии!$G$27:$G$82,$G42)</f>
        <v>0.75</v>
      </c>
      <c r="AQ42" s="690">
        <f ca="1">SUMIFS(Сценарии!AL$27:AL$82,Сценарии!$F$27:$F$82,$F42,Сценарии!$G$27:$G$82,$G42)</f>
        <v>0.75</v>
      </c>
      <c r="AR42" s="690">
        <f ca="1">SUMIFS(Сценарии!AM$27:AM$82,Сценарии!$F$27:$F$82,$F42,Сценарии!$G$27:$G$82,$G42)</f>
        <v>0.75</v>
      </c>
      <c r="AS42" s="690">
        <f ca="1">SUMIFS(Сценарии!AN$27:AN$82,Сценарии!$F$27:$F$82,$F42,Сценарии!$G$27:$G$82,$G42)</f>
        <v>0.75</v>
      </c>
      <c r="AT42" s="690">
        <f ca="1">SUMIFS(Сценарии!AO$27:AO$82,Сценарии!$F$27:$F$82,$F42,Сценарии!$G$27:$G$82,$G42)</f>
        <v>0.75</v>
      </c>
      <c r="AU42" s="690">
        <f ca="1">SUMIFS(Сценарии!AP$27:AP$82,Сценарии!$F$27:$F$82,$F42,Сценарии!$G$27:$G$82,$G42)</f>
        <v>0.75</v>
      </c>
      <c r="AV42" s="690">
        <f ca="1">SUMIFS(Сценарии!AQ$27:AQ$82,Сценарии!$F$27:$F$82,$F42,Сценарии!$G$27:$G$82,$G42)</f>
        <v>0.75</v>
      </c>
      <c r="AW42" s="690">
        <f ca="1">SUMIFS(Сценарии!AR$27:AR$82,Сценарии!$F$27:$F$82,$F42,Сценарии!$G$27:$G$82,$G42)</f>
        <v>0.75</v>
      </c>
      <c r="AX42" s="690">
        <f ca="1">SUMIFS(Сценарии!AS$27:AS$82,Сценарии!$F$27:$F$82,$F42,Сценарии!$G$27:$G$82,$G42)</f>
        <v>0.75</v>
      </c>
      <c r="AY42" s="690">
        <f ca="1">SUMIFS(Сценарии!AT$27:AT$82,Сценарии!$F$27:$F$82,$F42,Сценарии!$G$27:$G$82,$G42)</f>
        <v>0.75</v>
      </c>
      <c r="AZ42" s="690">
        <f ca="1">SUMIFS(Сценарии!AU$27:AU$82,Сценарии!$F$27:$F$82,$F42,Сценарии!$G$27:$G$82,$G42)</f>
        <v>0.75</v>
      </c>
      <c r="BA42" s="690">
        <f ca="1">SUMIFS(Сценарии!AV$27:AV$82,Сценарии!$F$27:$F$82,$F42,Сценарии!$G$27:$G$82,$G42)</f>
        <v>0.75</v>
      </c>
      <c r="BB42" s="690">
        <f ca="1">SUMIFS(Сценарии!AW$27:AW$82,Сценарии!$F$27:$F$82,$F42,Сценарии!$G$27:$G$82,$G42)</f>
        <v>0.75</v>
      </c>
      <c r="BC42" s="690">
        <f ca="1">SUMIFS(Сценарии!AX$27:AX$82,Сценарии!$F$27:$F$82,$F42,Сценарии!$G$27:$G$82,$G42)</f>
        <v>0.75</v>
      </c>
      <c r="BD42" s="487"/>
      <c r="BE42" s="487"/>
      <c r="BF42" s="487"/>
      <c r="BG42" s="487"/>
      <c r="BH42" s="487"/>
      <c r="BI42" s="468"/>
      <c r="BJ42" s="468"/>
      <c r="BK42" s="468"/>
      <c r="BL42" s="468"/>
      <c r="BM42" s="468"/>
      <c r="BN42" s="1106"/>
      <c r="BO42" s="1106"/>
      <c r="BP42" s="1106"/>
      <c r="BQ42" s="167"/>
      <c r="BR42" s="167"/>
      <c r="BS42" s="943" t="s">
        <v>1147</v>
      </c>
    </row>
    <row r="43" spans="1:71" s="1057" customFormat="1" ht="16.5" customHeight="1">
      <c r="A43" s="165"/>
      <c r="B43" s="718"/>
      <c r="C43" s="165"/>
      <c r="D43" s="165"/>
      <c r="E43" s="623">
        <v>17.100000000000001</v>
      </c>
      <c r="F43" s="714" t="str">
        <f t="shared" ca="1" si="11"/>
        <v>1</v>
      </c>
      <c r="G43" s="566" t="s">
        <v>1094</v>
      </c>
      <c r="H43" s="167"/>
      <c r="I43" s="167"/>
      <c r="J43" s="167"/>
      <c r="K43" s="167" t="str">
        <f ca="1">F43&amp;"komm"</f>
        <v>1komm</v>
      </c>
      <c r="L43" s="166">
        <f>BO43</f>
        <v>0</v>
      </c>
      <c r="M43" s="167"/>
      <c r="N43" s="167"/>
      <c r="O43" s="167"/>
      <c r="P43" s="167"/>
      <c r="Q43" s="130"/>
      <c r="R43" s="130"/>
      <c r="S43" s="167"/>
      <c r="T43" s="634" t="b">
        <f t="shared" si="12"/>
        <v>1</v>
      </c>
      <c r="U43" s="1012"/>
      <c r="V43" s="1012"/>
      <c r="W43" s="1012"/>
      <c r="X43" s="1405"/>
      <c r="Y43" s="1012"/>
      <c r="Z43" s="1405"/>
      <c r="AA43" s="167"/>
      <c r="AB43" s="486" t="s">
        <v>534</v>
      </c>
      <c r="AC43" s="570" t="s">
        <v>1148</v>
      </c>
      <c r="AD43" s="517" t="s">
        <v>648</v>
      </c>
      <c r="AE43" s="472">
        <f>'Операционные (5.1)'!AE37</f>
        <v>0</v>
      </c>
      <c r="AF43" s="472">
        <f>'Операционные (5.1)'!AF37</f>
        <v>0</v>
      </c>
      <c r="AG43" s="472">
        <f>'Операционные (5.1)'!AG37</f>
        <v>0</v>
      </c>
      <c r="AH43" s="472">
        <f>'Операционные (5.1)'!AH37</f>
        <v>0</v>
      </c>
      <c r="AI43" s="978">
        <f ca="1">SUMIFS('Операционные (5.1)'!AI$26:AI$75,'Операционные (5.1)'!$F$26:$F$75,$F43,'Операционные (5.1)'!$G$26:$G$75,$G43)</f>
        <v>0</v>
      </c>
      <c r="AJ43" s="979">
        <f ca="1">IF(god=first_year,SUMIFS('Операционные (5.1)'!AJ$26:AJ$75,'Операционные (5.1)'!$F$26:$F$75,$F43,'Операционные (5.1)'!$G$26:$G$75,$G43),AI43*AJ44)</f>
        <v>0</v>
      </c>
      <c r="AK43" s="980">
        <f t="shared" ref="AK43:AS43" ca="1" si="13">AJ43*AK44</f>
        <v>0</v>
      </c>
      <c r="AL43" s="981">
        <f t="shared" ca="1" si="13"/>
        <v>0</v>
      </c>
      <c r="AM43" s="981">
        <f t="shared" ca="1" si="13"/>
        <v>0</v>
      </c>
      <c r="AN43" s="981">
        <f t="shared" ca="1" si="13"/>
        <v>0</v>
      </c>
      <c r="AO43" s="981">
        <f t="shared" ca="1" si="13"/>
        <v>0</v>
      </c>
      <c r="AP43" s="981">
        <f t="shared" ca="1" si="13"/>
        <v>0</v>
      </c>
      <c r="AQ43" s="981">
        <f t="shared" ca="1" si="13"/>
        <v>0</v>
      </c>
      <c r="AR43" s="981">
        <f t="shared" ca="1" si="13"/>
        <v>0</v>
      </c>
      <c r="AS43" s="981">
        <f t="shared" ca="1" si="13"/>
        <v>0</v>
      </c>
      <c r="AT43" s="982">
        <f ca="1">IF(god=first_year,SUMIFS('Операционные (5.1)'!AK$26:AK$75,'Операционные (5.1)'!$F$26:$F$75,$F43,'Операционные (5.1)'!$G$26:$G$75,$G43),AI43*AT44)</f>
        <v>0</v>
      </c>
      <c r="AU43" s="981">
        <f t="shared" ref="AU43:BC43" ca="1" si="14">AT43*AU44</f>
        <v>0</v>
      </c>
      <c r="AV43" s="981">
        <f t="shared" ca="1" si="14"/>
        <v>0</v>
      </c>
      <c r="AW43" s="981">
        <f t="shared" ca="1" si="14"/>
        <v>0</v>
      </c>
      <c r="AX43" s="981">
        <f t="shared" ca="1" si="14"/>
        <v>0</v>
      </c>
      <c r="AY43" s="981">
        <f t="shared" ca="1" si="14"/>
        <v>0</v>
      </c>
      <c r="AZ43" s="981">
        <f t="shared" ca="1" si="14"/>
        <v>0</v>
      </c>
      <c r="BA43" s="981">
        <f t="shared" ca="1" si="14"/>
        <v>0</v>
      </c>
      <c r="BB43" s="981">
        <f t="shared" ca="1" si="14"/>
        <v>0</v>
      </c>
      <c r="BC43" s="983">
        <f t="shared" ca="1" si="14"/>
        <v>0</v>
      </c>
      <c r="BD43" s="295"/>
      <c r="BE43" s="292">
        <f t="shared" ref="BE43:BM43" ca="1" si="15">IF(AT43=0,0,(AU43-AT43)/AT43*100)</f>
        <v>0</v>
      </c>
      <c r="BF43" s="292">
        <f t="shared" ca="1" si="15"/>
        <v>0</v>
      </c>
      <c r="BG43" s="292">
        <f t="shared" ca="1" si="15"/>
        <v>0</v>
      </c>
      <c r="BH43" s="292">
        <f t="shared" ca="1" si="15"/>
        <v>0</v>
      </c>
      <c r="BI43" s="292">
        <f t="shared" ca="1" si="15"/>
        <v>0</v>
      </c>
      <c r="BJ43" s="292">
        <f t="shared" ca="1" si="15"/>
        <v>0</v>
      </c>
      <c r="BK43" s="292">
        <f t="shared" ca="1" si="15"/>
        <v>0</v>
      </c>
      <c r="BL43" s="292">
        <f t="shared" ca="1" si="15"/>
        <v>0</v>
      </c>
      <c r="BM43" s="292">
        <f t="shared" ca="1" si="15"/>
        <v>0</v>
      </c>
      <c r="BN43" s="1106"/>
      <c r="BO43" s="1106"/>
      <c r="BP43" s="1106"/>
      <c r="BQ43" s="167"/>
      <c r="BR43" s="167"/>
      <c r="BS43" s="943" t="s">
        <v>1149</v>
      </c>
    </row>
    <row r="44" spans="1:71" s="1180" customFormat="1" ht="16.5" customHeight="1">
      <c r="A44" s="746"/>
      <c r="B44" s="724"/>
      <c r="C44" s="746"/>
      <c r="D44" s="746"/>
      <c r="E44" s="623">
        <v>17.100000000000001</v>
      </c>
      <c r="F44" s="714" t="str">
        <f t="shared" ca="1" si="11"/>
        <v>1</v>
      </c>
      <c r="G44" s="725"/>
      <c r="H44" s="432"/>
      <c r="I44" s="432"/>
      <c r="J44" s="432"/>
      <c r="K44" s="432"/>
      <c r="L44" s="432"/>
      <c r="M44" s="432"/>
      <c r="N44" s="432"/>
      <c r="O44" s="432"/>
      <c r="P44" s="432"/>
      <c r="Q44" s="432"/>
      <c r="R44" s="432"/>
      <c r="S44" s="432"/>
      <c r="T44" s="634" t="b">
        <f t="shared" si="12"/>
        <v>1</v>
      </c>
      <c r="U44" s="746"/>
      <c r="V44" s="746"/>
      <c r="W44" s="747"/>
      <c r="X44" s="1504"/>
      <c r="Y44" s="747"/>
      <c r="Z44" s="1504"/>
      <c r="AA44" s="432"/>
      <c r="AB44" s="689" t="s">
        <v>537</v>
      </c>
      <c r="AC44" s="802" t="s">
        <v>1150</v>
      </c>
      <c r="AD44" s="564"/>
      <c r="AE44" s="488"/>
      <c r="AF44" s="488"/>
      <c r="AG44" s="488"/>
      <c r="AH44" s="488"/>
      <c r="AI44" s="59"/>
      <c r="AJ44" s="1176">
        <f t="shared" ref="AJ44:BC44" ca="1" si="16">(1+AJ37%)*(1-AJ38%)*(1+AJ39*AJ42)</f>
        <v>0.99</v>
      </c>
      <c r="AK44" s="1176">
        <f t="shared" ca="1" si="16"/>
        <v>0.99</v>
      </c>
      <c r="AL44" s="1176">
        <f t="shared" ca="1" si="16"/>
        <v>0.99</v>
      </c>
      <c r="AM44" s="1176">
        <f t="shared" ca="1" si="16"/>
        <v>0.99</v>
      </c>
      <c r="AN44" s="1176">
        <f t="shared" ca="1" si="16"/>
        <v>0.99</v>
      </c>
      <c r="AO44" s="1176">
        <f t="shared" ca="1" si="16"/>
        <v>0.99</v>
      </c>
      <c r="AP44" s="1176">
        <f t="shared" ca="1" si="16"/>
        <v>0.99</v>
      </c>
      <c r="AQ44" s="1176">
        <f t="shared" ca="1" si="16"/>
        <v>0.99</v>
      </c>
      <c r="AR44" s="1176">
        <f t="shared" ca="1" si="16"/>
        <v>0.99</v>
      </c>
      <c r="AS44" s="1176">
        <f t="shared" ca="1" si="16"/>
        <v>0.99</v>
      </c>
      <c r="AT44" s="1176">
        <f t="shared" ca="1" si="16"/>
        <v>0.99</v>
      </c>
      <c r="AU44" s="1176">
        <f t="shared" ca="1" si="16"/>
        <v>0.99</v>
      </c>
      <c r="AV44" s="1176">
        <f t="shared" ca="1" si="16"/>
        <v>0.99</v>
      </c>
      <c r="AW44" s="1176">
        <f t="shared" ca="1" si="16"/>
        <v>0.99</v>
      </c>
      <c r="AX44" s="1176">
        <f t="shared" ca="1" si="16"/>
        <v>0.99</v>
      </c>
      <c r="AY44" s="1176">
        <f t="shared" ca="1" si="16"/>
        <v>0.99</v>
      </c>
      <c r="AZ44" s="1176">
        <f t="shared" ca="1" si="16"/>
        <v>0.99</v>
      </c>
      <c r="BA44" s="1176">
        <f t="shared" ca="1" si="16"/>
        <v>0.99</v>
      </c>
      <c r="BB44" s="1176">
        <f t="shared" ca="1" si="16"/>
        <v>0.99</v>
      </c>
      <c r="BC44" s="1176">
        <f t="shared" ca="1" si="16"/>
        <v>0.99</v>
      </c>
      <c r="BD44" s="488"/>
      <c r="BE44" s="488"/>
      <c r="BF44" s="488"/>
      <c r="BG44" s="488"/>
      <c r="BH44" s="488"/>
      <c r="BI44" s="488"/>
      <c r="BJ44" s="488"/>
      <c r="BK44" s="488"/>
      <c r="BL44" s="488"/>
      <c r="BM44" s="488"/>
      <c r="BN44" s="1106"/>
      <c r="BO44" s="1106"/>
      <c r="BP44" s="1106"/>
      <c r="BQ44" s="432"/>
      <c r="BR44" s="432"/>
      <c r="BS44" s="943" t="s">
        <v>1151</v>
      </c>
    </row>
    <row r="45" spans="1:71" ht="9.9499999999999993" customHeight="1">
      <c r="E45" s="623">
        <v>10.199999999999999</v>
      </c>
      <c r="U45" s="116" t="s">
        <v>172</v>
      </c>
      <c r="V45" s="109" t="s">
        <v>1153</v>
      </c>
    </row>
    <row r="46" spans="1:71" ht="11.25" hidden="1" customHeight="1">
      <c r="E46" s="623">
        <v>0</v>
      </c>
    </row>
    <row r="47" spans="1:71" ht="14.65" customHeight="1">
      <c r="E47" s="623">
        <v>15</v>
      </c>
      <c r="AB47" s="1476" t="s">
        <v>557</v>
      </c>
      <c r="AC47" s="1476"/>
      <c r="AD47" s="1476"/>
      <c r="AE47" s="1476"/>
      <c r="AF47" s="1476"/>
      <c r="AG47" s="1476"/>
      <c r="AH47" s="1476"/>
      <c r="AI47" s="1476"/>
      <c r="AJ47" s="1476"/>
      <c r="AK47" s="1476"/>
      <c r="AL47" s="1476"/>
      <c r="AM47" s="1476"/>
      <c r="AN47" s="1476"/>
      <c r="AO47" s="1476"/>
      <c r="AP47" s="1476"/>
      <c r="AQ47" s="1476"/>
      <c r="AR47" s="1476"/>
      <c r="AS47" s="1476"/>
      <c r="AT47" s="1476"/>
      <c r="AU47" s="1476"/>
      <c r="AV47" s="1476"/>
      <c r="AW47" s="1476"/>
      <c r="AX47" s="1476"/>
      <c r="AY47" s="1476"/>
      <c r="AZ47" s="1476"/>
      <c r="BA47" s="1476"/>
      <c r="BB47" s="1476"/>
      <c r="BC47" s="1476"/>
      <c r="BD47" s="1476"/>
      <c r="BE47" s="1476"/>
      <c r="BF47" s="1476"/>
      <c r="BG47" s="1476"/>
      <c r="BH47" s="1476"/>
      <c r="BI47" s="1476"/>
      <c r="BJ47" s="1476"/>
      <c r="BK47" s="1476"/>
      <c r="BL47" s="1476"/>
      <c r="BM47" s="1476"/>
      <c r="BN47" s="1476"/>
      <c r="BO47" s="1476"/>
      <c r="BP47" s="1476"/>
    </row>
    <row r="48" spans="1:71" ht="14.65" customHeight="1">
      <c r="E48" s="623">
        <v>15</v>
      </c>
      <c r="AA48" s="713"/>
      <c r="AB48" s="1500"/>
      <c r="AC48" s="1495"/>
      <c r="AD48" s="1495"/>
      <c r="AE48" s="1495"/>
      <c r="AF48" s="1495"/>
      <c r="AG48" s="1495"/>
      <c r="AH48" s="1495"/>
      <c r="AI48" s="1495"/>
      <c r="AJ48" s="1495"/>
      <c r="AK48" s="1495"/>
      <c r="AL48" s="1495"/>
      <c r="AM48" s="1495"/>
      <c r="AN48" s="1495"/>
      <c r="AO48" s="1495"/>
      <c r="AP48" s="1495"/>
      <c r="AQ48" s="1495"/>
      <c r="AR48" s="1495"/>
      <c r="AS48" s="1495"/>
      <c r="AT48" s="1495"/>
      <c r="AU48" s="1495"/>
      <c r="AV48" s="1495"/>
      <c r="AW48" s="1495"/>
      <c r="AX48" s="1495"/>
      <c r="AY48" s="1495"/>
      <c r="AZ48" s="1495"/>
      <c r="BA48" s="1495"/>
      <c r="BB48" s="1495"/>
      <c r="BC48" s="1495"/>
      <c r="BD48" s="1495"/>
      <c r="BE48" s="1495"/>
      <c r="BF48" s="1495"/>
      <c r="BG48" s="1495"/>
      <c r="BH48" s="1495"/>
      <c r="BI48" s="1495"/>
      <c r="BJ48" s="1495"/>
      <c r="BK48" s="1495"/>
      <c r="BL48" s="1495"/>
      <c r="BM48" s="1495"/>
      <c r="BN48" s="1495"/>
      <c r="BO48" s="1495"/>
      <c r="BP48" s="1495"/>
    </row>
    <row r="49" spans="5:68" ht="14.65" hidden="1" customHeight="1">
      <c r="E49" s="623">
        <v>15</v>
      </c>
      <c r="T49" s="634" t="b">
        <f>ROW(W49)&gt;ROW(W$49)</f>
        <v>0</v>
      </c>
      <c r="W49" s="113" t="s">
        <v>170</v>
      </c>
      <c r="AA49" s="709" t="s">
        <v>157</v>
      </c>
      <c r="AB49" s="1494"/>
      <c r="AC49" s="1495"/>
      <c r="AD49" s="1495"/>
      <c r="AE49" s="1495"/>
      <c r="AF49" s="1495"/>
      <c r="AG49" s="1495"/>
      <c r="AH49" s="1495"/>
      <c r="AI49" s="1495"/>
      <c r="AJ49" s="1495"/>
      <c r="AK49" s="1495"/>
      <c r="AL49" s="1495"/>
      <c r="AM49" s="1495"/>
      <c r="AN49" s="1495"/>
      <c r="AO49" s="1495"/>
      <c r="AP49" s="1495"/>
      <c r="AQ49" s="1495"/>
      <c r="AR49" s="1495"/>
      <c r="AS49" s="1495"/>
      <c r="AT49" s="1495"/>
      <c r="AU49" s="1495"/>
      <c r="AV49" s="1495"/>
      <c r="AW49" s="1495"/>
      <c r="AX49" s="1495"/>
      <c r="AY49" s="1495"/>
      <c r="AZ49" s="1495"/>
      <c r="BA49" s="1495"/>
      <c r="BB49" s="1495"/>
      <c r="BC49" s="1495"/>
      <c r="BD49" s="1495"/>
      <c r="BE49" s="1495"/>
      <c r="BF49" s="1495"/>
      <c r="BG49" s="1495"/>
      <c r="BH49" s="1495"/>
      <c r="BI49" s="1495"/>
      <c r="BJ49" s="1495"/>
      <c r="BK49" s="1495"/>
      <c r="BL49" s="1495"/>
      <c r="BM49" s="1495"/>
      <c r="BN49" s="1495"/>
      <c r="BO49" s="1495"/>
      <c r="BP49" s="1495"/>
    </row>
    <row r="50" spans="5:68" ht="14.65" customHeight="1">
      <c r="E50" s="623">
        <v>15</v>
      </c>
      <c r="W50" s="109" t="s">
        <v>171</v>
      </c>
      <c r="AA50" s="150"/>
      <c r="AB50" s="1420" t="s">
        <v>558</v>
      </c>
      <c r="AC50" s="1421"/>
      <c r="AD50" s="299"/>
      <c r="AE50" s="299"/>
      <c r="AF50" s="299"/>
      <c r="AG50" s="299"/>
      <c r="AH50" s="299"/>
      <c r="AI50" s="299"/>
      <c r="AJ50" s="299"/>
      <c r="AK50" s="299"/>
      <c r="AL50" s="299"/>
      <c r="AM50" s="299"/>
      <c r="AN50" s="299"/>
      <c r="AO50" s="299"/>
      <c r="AP50" s="299"/>
      <c r="AQ50" s="299"/>
      <c r="AR50" s="299"/>
      <c r="AS50" s="299"/>
      <c r="AT50" s="299"/>
      <c r="AU50" s="299"/>
      <c r="AV50" s="299"/>
      <c r="AW50" s="299"/>
      <c r="AX50" s="299"/>
      <c r="AY50" s="299"/>
      <c r="AZ50" s="299"/>
      <c r="BA50" s="299"/>
      <c r="BB50" s="299"/>
      <c r="BC50" s="299"/>
      <c r="BD50" s="299"/>
      <c r="BE50" s="299"/>
      <c r="BF50" s="299"/>
      <c r="BG50" s="299"/>
      <c r="BH50" s="299"/>
      <c r="BI50" s="299"/>
      <c r="BJ50" s="299"/>
      <c r="BK50" s="299"/>
      <c r="BL50" s="299"/>
      <c r="BM50" s="299"/>
      <c r="BN50" s="299"/>
      <c r="BO50" s="299"/>
      <c r="BP50" s="271"/>
    </row>
  </sheetData>
  <sheetProtection formatColumns="0" formatRows="0" insertRows="0" deleteColumns="0" deleteRows="0" sort="0" autoFilter="0"/>
  <mergeCells count="15">
    <mergeCell ref="X27:X35"/>
    <mergeCell ref="Z27:Z35"/>
    <mergeCell ref="AB47:BP47"/>
    <mergeCell ref="AB48:BP48"/>
    <mergeCell ref="AB50:AC50"/>
    <mergeCell ref="X36:X44"/>
    <mergeCell ref="Z36:Z44"/>
    <mergeCell ref="BP24:BP25"/>
    <mergeCell ref="BD25:BM25"/>
    <mergeCell ref="AB49:BP49"/>
    <mergeCell ref="AB24:AB25"/>
    <mergeCell ref="AC24:AC25"/>
    <mergeCell ref="AD24:AD25"/>
    <mergeCell ref="BN24:BN25"/>
    <mergeCell ref="BO24:BO25"/>
  </mergeCell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pageSetUpPr fitToPage="1"/>
  </sheetPr>
  <dimension ref="A1:BS70"/>
  <sheetViews>
    <sheetView showGridLines="0" workbookViewId="0">
      <pane xSplit="30" ySplit="25" topLeftCell="AE46" activePane="bottomRight" state="frozen"/>
      <selection pane="topRight" activeCell="AE1" sqref="AE1"/>
      <selection pane="bottomLeft" activeCell="A26" sqref="A26"/>
      <selection pane="bottomRight" activeCell="AA21" sqref="AA21"/>
    </sheetView>
  </sheetViews>
  <sheetFormatPr defaultColWidth="9.140625" defaultRowHeight="11.25" customHeight="1"/>
  <cols>
    <col min="1" max="1" width="3.5703125" style="165" hidden="1" customWidth="1"/>
    <col min="2" max="2" width="8.5703125" style="718" hidden="1" customWidth="1"/>
    <col min="3" max="4" width="3.5703125" style="165" hidden="1" customWidth="1"/>
    <col min="5" max="5" width="8.42578125" style="717" hidden="1" customWidth="1"/>
    <col min="6" max="6" width="3.5703125" style="165" hidden="1" customWidth="1"/>
    <col min="7" max="16" width="3.5703125" style="167" hidden="1" customWidth="1"/>
    <col min="17" max="18" width="3.5703125" style="130" hidden="1" customWidth="1"/>
    <col min="19" max="19" width="3.5703125" style="167" hidden="1" customWidth="1"/>
    <col min="20" max="20" width="8" style="1012" hidden="1" customWidth="1"/>
    <col min="21" max="21" width="6" style="1012" hidden="1" customWidth="1"/>
    <col min="22" max="23" width="6.28515625" style="1012" hidden="1" customWidth="1"/>
    <col min="24" max="25" width="5.7109375" style="1012" hidden="1" customWidth="1"/>
    <col min="26" max="26" width="5.42578125" style="1012" hidden="1" customWidth="1"/>
    <col min="27" max="27" width="3" style="167" customWidth="1"/>
    <col min="28" max="28" width="8.140625" style="165" customWidth="1"/>
    <col min="29" max="29" width="70.140625" style="166" customWidth="1"/>
    <col min="30" max="30" width="14.42578125" style="165" customWidth="1"/>
    <col min="31" max="33" width="12.5703125" style="167" customWidth="1"/>
    <col min="34" max="34" width="19.140625" style="167" customWidth="1"/>
    <col min="35" max="36" width="12.5703125" style="167" customWidth="1"/>
    <col min="37" max="45" width="12.5703125" style="167" hidden="1" customWidth="1"/>
    <col min="46" max="46" width="12.5703125" style="167" customWidth="1"/>
    <col min="47" max="55" width="12.5703125" style="167" hidden="1" customWidth="1"/>
    <col min="56" max="56" width="12.5703125" style="167" customWidth="1"/>
    <col min="57" max="65" width="12.5703125" style="167" hidden="1" customWidth="1"/>
    <col min="66" max="66" width="19" style="167" customWidth="1"/>
    <col min="67" max="67" width="17.28515625" style="167" customWidth="1"/>
    <col min="68" max="68" width="31.28515625" style="167" customWidth="1"/>
    <col min="69" max="69" width="3" style="167" customWidth="1"/>
    <col min="70" max="70" width="9.140625" style="167" hidden="1"/>
    <col min="71" max="71" width="9.140625" style="944" hidden="1"/>
  </cols>
  <sheetData>
    <row r="1" spans="1:71" s="1012" customFormat="1" ht="12" hidden="1" customHeight="1">
      <c r="B1" s="614"/>
      <c r="E1" s="614"/>
      <c r="F1" s="634" t="s">
        <v>77</v>
      </c>
      <c r="G1" s="150"/>
      <c r="H1" s="150"/>
      <c r="I1" s="150"/>
      <c r="J1" s="150"/>
      <c r="K1" s="150"/>
      <c r="L1" s="150"/>
      <c r="M1" s="150"/>
      <c r="N1" s="150"/>
      <c r="O1" s="150"/>
      <c r="P1" s="150"/>
      <c r="Q1" s="566"/>
      <c r="R1" s="566"/>
      <c r="S1" s="150"/>
      <c r="T1" s="634" t="s">
        <v>78</v>
      </c>
      <c r="U1" s="634" t="s">
        <v>83</v>
      </c>
      <c r="V1" s="634" t="s">
        <v>79</v>
      </c>
      <c r="W1" s="634" t="s">
        <v>80</v>
      </c>
      <c r="X1" s="634" t="s">
        <v>81</v>
      </c>
      <c r="Y1" s="735" t="s">
        <v>274</v>
      </c>
      <c r="Z1" s="634" t="s">
        <v>85</v>
      </c>
      <c r="AA1" s="735" t="s">
        <v>82</v>
      </c>
      <c r="AB1" s="735" t="s">
        <v>84</v>
      </c>
      <c r="AC1" s="109"/>
      <c r="BS1" s="912" t="s">
        <v>275</v>
      </c>
    </row>
    <row r="2" spans="1:71" s="718" customFormat="1" ht="12" hidden="1" customHeight="1">
      <c r="B2" s="703" t="s">
        <v>15</v>
      </c>
      <c r="G2" s="721"/>
      <c r="H2" s="721"/>
      <c r="I2" s="721"/>
      <c r="J2" s="721"/>
      <c r="K2" s="721"/>
      <c r="L2" s="721"/>
      <c r="M2" s="721"/>
      <c r="N2" s="721"/>
      <c r="O2" s="721"/>
      <c r="P2" s="721"/>
      <c r="Q2" s="721"/>
      <c r="R2" s="721"/>
      <c r="S2" s="721"/>
      <c r="AC2" s="618"/>
      <c r="AJ2" s="635" t="b">
        <f t="shared" ref="AJ2:BM2" si="0">AJ6&lt;=last_year_vis</f>
        <v>1</v>
      </c>
      <c r="AK2" s="635" t="b">
        <f t="shared" si="0"/>
        <v>0</v>
      </c>
      <c r="AL2" s="635" t="b">
        <f t="shared" si="0"/>
        <v>0</v>
      </c>
      <c r="AM2" s="635" t="b">
        <f t="shared" si="0"/>
        <v>0</v>
      </c>
      <c r="AN2" s="635" t="b">
        <f t="shared" si="0"/>
        <v>0</v>
      </c>
      <c r="AO2" s="635" t="b">
        <f t="shared" si="0"/>
        <v>0</v>
      </c>
      <c r="AP2" s="635" t="b">
        <f t="shared" si="0"/>
        <v>0</v>
      </c>
      <c r="AQ2" s="635" t="b">
        <f t="shared" si="0"/>
        <v>0</v>
      </c>
      <c r="AR2" s="635" t="b">
        <f t="shared" si="0"/>
        <v>0</v>
      </c>
      <c r="AS2" s="635" t="b">
        <f t="shared" si="0"/>
        <v>0</v>
      </c>
      <c r="AT2" s="635" t="b">
        <f t="shared" si="0"/>
        <v>1</v>
      </c>
      <c r="AU2" s="635" t="b">
        <f t="shared" si="0"/>
        <v>0</v>
      </c>
      <c r="AV2" s="635" t="b">
        <f t="shared" si="0"/>
        <v>0</v>
      </c>
      <c r="AW2" s="635" t="b">
        <f t="shared" si="0"/>
        <v>0</v>
      </c>
      <c r="AX2" s="635" t="b">
        <f t="shared" si="0"/>
        <v>0</v>
      </c>
      <c r="AY2" s="635" t="b">
        <f t="shared" si="0"/>
        <v>0</v>
      </c>
      <c r="AZ2" s="635" t="b">
        <f t="shared" si="0"/>
        <v>0</v>
      </c>
      <c r="BA2" s="635" t="b">
        <f t="shared" si="0"/>
        <v>0</v>
      </c>
      <c r="BB2" s="635" t="b">
        <f t="shared" si="0"/>
        <v>0</v>
      </c>
      <c r="BC2" s="635" t="b">
        <f t="shared" si="0"/>
        <v>0</v>
      </c>
      <c r="BD2" s="635" t="b">
        <f t="shared" si="0"/>
        <v>1</v>
      </c>
      <c r="BE2" s="635" t="b">
        <f t="shared" si="0"/>
        <v>0</v>
      </c>
      <c r="BF2" s="635" t="b">
        <f t="shared" si="0"/>
        <v>0</v>
      </c>
      <c r="BG2" s="635" t="b">
        <f t="shared" si="0"/>
        <v>0</v>
      </c>
      <c r="BH2" s="635" t="b">
        <f t="shared" si="0"/>
        <v>0</v>
      </c>
      <c r="BI2" s="635" t="b">
        <f t="shared" si="0"/>
        <v>0</v>
      </c>
      <c r="BJ2" s="635" t="b">
        <f t="shared" si="0"/>
        <v>0</v>
      </c>
      <c r="BK2" s="635" t="b">
        <f t="shared" si="0"/>
        <v>0</v>
      </c>
      <c r="BL2" s="635" t="b">
        <f t="shared" si="0"/>
        <v>0</v>
      </c>
      <c r="BM2" s="635" t="b">
        <f t="shared" si="0"/>
        <v>0</v>
      </c>
      <c r="BS2" s="905"/>
    </row>
    <row r="3" spans="1:71" s="165" customFormat="1" ht="12" hidden="1" customHeight="1">
      <c r="B3" s="614"/>
      <c r="E3" s="614"/>
      <c r="G3" s="167"/>
      <c r="H3" s="167"/>
      <c r="I3" s="167"/>
      <c r="J3" s="167"/>
      <c r="K3" s="167"/>
      <c r="L3" s="167"/>
      <c r="M3" s="167"/>
      <c r="N3" s="167"/>
      <c r="O3" s="167"/>
      <c r="P3" s="167"/>
      <c r="Q3" s="130"/>
      <c r="R3" s="130"/>
      <c r="S3" s="167"/>
      <c r="T3" s="113"/>
      <c r="U3" s="113"/>
      <c r="V3" s="113"/>
      <c r="W3" s="113"/>
      <c r="X3" s="113"/>
      <c r="Y3" s="113"/>
      <c r="Z3" s="113"/>
      <c r="AC3" s="169"/>
      <c r="BS3" s="944"/>
    </row>
    <row r="4" spans="1:71" s="165" customFormat="1" ht="12" hidden="1" customHeight="1">
      <c r="B4" s="614"/>
      <c r="E4" s="614"/>
      <c r="G4" s="167"/>
      <c r="H4" s="167"/>
      <c r="I4" s="167"/>
      <c r="J4" s="167"/>
      <c r="K4" s="167"/>
      <c r="L4" s="167"/>
      <c r="M4" s="167"/>
      <c r="N4" s="167"/>
      <c r="O4" s="167"/>
      <c r="P4" s="167"/>
      <c r="Q4" s="130"/>
      <c r="R4" s="130"/>
      <c r="S4" s="167"/>
      <c r="T4" s="113"/>
      <c r="U4" s="113"/>
      <c r="V4" s="113"/>
      <c r="W4" s="113"/>
      <c r="X4" s="113"/>
      <c r="Y4" s="113"/>
      <c r="Z4" s="113"/>
      <c r="AC4" s="169"/>
      <c r="BS4" s="944"/>
    </row>
    <row r="5" spans="1:71" s="717" customFormat="1" ht="12" hidden="1" customHeight="1">
      <c r="A5" s="614"/>
      <c r="B5" s="614"/>
      <c r="C5" s="614"/>
      <c r="D5" s="614"/>
      <c r="E5" s="623" t="s">
        <v>16</v>
      </c>
      <c r="G5" s="722"/>
      <c r="H5" s="722"/>
      <c r="I5" s="722"/>
      <c r="J5" s="722"/>
      <c r="K5" s="722"/>
      <c r="L5" s="722"/>
      <c r="M5" s="722"/>
      <c r="N5" s="722"/>
      <c r="O5" s="722"/>
      <c r="P5" s="722"/>
      <c r="Q5" s="722"/>
      <c r="R5" s="722"/>
      <c r="S5" s="722"/>
      <c r="AA5" s="623">
        <v>3</v>
      </c>
      <c r="AB5" s="623">
        <v>8.1300000000000008</v>
      </c>
      <c r="AC5" s="629">
        <v>70.13</v>
      </c>
      <c r="AD5" s="623">
        <v>14.38</v>
      </c>
      <c r="AE5" s="623">
        <v>12.63</v>
      </c>
      <c r="AF5" s="623">
        <v>12.63</v>
      </c>
      <c r="AG5" s="623">
        <v>12.63</v>
      </c>
      <c r="AH5" s="623">
        <v>19.13</v>
      </c>
      <c r="AI5" s="623">
        <v>12.63</v>
      </c>
      <c r="AJ5" s="623">
        <v>12.63</v>
      </c>
      <c r="AK5" s="623">
        <v>12.63</v>
      </c>
      <c r="AL5" s="623">
        <v>12.63</v>
      </c>
      <c r="AM5" s="623">
        <v>12.63</v>
      </c>
      <c r="AN5" s="623">
        <v>12.63</v>
      </c>
      <c r="AO5" s="623">
        <v>12.63</v>
      </c>
      <c r="AP5" s="623">
        <v>12.63</v>
      </c>
      <c r="AQ5" s="623">
        <v>12.63</v>
      </c>
      <c r="AR5" s="623">
        <v>12.63</v>
      </c>
      <c r="AS5" s="623">
        <v>12.63</v>
      </c>
      <c r="AT5" s="623">
        <v>12.63</v>
      </c>
      <c r="AU5" s="623">
        <v>12.63</v>
      </c>
      <c r="AV5" s="623">
        <v>12.63</v>
      </c>
      <c r="AW5" s="623">
        <v>12.63</v>
      </c>
      <c r="AX5" s="623">
        <v>12.63</v>
      </c>
      <c r="AY5" s="623">
        <v>12.63</v>
      </c>
      <c r="AZ5" s="623">
        <v>12.63</v>
      </c>
      <c r="BA5" s="623">
        <v>12.63</v>
      </c>
      <c r="BB5" s="623">
        <v>12.63</v>
      </c>
      <c r="BC5" s="623">
        <v>12.63</v>
      </c>
      <c r="BD5" s="623">
        <v>12.63</v>
      </c>
      <c r="BE5" s="623">
        <v>12.63</v>
      </c>
      <c r="BF5" s="623">
        <v>12.63</v>
      </c>
      <c r="BG5" s="623">
        <v>12.63</v>
      </c>
      <c r="BH5" s="623">
        <v>12.63</v>
      </c>
      <c r="BI5" s="623">
        <v>12.63</v>
      </c>
      <c r="BJ5" s="623">
        <v>12.63</v>
      </c>
      <c r="BK5" s="623">
        <v>12.63</v>
      </c>
      <c r="BL5" s="623">
        <v>12.63</v>
      </c>
      <c r="BM5" s="623">
        <v>12.63</v>
      </c>
      <c r="BN5" s="623">
        <v>19</v>
      </c>
      <c r="BO5" s="623">
        <v>17.25</v>
      </c>
      <c r="BP5" s="623">
        <v>31.25</v>
      </c>
      <c r="BQ5" s="623">
        <v>3</v>
      </c>
      <c r="BS5" s="905"/>
    </row>
    <row r="6" spans="1:71" s="165" customFormat="1" ht="12" hidden="1" customHeight="1">
      <c r="B6" s="614"/>
      <c r="E6" s="623"/>
      <c r="G6" s="167"/>
      <c r="H6" s="167"/>
      <c r="I6" s="167"/>
      <c r="J6" s="167"/>
      <c r="K6" s="167"/>
      <c r="L6" s="167"/>
      <c r="M6" s="167"/>
      <c r="N6" s="167"/>
      <c r="O6" s="167"/>
      <c r="P6" s="167"/>
      <c r="Q6" s="130"/>
      <c r="R6" s="130"/>
      <c r="S6" s="167"/>
      <c r="T6" s="113"/>
      <c r="U6" s="113"/>
      <c r="V6" s="113"/>
      <c r="W6" s="113"/>
      <c r="X6" s="113"/>
      <c r="Y6" s="113"/>
      <c r="Z6" s="113"/>
      <c r="AC6" s="169"/>
      <c r="AE6" s="165">
        <f>god-2</f>
        <v>2024</v>
      </c>
      <c r="AF6" s="165">
        <f>god-2</f>
        <v>2024</v>
      </c>
      <c r="AG6" s="165">
        <f>god-2</f>
        <v>2024</v>
      </c>
      <c r="AH6" s="165">
        <f>god-2</f>
        <v>2024</v>
      </c>
      <c r="AI6" s="113">
        <f>god-1</f>
        <v>2025</v>
      </c>
      <c r="AJ6" s="113">
        <f>god</f>
        <v>2026</v>
      </c>
      <c r="AK6" s="113">
        <f>god+1</f>
        <v>2027</v>
      </c>
      <c r="AL6" s="113">
        <f>god+2</f>
        <v>2028</v>
      </c>
      <c r="AM6" s="113">
        <f>god+3</f>
        <v>2029</v>
      </c>
      <c r="AN6" s="113">
        <f>god+4</f>
        <v>2030</v>
      </c>
      <c r="AO6" s="113">
        <f>god+5</f>
        <v>2031</v>
      </c>
      <c r="AP6" s="113">
        <f>god+6</f>
        <v>2032</v>
      </c>
      <c r="AQ6" s="113">
        <f>god+7</f>
        <v>2033</v>
      </c>
      <c r="AR6" s="113">
        <f>god+8</f>
        <v>2034</v>
      </c>
      <c r="AS6" s="113">
        <f>god+9</f>
        <v>2035</v>
      </c>
      <c r="AT6" s="113">
        <f>god</f>
        <v>2026</v>
      </c>
      <c r="AU6" s="113">
        <f>god+1</f>
        <v>2027</v>
      </c>
      <c r="AV6" s="113">
        <f>god+2</f>
        <v>2028</v>
      </c>
      <c r="AW6" s="113">
        <f>god+3</f>
        <v>2029</v>
      </c>
      <c r="AX6" s="113">
        <f>god+4</f>
        <v>2030</v>
      </c>
      <c r="AY6" s="113">
        <f>god+5</f>
        <v>2031</v>
      </c>
      <c r="AZ6" s="113">
        <f>god+6</f>
        <v>2032</v>
      </c>
      <c r="BA6" s="113">
        <f>god+7</f>
        <v>2033</v>
      </c>
      <c r="BB6" s="113">
        <f>god+8</f>
        <v>2034</v>
      </c>
      <c r="BC6" s="113">
        <f>god+9</f>
        <v>2035</v>
      </c>
      <c r="BD6" s="113">
        <f>god</f>
        <v>2026</v>
      </c>
      <c r="BE6" s="113">
        <f>god+1</f>
        <v>2027</v>
      </c>
      <c r="BF6" s="113">
        <f>god+2</f>
        <v>2028</v>
      </c>
      <c r="BG6" s="113">
        <f>god+3</f>
        <v>2029</v>
      </c>
      <c r="BH6" s="113">
        <f>god+4</f>
        <v>2030</v>
      </c>
      <c r="BI6" s="113">
        <f>god+5</f>
        <v>2031</v>
      </c>
      <c r="BJ6" s="113">
        <f>god+6</f>
        <v>2032</v>
      </c>
      <c r="BK6" s="113">
        <f>god+7</f>
        <v>2033</v>
      </c>
      <c r="BL6" s="113">
        <f>god+8</f>
        <v>2034</v>
      </c>
      <c r="BM6" s="113">
        <f>god+9</f>
        <v>2035</v>
      </c>
      <c r="BS6" s="944"/>
    </row>
    <row r="7" spans="1:71" ht="12" hidden="1" customHeight="1">
      <c r="F7" s="167"/>
      <c r="T7" s="150"/>
      <c r="U7" s="150"/>
      <c r="V7" s="150"/>
      <c r="W7" s="150"/>
      <c r="X7" s="150"/>
      <c r="Y7" s="150"/>
      <c r="Z7" s="150"/>
      <c r="AB7" s="167"/>
      <c r="AD7" s="167"/>
      <c r="AE7" s="150" t="str">
        <f>AE25</f>
        <v>Принято органом регулирования</v>
      </c>
      <c r="AF7" s="150" t="str">
        <f>AF25</f>
        <v>Факт по данным организации</v>
      </c>
      <c r="AG7" s="150" t="str">
        <f>AG25</f>
        <v>Факт, принятый органом регулирования</v>
      </c>
      <c r="AH7" s="150" t="str">
        <f>AH25</f>
        <v>отклонение факта по данным организации к факту принятому органом регулирования</v>
      </c>
      <c r="AI7" s="150" t="str">
        <f>AI25</f>
        <v>Принято органом регулирования</v>
      </c>
      <c r="AJ7" s="150" t="str">
        <f t="shared" ref="AJ7:AS7" si="1">$AJ$25</f>
        <v>Предложение организации</v>
      </c>
      <c r="AK7" s="150" t="str">
        <f t="shared" si="1"/>
        <v>Предложение организации</v>
      </c>
      <c r="AL7" s="150" t="str">
        <f t="shared" si="1"/>
        <v>Предложение организации</v>
      </c>
      <c r="AM7" s="150" t="str">
        <f t="shared" si="1"/>
        <v>Предложение организации</v>
      </c>
      <c r="AN7" s="150" t="str">
        <f t="shared" si="1"/>
        <v>Предложение организации</v>
      </c>
      <c r="AO7" s="150" t="str">
        <f t="shared" si="1"/>
        <v>Предложение организации</v>
      </c>
      <c r="AP7" s="150" t="str">
        <f t="shared" si="1"/>
        <v>Предложение организации</v>
      </c>
      <c r="AQ7" s="150" t="str">
        <f t="shared" si="1"/>
        <v>Предложение организации</v>
      </c>
      <c r="AR7" s="150" t="str">
        <f t="shared" si="1"/>
        <v>Предложение организации</v>
      </c>
      <c r="AS7" s="150" t="str">
        <f t="shared" si="1"/>
        <v>Предложение организации</v>
      </c>
      <c r="AT7" s="150" t="str">
        <f t="shared" ref="AT7:BC7" si="2">$AT$25</f>
        <v>Принято органом регулирования</v>
      </c>
      <c r="AU7" s="150" t="str">
        <f t="shared" si="2"/>
        <v>Принято органом регулирования</v>
      </c>
      <c r="AV7" s="150" t="str">
        <f t="shared" si="2"/>
        <v>Принято органом регулирования</v>
      </c>
      <c r="AW7" s="150" t="str">
        <f t="shared" si="2"/>
        <v>Принято органом регулирования</v>
      </c>
      <c r="AX7" s="150" t="str">
        <f t="shared" si="2"/>
        <v>Принято органом регулирования</v>
      </c>
      <c r="AY7" s="150" t="str">
        <f t="shared" si="2"/>
        <v>Принято органом регулирования</v>
      </c>
      <c r="AZ7" s="150" t="str">
        <f t="shared" si="2"/>
        <v>Принято органом регулирования</v>
      </c>
      <c r="BA7" s="150" t="str">
        <f t="shared" si="2"/>
        <v>Принято органом регулирования</v>
      </c>
      <c r="BB7" s="150" t="str">
        <f t="shared" si="2"/>
        <v>Принято органом регулирования</v>
      </c>
      <c r="BC7" s="150" t="str">
        <f t="shared" si="2"/>
        <v>Принято органом регулирования</v>
      </c>
      <c r="BD7" s="150"/>
      <c r="BE7" s="150"/>
      <c r="BF7" s="150"/>
      <c r="BG7" s="150"/>
      <c r="BH7" s="150"/>
      <c r="BI7" s="150"/>
      <c r="BJ7" s="150"/>
      <c r="BK7" s="150"/>
      <c r="BL7" s="150"/>
      <c r="BM7" s="150"/>
    </row>
    <row r="8" spans="1:71" ht="12" hidden="1" customHeight="1">
      <c r="F8" s="167"/>
      <c r="T8" s="150"/>
      <c r="U8" s="150"/>
      <c r="V8" s="150"/>
      <c r="W8" s="150"/>
      <c r="X8" s="150"/>
      <c r="Y8" s="150"/>
      <c r="Z8" s="150"/>
      <c r="AB8" s="167"/>
      <c r="AD8" s="167"/>
      <c r="AE8" s="150" t="str">
        <f t="shared" ref="AE8:BC8" si="3">AE6&amp;AE7</f>
        <v>2024Принято органом регулирования</v>
      </c>
      <c r="AF8" s="150" t="str">
        <f t="shared" si="3"/>
        <v>2024Факт по данным организации</v>
      </c>
      <c r="AG8" s="150" t="str">
        <f t="shared" si="3"/>
        <v>2024Факт, принятый органом регулирования</v>
      </c>
      <c r="AH8" s="150" t="str">
        <f t="shared" si="3"/>
        <v>2024отклонение факта по данным организации к факту принятому органом регулирования</v>
      </c>
      <c r="AI8" s="150" t="str">
        <f t="shared" si="3"/>
        <v>2025Принято органом регулирования</v>
      </c>
      <c r="AJ8" s="150" t="str">
        <f t="shared" si="3"/>
        <v>2026Предложение организации</v>
      </c>
      <c r="AK8" s="150" t="str">
        <f t="shared" si="3"/>
        <v>2027Предложение организации</v>
      </c>
      <c r="AL8" s="150" t="str">
        <f t="shared" si="3"/>
        <v>2028Предложение организации</v>
      </c>
      <c r="AM8" s="150" t="str">
        <f t="shared" si="3"/>
        <v>2029Предложение организации</v>
      </c>
      <c r="AN8" s="150" t="str">
        <f t="shared" si="3"/>
        <v>2030Предложение организации</v>
      </c>
      <c r="AO8" s="150" t="str">
        <f t="shared" si="3"/>
        <v>2031Предложение организации</v>
      </c>
      <c r="AP8" s="150" t="str">
        <f t="shared" si="3"/>
        <v>2032Предложение организации</v>
      </c>
      <c r="AQ8" s="150" t="str">
        <f t="shared" si="3"/>
        <v>2033Предложение организации</v>
      </c>
      <c r="AR8" s="150" t="str">
        <f t="shared" si="3"/>
        <v>2034Предложение организации</v>
      </c>
      <c r="AS8" s="150" t="str">
        <f t="shared" si="3"/>
        <v>2035Предложение организации</v>
      </c>
      <c r="AT8" s="150" t="str">
        <f t="shared" si="3"/>
        <v>2026Принято органом регулирования</v>
      </c>
      <c r="AU8" s="150" t="str">
        <f t="shared" si="3"/>
        <v>2027Принято органом регулирования</v>
      </c>
      <c r="AV8" s="150" t="str">
        <f t="shared" si="3"/>
        <v>2028Принято органом регулирования</v>
      </c>
      <c r="AW8" s="150" t="str">
        <f t="shared" si="3"/>
        <v>2029Принято органом регулирования</v>
      </c>
      <c r="AX8" s="150" t="str">
        <f t="shared" si="3"/>
        <v>2030Принято органом регулирования</v>
      </c>
      <c r="AY8" s="150" t="str">
        <f t="shared" si="3"/>
        <v>2031Принято органом регулирования</v>
      </c>
      <c r="AZ8" s="150" t="str">
        <f t="shared" si="3"/>
        <v>2032Принято органом регулирования</v>
      </c>
      <c r="BA8" s="150" t="str">
        <f t="shared" si="3"/>
        <v>2033Принято органом регулирования</v>
      </c>
      <c r="BB8" s="150" t="str">
        <f t="shared" si="3"/>
        <v>2034Принято органом регулирования</v>
      </c>
      <c r="BC8" s="150" t="str">
        <f t="shared" si="3"/>
        <v>2035Принято органом регулирования</v>
      </c>
      <c r="BD8" s="150"/>
      <c r="BE8" s="150"/>
      <c r="BF8" s="150"/>
      <c r="BG8" s="150"/>
      <c r="BH8" s="150"/>
      <c r="BI8" s="150"/>
      <c r="BJ8" s="150"/>
      <c r="BK8" s="150"/>
      <c r="BL8" s="150"/>
      <c r="BM8" s="150"/>
    </row>
    <row r="9" spans="1:71" s="943" customFormat="1" ht="12" hidden="1" customHeight="1">
      <c r="A9" s="913" t="s">
        <v>327</v>
      </c>
      <c r="B9" s="878"/>
      <c r="E9" s="878"/>
      <c r="Q9" s="923"/>
      <c r="R9" s="923"/>
      <c r="T9" s="891"/>
      <c r="U9" s="891"/>
      <c r="V9" s="891"/>
      <c r="W9" s="891"/>
      <c r="X9" s="891"/>
      <c r="Y9" s="891"/>
      <c r="Z9" s="891"/>
      <c r="AE9" s="943">
        <f>god-2</f>
        <v>2024</v>
      </c>
      <c r="AF9" s="943">
        <f>god-2</f>
        <v>2024</v>
      </c>
      <c r="AG9" s="943">
        <f>god-2</f>
        <v>2024</v>
      </c>
      <c r="AH9" s="943">
        <f>god-2</f>
        <v>2024</v>
      </c>
      <c r="AI9" s="943">
        <f>god-1</f>
        <v>2025</v>
      </c>
      <c r="AJ9" s="943">
        <f>god</f>
        <v>2026</v>
      </c>
      <c r="AK9" s="943">
        <f>god+1</f>
        <v>2027</v>
      </c>
      <c r="AL9" s="943">
        <f>god+2</f>
        <v>2028</v>
      </c>
      <c r="AM9" s="943">
        <f>god+3</f>
        <v>2029</v>
      </c>
      <c r="AN9" s="943">
        <f>god+4</f>
        <v>2030</v>
      </c>
      <c r="AO9" s="943">
        <f>god+5</f>
        <v>2031</v>
      </c>
      <c r="AP9" s="943">
        <f>god+6</f>
        <v>2032</v>
      </c>
      <c r="AQ9" s="943">
        <f>god+7</f>
        <v>2033</v>
      </c>
      <c r="AR9" s="943">
        <f>god+8</f>
        <v>2034</v>
      </c>
      <c r="AS9" s="943">
        <f>god+9</f>
        <v>2035</v>
      </c>
      <c r="AT9" s="943">
        <f>god</f>
        <v>2026</v>
      </c>
      <c r="AU9" s="943">
        <f>god+1</f>
        <v>2027</v>
      </c>
      <c r="AV9" s="943">
        <f>god+2</f>
        <v>2028</v>
      </c>
      <c r="AW9" s="943">
        <f>god+3</f>
        <v>2029</v>
      </c>
      <c r="AX9" s="943">
        <f>god+4</f>
        <v>2030</v>
      </c>
      <c r="AY9" s="943">
        <f>god+5</f>
        <v>2031</v>
      </c>
      <c r="AZ9" s="943">
        <f>god+6</f>
        <v>2032</v>
      </c>
      <c r="BA9" s="943">
        <f>god+7</f>
        <v>2033</v>
      </c>
      <c r="BB9" s="943">
        <f>god+8</f>
        <v>2034</v>
      </c>
      <c r="BC9" s="943">
        <f>god+9</f>
        <v>2035</v>
      </c>
      <c r="BD9" s="943">
        <f>god</f>
        <v>2026</v>
      </c>
      <c r="BE9" s="943">
        <f>god+1</f>
        <v>2027</v>
      </c>
      <c r="BF9" s="943">
        <f>god+2</f>
        <v>2028</v>
      </c>
      <c r="BG9" s="943">
        <f>god+3</f>
        <v>2029</v>
      </c>
      <c r="BH9" s="943">
        <f>god+4</f>
        <v>2030</v>
      </c>
      <c r="BI9" s="943">
        <f>god+5</f>
        <v>2031</v>
      </c>
      <c r="BJ9" s="943">
        <f>god+6</f>
        <v>2032</v>
      </c>
      <c r="BK9" s="943">
        <f>god+7</f>
        <v>2033</v>
      </c>
      <c r="BL9" s="943">
        <f>god+8</f>
        <v>2034</v>
      </c>
      <c r="BM9" s="943">
        <f>god+9</f>
        <v>2035</v>
      </c>
      <c r="BS9" s="944"/>
    </row>
    <row r="10" spans="1:71" s="943" customFormat="1" ht="12" hidden="1" customHeight="1">
      <c r="A10" s="913" t="s">
        <v>328</v>
      </c>
      <c r="B10" s="878"/>
      <c r="E10" s="878"/>
      <c r="Q10" s="923"/>
      <c r="R10" s="923"/>
      <c r="T10" s="891"/>
      <c r="U10" s="891"/>
      <c r="V10" s="891"/>
      <c r="W10" s="891"/>
      <c r="X10" s="891"/>
      <c r="Y10" s="891"/>
      <c r="Z10" s="891"/>
      <c r="AE10" s="943" t="str">
        <f t="shared" ref="AE10:BD10" si="4">AE25</f>
        <v>Принято органом регулирования</v>
      </c>
      <c r="AF10" s="943" t="str">
        <f t="shared" si="4"/>
        <v>Факт по данным организации</v>
      </c>
      <c r="AG10" s="943" t="str">
        <f t="shared" si="4"/>
        <v>Факт, принятый органом регулирования</v>
      </c>
      <c r="AH10" s="943" t="str">
        <f t="shared" si="4"/>
        <v>отклонение факта по данным организации к факту принятому органом регулирования</v>
      </c>
      <c r="AI10" s="943" t="str">
        <f t="shared" si="4"/>
        <v>Принято органом регулирования</v>
      </c>
      <c r="AJ10" s="943" t="str">
        <f t="shared" si="4"/>
        <v>Предложение организации</v>
      </c>
      <c r="AK10" s="943" t="str">
        <f t="shared" si="4"/>
        <v>Предложение организации</v>
      </c>
      <c r="AL10" s="943" t="str">
        <f t="shared" si="4"/>
        <v>Предложение организации</v>
      </c>
      <c r="AM10" s="943" t="str">
        <f t="shared" si="4"/>
        <v>Предложение организации</v>
      </c>
      <c r="AN10" s="943" t="str">
        <f t="shared" si="4"/>
        <v>Предложение организации</v>
      </c>
      <c r="AO10" s="943" t="str">
        <f t="shared" si="4"/>
        <v>Предложение организации</v>
      </c>
      <c r="AP10" s="943" t="str">
        <f t="shared" si="4"/>
        <v>Предложение организации</v>
      </c>
      <c r="AQ10" s="943" t="str">
        <f t="shared" si="4"/>
        <v>Предложение организации</v>
      </c>
      <c r="AR10" s="943" t="str">
        <f t="shared" si="4"/>
        <v>Предложение организации</v>
      </c>
      <c r="AS10" s="943" t="str">
        <f t="shared" si="4"/>
        <v>Предложение организации</v>
      </c>
      <c r="AT10" s="943" t="str">
        <f t="shared" si="4"/>
        <v>Принято органом регулирования</v>
      </c>
      <c r="AU10" s="943" t="str">
        <f t="shared" si="4"/>
        <v>Принято органом регулирования</v>
      </c>
      <c r="AV10" s="943" t="str">
        <f t="shared" si="4"/>
        <v>Принято органом регулирования</v>
      </c>
      <c r="AW10" s="943" t="str">
        <f t="shared" si="4"/>
        <v>Принято органом регулирования</v>
      </c>
      <c r="AX10" s="943" t="str">
        <f t="shared" si="4"/>
        <v>Принято органом регулирования</v>
      </c>
      <c r="AY10" s="943" t="str">
        <f t="shared" si="4"/>
        <v>Принято органом регулирования</v>
      </c>
      <c r="AZ10" s="943" t="str">
        <f t="shared" si="4"/>
        <v>Принято органом регулирования</v>
      </c>
      <c r="BA10" s="943" t="str">
        <f t="shared" si="4"/>
        <v>Принято органом регулирования</v>
      </c>
      <c r="BB10" s="943" t="str">
        <f t="shared" si="4"/>
        <v>Принято органом регулирования</v>
      </c>
      <c r="BC10" s="943" t="str">
        <f t="shared" si="4"/>
        <v>Принято органом регулирования</v>
      </c>
      <c r="BD10" s="943" t="str">
        <f t="shared" si="4"/>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943" t="str">
        <f t="shared" ref="BE10:BM10" si="5">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944"/>
    </row>
    <row r="11" spans="1:71" s="943" customFormat="1" ht="12" hidden="1" customHeight="1">
      <c r="A11" s="913" t="s">
        <v>329</v>
      </c>
      <c r="B11" s="878"/>
      <c r="E11" s="878"/>
      <c r="G11" s="946"/>
      <c r="H11" s="946"/>
      <c r="I11" s="946"/>
      <c r="J11" s="946"/>
      <c r="K11" s="946"/>
      <c r="L11" s="946"/>
      <c r="M11" s="946"/>
      <c r="N11" s="946"/>
      <c r="O11" s="946"/>
      <c r="P11" s="946"/>
      <c r="Q11" s="925"/>
      <c r="R11" s="925"/>
      <c r="S11" s="946"/>
      <c r="T11" s="891"/>
      <c r="U11" s="891"/>
      <c r="V11" s="891"/>
      <c r="W11" s="891"/>
      <c r="X11" s="891"/>
      <c r="Y11" s="891"/>
      <c r="Z11" s="891"/>
      <c r="AC11" s="947"/>
      <c r="BN11" s="943" t="str">
        <f>BN24</f>
        <v>Указание на подтверждающие документы / URL-ссылка на копии подтверждающих документов</v>
      </c>
      <c r="BO11" s="943" t="str">
        <f>BO24</f>
        <v>Ссылка на правовую норму (основание для принятия показателя в расчет тарифа)</v>
      </c>
      <c r="BP11" s="943"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944"/>
    </row>
    <row r="12" spans="1:71" s="165" customFormat="1" ht="12" hidden="1" customHeight="1">
      <c r="B12" s="614"/>
      <c r="E12" s="623"/>
      <c r="G12" s="167"/>
      <c r="H12" s="167"/>
      <c r="I12" s="167"/>
      <c r="J12" s="167"/>
      <c r="K12" s="167"/>
      <c r="L12" s="167"/>
      <c r="M12" s="167"/>
      <c r="N12" s="167"/>
      <c r="O12" s="167"/>
      <c r="P12" s="167"/>
      <c r="Q12" s="130"/>
      <c r="R12" s="130"/>
      <c r="S12" s="167"/>
      <c r="T12" s="113"/>
      <c r="U12" s="113"/>
      <c r="V12" s="113"/>
      <c r="W12" s="113"/>
      <c r="X12" s="113"/>
      <c r="Y12" s="113"/>
      <c r="Z12" s="113"/>
      <c r="AC12" s="169"/>
      <c r="BS12" s="944"/>
    </row>
    <row r="13" spans="1:71" s="165" customFormat="1" ht="12" hidden="1" customHeight="1">
      <c r="B13" s="614"/>
      <c r="E13" s="623"/>
      <c r="G13" s="167"/>
      <c r="H13" s="167"/>
      <c r="I13" s="167"/>
      <c r="J13" s="167"/>
      <c r="K13" s="167"/>
      <c r="L13" s="167"/>
      <c r="M13" s="167"/>
      <c r="N13" s="167"/>
      <c r="O13" s="167"/>
      <c r="P13" s="167"/>
      <c r="Q13" s="130"/>
      <c r="R13" s="130"/>
      <c r="S13" s="167"/>
      <c r="T13" s="113"/>
      <c r="U13" s="113"/>
      <c r="V13" s="113"/>
      <c r="W13" s="113"/>
      <c r="X13" s="113"/>
      <c r="Y13" s="113"/>
      <c r="Z13" s="113"/>
      <c r="AC13" s="169"/>
      <c r="BS13" s="944"/>
    </row>
    <row r="14" spans="1:71" s="165" customFormat="1" ht="12" hidden="1" customHeight="1">
      <c r="B14" s="614"/>
      <c r="E14" s="623"/>
      <c r="G14" s="167"/>
      <c r="H14" s="167"/>
      <c r="I14" s="167"/>
      <c r="J14" s="167"/>
      <c r="K14" s="167"/>
      <c r="L14" s="167"/>
      <c r="M14" s="167"/>
      <c r="N14" s="167"/>
      <c r="O14" s="167"/>
      <c r="P14" s="167"/>
      <c r="Q14" s="130"/>
      <c r="R14" s="130"/>
      <c r="S14" s="167"/>
      <c r="T14" s="113"/>
      <c r="U14" s="113"/>
      <c r="V14" s="113"/>
      <c r="W14" s="113"/>
      <c r="X14" s="113"/>
      <c r="Y14" s="113"/>
      <c r="Z14" s="113"/>
      <c r="AC14" s="169"/>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S14" s="944"/>
    </row>
    <row r="15" spans="1:71" s="165" customFormat="1" ht="12" hidden="1" customHeight="1">
      <c r="B15" s="614"/>
      <c r="E15" s="623"/>
      <c r="G15" s="167"/>
      <c r="H15" s="167"/>
      <c r="I15" s="167"/>
      <c r="J15" s="167"/>
      <c r="K15" s="167"/>
      <c r="L15" s="167"/>
      <c r="M15" s="167"/>
      <c r="N15" s="167"/>
      <c r="O15" s="167"/>
      <c r="P15" s="167"/>
      <c r="Q15" s="130"/>
      <c r="R15" s="130"/>
      <c r="S15" s="167"/>
      <c r="T15" s="113"/>
      <c r="U15" s="113"/>
      <c r="V15" s="113"/>
      <c r="W15" s="113"/>
      <c r="X15" s="113"/>
      <c r="Y15" s="113"/>
      <c r="Z15" s="113"/>
      <c r="AC15" s="169"/>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S15" s="944"/>
    </row>
    <row r="16" spans="1:71" s="165" customFormat="1" ht="12" hidden="1" customHeight="1">
      <c r="B16" s="614"/>
      <c r="E16" s="623"/>
      <c r="G16" s="167"/>
      <c r="H16" s="167"/>
      <c r="I16" s="167"/>
      <c r="J16" s="167"/>
      <c r="K16" s="167"/>
      <c r="L16" s="167"/>
      <c r="M16" s="167"/>
      <c r="N16" s="167"/>
      <c r="O16" s="167"/>
      <c r="P16" s="167"/>
      <c r="Q16" s="130"/>
      <c r="R16" s="130"/>
      <c r="S16" s="167"/>
      <c r="T16" s="113"/>
      <c r="U16" s="113"/>
      <c r="V16" s="113"/>
      <c r="W16" s="113"/>
      <c r="X16" s="113"/>
      <c r="Y16" s="113"/>
      <c r="Z16" s="113"/>
      <c r="AC16" s="169"/>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S16" s="944"/>
    </row>
    <row r="17" spans="1:71" s="165" customFormat="1" ht="12" hidden="1" customHeight="1">
      <c r="B17" s="614"/>
      <c r="E17" s="623"/>
      <c r="G17" s="167"/>
      <c r="H17" s="167"/>
      <c r="I17" s="167"/>
      <c r="J17" s="167"/>
      <c r="K17" s="167"/>
      <c r="L17" s="167"/>
      <c r="M17" s="167"/>
      <c r="N17" s="167"/>
      <c r="O17" s="167"/>
      <c r="P17" s="167"/>
      <c r="Q17" s="130"/>
      <c r="R17" s="130"/>
      <c r="S17" s="167"/>
      <c r="T17" s="113"/>
      <c r="U17" s="113"/>
      <c r="V17" s="113"/>
      <c r="W17" s="113"/>
      <c r="X17" s="113"/>
      <c r="Y17" s="113"/>
      <c r="Z17" s="113"/>
      <c r="AC17" s="169"/>
      <c r="BS17" s="944"/>
    </row>
    <row r="18" spans="1:71" s="165" customFormat="1" ht="12" hidden="1" customHeight="1">
      <c r="B18" s="614"/>
      <c r="E18" s="623"/>
      <c r="G18" s="167"/>
      <c r="H18" s="167"/>
      <c r="I18" s="167"/>
      <c r="J18" s="167"/>
      <c r="K18" s="167"/>
      <c r="L18" s="167"/>
      <c r="M18" s="167"/>
      <c r="N18" s="167"/>
      <c r="O18" s="167"/>
      <c r="P18" s="167"/>
      <c r="Q18" s="130"/>
      <c r="R18" s="130"/>
      <c r="S18" s="167"/>
      <c r="T18" s="113"/>
      <c r="U18" s="113"/>
      <c r="V18" s="113"/>
      <c r="W18" s="113"/>
      <c r="X18" s="113"/>
      <c r="Y18" s="113"/>
      <c r="Z18" s="113"/>
      <c r="AC18" s="169"/>
      <c r="BS18" s="944"/>
    </row>
    <row r="19" spans="1:71" s="165" customFormat="1" ht="12" hidden="1" customHeight="1">
      <c r="B19" s="614"/>
      <c r="E19" s="623"/>
      <c r="G19" s="167"/>
      <c r="H19" s="167"/>
      <c r="I19" s="167"/>
      <c r="J19" s="167"/>
      <c r="K19" s="167"/>
      <c r="L19" s="167"/>
      <c r="M19" s="167"/>
      <c r="N19" s="167"/>
      <c r="O19" s="167"/>
      <c r="P19" s="167"/>
      <c r="Q19" s="130"/>
      <c r="R19" s="130"/>
      <c r="S19" s="167"/>
      <c r="T19" s="113"/>
      <c r="U19" s="113"/>
      <c r="V19" s="113"/>
      <c r="W19" s="113"/>
      <c r="X19" s="113"/>
      <c r="Y19" s="113"/>
      <c r="Z19" s="113"/>
      <c r="AC19" s="169"/>
      <c r="BS19" s="944"/>
    </row>
    <row r="20" spans="1:71" s="165" customFormat="1" ht="12" hidden="1" customHeight="1">
      <c r="B20" s="614"/>
      <c r="E20" s="623"/>
      <c r="G20" s="167"/>
      <c r="H20" s="167"/>
      <c r="I20" s="167"/>
      <c r="J20" s="167"/>
      <c r="K20" s="167"/>
      <c r="L20" s="167"/>
      <c r="M20" s="167"/>
      <c r="N20" s="167"/>
      <c r="O20" s="167"/>
      <c r="P20" s="167"/>
      <c r="Q20" s="130"/>
      <c r="R20" s="130"/>
      <c r="S20" s="167"/>
      <c r="T20" s="113"/>
      <c r="U20" s="113"/>
      <c r="V20" s="113"/>
      <c r="W20" s="113"/>
      <c r="X20" s="113"/>
      <c r="Y20" s="113"/>
      <c r="Z20" s="113"/>
      <c r="AC20" s="169"/>
      <c r="BS20" s="944"/>
    </row>
    <row r="21" spans="1:71" ht="14.65" customHeight="1">
      <c r="E21" s="623">
        <v>15</v>
      </c>
      <c r="AA21" s="646"/>
      <c r="AB21" s="167"/>
      <c r="AC21" s="315" t="str">
        <f>tpl_title</f>
        <v>Кемеровская область / 2026 / АО "СУЭК-Кузбасс" (ИНН:4212024138, КПП:421201001) / ДПР: 2024-2028</v>
      </c>
      <c r="AD21" s="167"/>
    </row>
    <row r="22" spans="1:71" s="1018" customFormat="1" ht="19.5" customHeight="1">
      <c r="A22" s="120"/>
      <c r="B22" s="614"/>
      <c r="C22" s="120"/>
      <c r="D22" s="120"/>
      <c r="E22" s="623">
        <v>20.100000000000001</v>
      </c>
      <c r="F22" s="120"/>
      <c r="Q22" s="130"/>
      <c r="R22" s="130"/>
      <c r="T22" s="116"/>
      <c r="U22" s="116"/>
      <c r="V22" s="116"/>
      <c r="W22" s="116"/>
      <c r="X22" s="116"/>
      <c r="Y22" s="116"/>
      <c r="Z22" s="116"/>
      <c r="AB22" s="306" t="s">
        <v>55</v>
      </c>
      <c r="AC22" s="251"/>
      <c r="AD22" s="251"/>
      <c r="AE22" s="251"/>
      <c r="AF22" s="251"/>
      <c r="AG22" s="251"/>
      <c r="AH22" s="251"/>
      <c r="AI22" s="251"/>
      <c r="AJ22" s="251"/>
      <c r="AK22" s="251"/>
      <c r="AL22" s="251"/>
      <c r="AM22" s="251"/>
      <c r="AN22" s="251"/>
      <c r="AO22" s="251"/>
      <c r="AP22" s="251"/>
      <c r="AQ22" s="251"/>
      <c r="AR22" s="251"/>
      <c r="AS22" s="251"/>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S22" s="920"/>
    </row>
    <row r="23" spans="1:71" s="1018" customFormat="1" ht="9.9499999999999993" customHeight="1">
      <c r="A23" s="120"/>
      <c r="B23" s="614"/>
      <c r="C23" s="120"/>
      <c r="D23" s="120"/>
      <c r="E23" s="623">
        <v>10.199999999999999</v>
      </c>
      <c r="F23" s="120"/>
      <c r="Q23" s="130"/>
      <c r="R23" s="130"/>
      <c r="T23" s="116"/>
      <c r="U23" s="116"/>
      <c r="V23" s="116"/>
      <c r="W23" s="116"/>
      <c r="X23" s="116"/>
      <c r="Y23" s="116"/>
      <c r="Z23" s="116"/>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c r="BP23" s="168"/>
      <c r="BS23" s="920"/>
    </row>
    <row r="24" spans="1:71" s="166" customFormat="1" ht="24.2" customHeight="1">
      <c r="A24" s="169"/>
      <c r="B24" s="618"/>
      <c r="C24" s="169"/>
      <c r="D24" s="169"/>
      <c r="E24" s="629">
        <v>24.8</v>
      </c>
      <c r="F24" s="169"/>
      <c r="Q24" s="723"/>
      <c r="R24" s="723"/>
      <c r="T24" s="109"/>
      <c r="U24" s="109"/>
      <c r="V24" s="109"/>
      <c r="W24" s="109"/>
      <c r="X24" s="109"/>
      <c r="Y24" s="109"/>
      <c r="Z24" s="109"/>
      <c r="AB24" s="1496" t="s">
        <v>288</v>
      </c>
      <c r="AC24" s="1496" t="s">
        <v>330</v>
      </c>
      <c r="AD24" s="1496" t="s">
        <v>331</v>
      </c>
      <c r="AE24" s="198" t="str">
        <f>god-2&amp;" год"</f>
        <v>2024 год</v>
      </c>
      <c r="AF24" s="1007" t="str">
        <f>god-2&amp;" год"</f>
        <v>2024 год</v>
      </c>
      <c r="AG24" s="198" t="str">
        <f>god-2&amp;" год"</f>
        <v>2024 год</v>
      </c>
      <c r="AH24" s="198" t="str">
        <f>god-2&amp;" год"</f>
        <v>2024 год</v>
      </c>
      <c r="AI24" s="107" t="str">
        <f>god-1&amp;" год"</f>
        <v>2025 год</v>
      </c>
      <c r="AJ24" s="1001" t="str">
        <f>god&amp;" год"</f>
        <v>2026 год</v>
      </c>
      <c r="AK24" s="1001" t="str">
        <f>god+1&amp;" год"</f>
        <v>2027 год</v>
      </c>
      <c r="AL24" s="1001" t="str">
        <f>god+2&amp;" год"</f>
        <v>2028 год</v>
      </c>
      <c r="AM24" s="1001" t="str">
        <f>god+3&amp;" год"</f>
        <v>2029 год</v>
      </c>
      <c r="AN24" s="1001" t="str">
        <f>god+4&amp;" год"</f>
        <v>2030 год</v>
      </c>
      <c r="AO24" s="1001" t="str">
        <f>god+5&amp;" год"</f>
        <v>2031 год</v>
      </c>
      <c r="AP24" s="1001" t="str">
        <f>god+6&amp;" год"</f>
        <v>2032 год</v>
      </c>
      <c r="AQ24" s="1001" t="str">
        <f>god+7&amp;" год"</f>
        <v>2033 год</v>
      </c>
      <c r="AR24" s="1001" t="str">
        <f>god+8&amp;" год"</f>
        <v>2034 год</v>
      </c>
      <c r="AS24" s="1001" t="str">
        <f>god+9&amp;" год"</f>
        <v>2035 год</v>
      </c>
      <c r="AT24" s="108" t="str">
        <f>god&amp;" год"</f>
        <v>2026 год</v>
      </c>
      <c r="AU24" s="108" t="str">
        <f>god+1&amp;" год"</f>
        <v>2027 год</v>
      </c>
      <c r="AV24" s="108" t="str">
        <f>god+2&amp;" год"</f>
        <v>2028 год</v>
      </c>
      <c r="AW24" s="108" t="str">
        <f>god+3&amp;" год"</f>
        <v>2029 год</v>
      </c>
      <c r="AX24" s="108" t="str">
        <f>god+4&amp;" год"</f>
        <v>2030 год</v>
      </c>
      <c r="AY24" s="108" t="str">
        <f>god+5&amp;" год"</f>
        <v>2031 год</v>
      </c>
      <c r="AZ24" s="108" t="str">
        <f>god+6&amp;" год"</f>
        <v>2032 год</v>
      </c>
      <c r="BA24" s="108" t="str">
        <f>god+7&amp;" год"</f>
        <v>2033 год</v>
      </c>
      <c r="BB24" s="108" t="str">
        <f>god+8&amp;" год"</f>
        <v>2034 год</v>
      </c>
      <c r="BC24" s="108" t="str">
        <f>god+9&amp;" год"</f>
        <v>2035 год</v>
      </c>
      <c r="BD24" s="108" t="str">
        <f>god&amp;" год"</f>
        <v>2026 год</v>
      </c>
      <c r="BE24" s="108" t="str">
        <f>god+1&amp;" год"</f>
        <v>2027 год</v>
      </c>
      <c r="BF24" s="108" t="str">
        <f>god+2&amp;" год"</f>
        <v>2028 год</v>
      </c>
      <c r="BG24" s="108" t="str">
        <f>god+3&amp;" год"</f>
        <v>2029 год</v>
      </c>
      <c r="BH24" s="108" t="str">
        <f>god+4&amp;" год"</f>
        <v>2030 год</v>
      </c>
      <c r="BI24" s="108" t="str">
        <f>god+5&amp;" год"</f>
        <v>2031 год</v>
      </c>
      <c r="BJ24" s="108" t="str">
        <f>god+6&amp;" год"</f>
        <v>2032 год</v>
      </c>
      <c r="BK24" s="108" t="str">
        <f>god+7&amp;" год"</f>
        <v>2033 год</v>
      </c>
      <c r="BL24" s="108" t="str">
        <f>god+8&amp;" год"</f>
        <v>2034 год</v>
      </c>
      <c r="BM24" s="108" t="str">
        <f>god+9&amp;" год"</f>
        <v>2035 год</v>
      </c>
      <c r="BN24" s="1493" t="s">
        <v>1090</v>
      </c>
      <c r="BO24" s="1493" t="s">
        <v>486</v>
      </c>
      <c r="BP24" s="1493" t="s">
        <v>1091</v>
      </c>
      <c r="BS24" s="944"/>
    </row>
    <row r="25" spans="1:71" s="166" customFormat="1" ht="46.15" customHeight="1">
      <c r="A25" s="169"/>
      <c r="B25" s="618"/>
      <c r="C25" s="169"/>
      <c r="D25" s="169"/>
      <c r="E25" s="629">
        <v>47.3</v>
      </c>
      <c r="F25" s="169"/>
      <c r="Q25" s="723"/>
      <c r="R25" s="723"/>
      <c r="T25" s="109"/>
      <c r="U25" s="109"/>
      <c r="V25" s="109"/>
      <c r="W25" s="109"/>
      <c r="X25" s="109"/>
      <c r="Y25" s="109"/>
      <c r="Z25" s="109"/>
      <c r="AB25" s="1496"/>
      <c r="AC25" s="1496"/>
      <c r="AD25" s="1496"/>
      <c r="AE25" s="107" t="s">
        <v>304</v>
      </c>
      <c r="AF25" s="1003" t="s">
        <v>487</v>
      </c>
      <c r="AG25" s="107" t="s">
        <v>488</v>
      </c>
      <c r="AH25" s="198" t="s">
        <v>1092</v>
      </c>
      <c r="AI25" s="107" t="s">
        <v>304</v>
      </c>
      <c r="AJ25" s="1002" t="s">
        <v>305</v>
      </c>
      <c r="AK25" s="1002" t="s">
        <v>305</v>
      </c>
      <c r="AL25" s="1002" t="s">
        <v>305</v>
      </c>
      <c r="AM25" s="1002" t="s">
        <v>305</v>
      </c>
      <c r="AN25" s="1002" t="s">
        <v>305</v>
      </c>
      <c r="AO25" s="1002" t="s">
        <v>305</v>
      </c>
      <c r="AP25" s="1002" t="s">
        <v>305</v>
      </c>
      <c r="AQ25" s="1002" t="s">
        <v>305</v>
      </c>
      <c r="AR25" s="1002" t="s">
        <v>305</v>
      </c>
      <c r="AS25" s="1002" t="s">
        <v>305</v>
      </c>
      <c r="AT25" s="324" t="s">
        <v>304</v>
      </c>
      <c r="AU25" s="324" t="s">
        <v>304</v>
      </c>
      <c r="AV25" s="324" t="s">
        <v>304</v>
      </c>
      <c r="AW25" s="324" t="s">
        <v>304</v>
      </c>
      <c r="AX25" s="324" t="s">
        <v>304</v>
      </c>
      <c r="AY25" s="324" t="s">
        <v>304</v>
      </c>
      <c r="AZ25" s="324" t="s">
        <v>304</v>
      </c>
      <c r="BA25" s="324" t="s">
        <v>304</v>
      </c>
      <c r="BB25" s="324" t="s">
        <v>304</v>
      </c>
      <c r="BC25" s="324" t="s">
        <v>304</v>
      </c>
      <c r="BD25" s="1493" t="s">
        <v>1093</v>
      </c>
      <c r="BE25" s="1493"/>
      <c r="BF25" s="1493"/>
      <c r="BG25" s="1493"/>
      <c r="BH25" s="1493"/>
      <c r="BI25" s="1493"/>
      <c r="BJ25" s="1493"/>
      <c r="BK25" s="1493"/>
      <c r="BL25" s="1493"/>
      <c r="BM25" s="1493"/>
      <c r="BN25" s="1493"/>
      <c r="BO25" s="1493"/>
      <c r="BP25" s="1493"/>
      <c r="BS25" s="944"/>
    </row>
    <row r="26" spans="1:71" s="166" customFormat="1" ht="18.75" hidden="1" customHeight="1">
      <c r="A26" s="169"/>
      <c r="B26" s="618"/>
      <c r="C26" s="169"/>
      <c r="D26" s="169"/>
      <c r="E26" s="629">
        <v>0</v>
      </c>
      <c r="F26" s="169"/>
      <c r="Q26" s="723"/>
      <c r="R26" s="723"/>
      <c r="T26" s="109"/>
      <c r="U26" s="109"/>
      <c r="V26" s="109"/>
      <c r="W26" s="109"/>
      <c r="X26" s="109"/>
      <c r="Y26" s="109"/>
      <c r="Z26" s="109"/>
      <c r="AB26" s="544"/>
      <c r="AC26" s="544"/>
      <c r="AD26" s="544"/>
      <c r="AE26" s="109"/>
      <c r="AF26" s="109"/>
      <c r="AG26" s="109"/>
      <c r="AH26" s="16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69"/>
      <c r="BE26" s="169"/>
      <c r="BF26" s="169"/>
      <c r="BG26" s="169"/>
      <c r="BH26" s="169"/>
      <c r="BI26" s="169"/>
      <c r="BJ26" s="169"/>
      <c r="BK26" s="169"/>
      <c r="BL26" s="169"/>
      <c r="BM26" s="169"/>
      <c r="BN26" s="169"/>
      <c r="BO26" s="169"/>
      <c r="BP26" s="169"/>
      <c r="BS26" s="944"/>
    </row>
    <row r="27" spans="1:71" s="157" customFormat="1" ht="18.399999999999999" hidden="1" customHeight="1">
      <c r="E27" s="623">
        <v>18.8</v>
      </c>
      <c r="F27" s="714">
        <f>X27</f>
        <v>0</v>
      </c>
      <c r="G27" s="566" t="str">
        <f>INDEX('Общие сведения'!$AK$169:$AK$202,MATCH($F27,'Общие сведения'!$Z$169:$Z$202,0))</f>
        <v>одноставочный</v>
      </c>
      <c r="I27" s="150" t="str">
        <f>INDEX('Общие сведения'!$AE$169:$AE$202,MATCH($F27,'Общие сведения'!$Z$169:$Z$202,0))</f>
        <v>Теплоснабжение</v>
      </c>
      <c r="T27" s="634" t="b">
        <f>X27&gt;0</f>
        <v>0</v>
      </c>
      <c r="V27" s="113" t="s">
        <v>228</v>
      </c>
      <c r="X27" s="1405">
        <v>0</v>
      </c>
      <c r="Z27" s="1403"/>
      <c r="AB27" s="252" t="str">
        <f>INDEX('Общие сведения'!$AG$169:$AG$202,MATCH($F27,'Общие сведения'!$Z$169:$Z$202,0))</f>
        <v>Тариф 0 (Теплоснабжение) - Тарифы на теплоноситель</v>
      </c>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53"/>
      <c r="BB27" s="253"/>
      <c r="BC27" s="253"/>
      <c r="BD27" s="253"/>
      <c r="BE27" s="253"/>
      <c r="BF27" s="253"/>
      <c r="BG27" s="253"/>
      <c r="BH27" s="253"/>
      <c r="BI27" s="253"/>
      <c r="BJ27" s="253"/>
      <c r="BK27" s="253"/>
      <c r="BL27" s="253"/>
      <c r="BM27" s="253"/>
      <c r="BN27" s="253"/>
      <c r="BO27" s="253"/>
      <c r="BP27" s="253"/>
      <c r="BS27" s="912"/>
    </row>
    <row r="28" spans="1:71" s="157" customFormat="1" ht="13.7" hidden="1" customHeight="1">
      <c r="E28" s="623">
        <v>14.1</v>
      </c>
      <c r="F28" s="714">
        <f t="shared" ref="F28:F45" ca="1" si="6">OFFSET(G28,-1,-1)</f>
        <v>0</v>
      </c>
      <c r="G28" s="566" t="s">
        <v>1154</v>
      </c>
      <c r="K28" s="167" t="str">
        <f ca="1">F28&amp;"komm"</f>
        <v>0komm</v>
      </c>
      <c r="L28" s="166">
        <f>BO28</f>
        <v>0</v>
      </c>
      <c r="T28" s="634" t="b">
        <f t="shared" ref="T28:T37" si="7">T27</f>
        <v>0</v>
      </c>
      <c r="X28" s="1403"/>
      <c r="Z28" s="1403"/>
      <c r="AB28" s="1501" t="s">
        <v>1155</v>
      </c>
      <c r="AC28" s="1502"/>
      <c r="AD28" s="239" t="s">
        <v>648</v>
      </c>
      <c r="AE28" s="292">
        <f t="shared" ref="AE28:BM28" ca="1" si="8">AE45</f>
        <v>0</v>
      </c>
      <c r="AF28" s="292">
        <f t="shared" ca="1" si="8"/>
        <v>0</v>
      </c>
      <c r="AG28" s="292">
        <f t="shared" ca="1" si="8"/>
        <v>0</v>
      </c>
      <c r="AH28" s="292">
        <f t="shared" ca="1" si="8"/>
        <v>0</v>
      </c>
      <c r="AI28" s="292">
        <f t="shared" ca="1" si="8"/>
        <v>0</v>
      </c>
      <c r="AJ28" s="292">
        <f t="shared" ca="1" si="8"/>
        <v>0</v>
      </c>
      <c r="AK28" s="292">
        <f t="shared" ca="1" si="8"/>
        <v>0</v>
      </c>
      <c r="AL28" s="292">
        <f t="shared" ca="1" si="8"/>
        <v>0</v>
      </c>
      <c r="AM28" s="292">
        <f t="shared" ca="1" si="8"/>
        <v>0</v>
      </c>
      <c r="AN28" s="292">
        <f t="shared" ca="1" si="8"/>
        <v>0</v>
      </c>
      <c r="AO28" s="292">
        <f t="shared" ca="1" si="8"/>
        <v>0</v>
      </c>
      <c r="AP28" s="292">
        <f t="shared" ca="1" si="8"/>
        <v>0</v>
      </c>
      <c r="AQ28" s="292">
        <f t="shared" ca="1" si="8"/>
        <v>0</v>
      </c>
      <c r="AR28" s="292">
        <f t="shared" ca="1" si="8"/>
        <v>0</v>
      </c>
      <c r="AS28" s="292">
        <f t="shared" ca="1" si="8"/>
        <v>0</v>
      </c>
      <c r="AT28" s="292">
        <f t="shared" ca="1" si="8"/>
        <v>0</v>
      </c>
      <c r="AU28" s="292">
        <f t="shared" ca="1" si="8"/>
        <v>0</v>
      </c>
      <c r="AV28" s="292">
        <f t="shared" ca="1" si="8"/>
        <v>0</v>
      </c>
      <c r="AW28" s="292">
        <f t="shared" ca="1" si="8"/>
        <v>0</v>
      </c>
      <c r="AX28" s="292">
        <f t="shared" ca="1" si="8"/>
        <v>0</v>
      </c>
      <c r="AY28" s="292">
        <f t="shared" ca="1" si="8"/>
        <v>0</v>
      </c>
      <c r="AZ28" s="292">
        <f t="shared" ca="1" si="8"/>
        <v>0</v>
      </c>
      <c r="BA28" s="292">
        <f t="shared" ca="1" si="8"/>
        <v>0</v>
      </c>
      <c r="BB28" s="292">
        <f t="shared" ca="1" si="8"/>
        <v>0</v>
      </c>
      <c r="BC28" s="292">
        <f t="shared" ca="1" si="8"/>
        <v>0</v>
      </c>
      <c r="BD28" s="292">
        <f t="shared" ca="1" si="8"/>
        <v>0</v>
      </c>
      <c r="BE28" s="292">
        <f t="shared" ca="1" si="8"/>
        <v>0</v>
      </c>
      <c r="BF28" s="292">
        <f t="shared" ca="1" si="8"/>
        <v>0</v>
      </c>
      <c r="BG28" s="292">
        <f t="shared" ca="1" si="8"/>
        <v>0</v>
      </c>
      <c r="BH28" s="292">
        <f t="shared" ca="1" si="8"/>
        <v>0</v>
      </c>
      <c r="BI28" s="292">
        <f t="shared" ca="1" si="8"/>
        <v>0</v>
      </c>
      <c r="BJ28" s="292">
        <f t="shared" ca="1" si="8"/>
        <v>0</v>
      </c>
      <c r="BK28" s="292">
        <f t="shared" ca="1" si="8"/>
        <v>0</v>
      </c>
      <c r="BL28" s="292">
        <f t="shared" ca="1" si="8"/>
        <v>0</v>
      </c>
      <c r="BM28" s="292">
        <f t="shared" ca="1" si="8"/>
        <v>0</v>
      </c>
      <c r="BN28" s="22"/>
      <c r="BO28" s="22"/>
      <c r="BP28" s="22"/>
      <c r="BS28" s="912" t="s">
        <v>1156</v>
      </c>
    </row>
    <row r="29" spans="1:71" ht="27.2" hidden="1" customHeight="1">
      <c r="E29" s="623">
        <v>27.8</v>
      </c>
      <c r="F29" s="714">
        <f t="shared" ca="1" si="6"/>
        <v>0</v>
      </c>
      <c r="G29" s="130" t="s">
        <v>997</v>
      </c>
      <c r="T29" s="634" t="b">
        <f t="shared" si="7"/>
        <v>0</v>
      </c>
      <c r="X29" s="1405"/>
      <c r="Z29" s="1405"/>
      <c r="AB29" s="99" t="s">
        <v>339</v>
      </c>
      <c r="AC29" s="105" t="s">
        <v>45</v>
      </c>
      <c r="AD29" s="99" t="s">
        <v>648</v>
      </c>
      <c r="AE29" s="469">
        <f ca="1">SUMIFS('Покупка услуг'!AE$26:AE$65,'Покупка услуг'!$F$26:$F$65,$F29,'Покупка услуг'!$G$26:$G$65,$G29)</f>
        <v>0</v>
      </c>
      <c r="AF29" s="469">
        <f ca="1">SUMIFS('Покупка услуг'!AF$26:AF$65,'Покупка услуг'!$F$26:$F$65,$F29,'Покупка услуг'!$G$26:$G$65,$G29)</f>
        <v>0</v>
      </c>
      <c r="AG29" s="60">
        <f ca="1">SUMIFS('Покупка услуг'!AG$26:AG$65,'Покупка услуг'!$F$26:$F$65,$F29,'Покупка услуг'!$G$26:$G$65,$G29)</f>
        <v>0</v>
      </c>
      <c r="AH29" s="293">
        <f t="shared" ref="AH29:AH45" ca="1" si="9">AG29-AF29</f>
        <v>0</v>
      </c>
      <c r="AI29" s="469">
        <f ca="1">SUMIFS('Покупка услуг'!AH$26:AH$65,'Покупка услуг'!$F$26:$F$65,$F29,'Покупка услуг'!$G$26:$G$65,$G29)</f>
        <v>0</v>
      </c>
      <c r="AJ29" s="469">
        <f ca="1">SUMIFS('Покупка услуг'!AI$26:AI$65,'Покупка услуг'!$F$26:$F$65,$F29,'Покупка услуг'!$G$26:$G$65,$G29)</f>
        <v>0</v>
      </c>
      <c r="AK29" s="469">
        <f ca="1">SUMIFS('Покупка услуг'!AJ$26:AJ$65,'Покупка услуг'!$F$26:$F$65,$F29,'Покупка услуг'!$G$26:$G$65,$G29)</f>
        <v>0</v>
      </c>
      <c r="AL29" s="469">
        <f ca="1">SUMIFS('Покупка услуг'!AK$26:AK$65,'Покупка услуг'!$F$26:$F$65,$F29,'Покупка услуг'!$G$26:$G$65,$G29)</f>
        <v>0</v>
      </c>
      <c r="AM29" s="469">
        <f ca="1">SUMIFS('Покупка услуг'!AL$26:AL$65,'Покупка услуг'!$F$26:$F$65,$F29,'Покупка услуг'!$G$26:$G$65,$G29)</f>
        <v>0</v>
      </c>
      <c r="AN29" s="469">
        <f ca="1">SUMIFS('Покупка услуг'!AM$26:AM$65,'Покупка услуг'!$F$26:$F$65,$F29,'Покупка услуг'!$G$26:$G$65,$G29)</f>
        <v>0</v>
      </c>
      <c r="AO29" s="469">
        <f ca="1">SUMIFS('Покупка услуг'!AN$26:AN$65,'Покупка услуг'!$F$26:$F$65,$F29,'Покупка услуг'!$G$26:$G$65,$G29)</f>
        <v>0</v>
      </c>
      <c r="AP29" s="469">
        <f ca="1">SUMIFS('Покупка услуг'!AO$26:AO$65,'Покупка услуг'!$F$26:$F$65,$F29,'Покупка услуг'!$G$26:$G$65,$G29)</f>
        <v>0</v>
      </c>
      <c r="AQ29" s="469">
        <f ca="1">SUMIFS('Покупка услуг'!AP$26:AP$65,'Покупка услуг'!$F$26:$F$65,$F29,'Покупка услуг'!$G$26:$G$65,$G29)</f>
        <v>0</v>
      </c>
      <c r="AR29" s="469">
        <f ca="1">SUMIFS('Покупка услуг'!AQ$26:AQ$65,'Покупка услуг'!$F$26:$F$65,$F29,'Покупка услуг'!$G$26:$G$65,$G29)</f>
        <v>0</v>
      </c>
      <c r="AS29" s="469">
        <f ca="1">SUMIFS('Покупка услуг'!AR$26:AR$65,'Покупка услуг'!$F$26:$F$65,$F29,'Покупка услуг'!$G$26:$G$65,$G29)</f>
        <v>0</v>
      </c>
      <c r="AT29" s="469">
        <f ca="1">SUMIFS('Покупка услуг'!AS$26:AS$65,'Покупка услуг'!$F$26:$F$65,$F29,'Покупка услуг'!$G$26:$G$65,$G29)</f>
        <v>0</v>
      </c>
      <c r="AU29" s="469">
        <f ca="1">SUMIFS('Покупка услуг'!AT$26:AT$65,'Покупка услуг'!$F$26:$F$65,$F29,'Покупка услуг'!$G$26:$G$65,$G29)</f>
        <v>0</v>
      </c>
      <c r="AV29" s="469">
        <f ca="1">SUMIFS('Покупка услуг'!AU$26:AU$65,'Покупка услуг'!$F$26:$F$65,$F29,'Покупка услуг'!$G$26:$G$65,$G29)</f>
        <v>0</v>
      </c>
      <c r="AW29" s="469">
        <f ca="1">SUMIFS('Покупка услуг'!AV$26:AV$65,'Покупка услуг'!$F$26:$F$65,$F29,'Покупка услуг'!$G$26:$G$65,$G29)</f>
        <v>0</v>
      </c>
      <c r="AX29" s="469">
        <f ca="1">SUMIFS('Покупка услуг'!AW$26:AW$65,'Покупка услуг'!$F$26:$F$65,$F29,'Покупка услуг'!$G$26:$G$65,$G29)</f>
        <v>0</v>
      </c>
      <c r="AY29" s="469">
        <f ca="1">SUMIFS('Покупка услуг'!AX$26:AX$65,'Покупка услуг'!$F$26:$F$65,$F29,'Покупка услуг'!$G$26:$G$65,$G29)</f>
        <v>0</v>
      </c>
      <c r="AZ29" s="469">
        <f ca="1">SUMIFS('Покупка услуг'!AY$26:AY$65,'Покупка услуг'!$F$26:$F$65,$F29,'Покупка услуг'!$G$26:$G$65,$G29)</f>
        <v>0</v>
      </c>
      <c r="BA29" s="469">
        <f ca="1">SUMIFS('Покупка услуг'!AZ$26:AZ$65,'Покупка услуг'!$F$26:$F$65,$F29,'Покупка услуг'!$G$26:$G$65,$G29)</f>
        <v>0</v>
      </c>
      <c r="BB29" s="469">
        <f ca="1">SUMIFS('Покупка услуг'!BA$26:BA$65,'Покупка услуг'!$F$26:$F$65,$F29,'Покупка услуг'!$G$26:$G$65,$G29)</f>
        <v>0</v>
      </c>
      <c r="BC29" s="469">
        <f ca="1">SUMIFS('Покупка услуг'!BB$26:BB$65,'Покупка услуг'!$F$26:$F$65,$F29,'Покупка услуг'!$G$26:$G$65,$G29)</f>
        <v>0</v>
      </c>
      <c r="BD29" s="293">
        <f t="shared" ref="BD29:BD45" ca="1" si="10">IF(AI29=0,0,(AT29-AI29)/AI29*100)</f>
        <v>0</v>
      </c>
      <c r="BE29" s="293">
        <f t="shared" ref="BE29:BE45" ca="1" si="11">IF(AT29=0,0,(AU29-AT29)/AT29*100)</f>
        <v>0</v>
      </c>
      <c r="BF29" s="293">
        <f t="shared" ref="BF29:BF45" ca="1" si="12">IF(AU29=0,0,(AV29-AU29)/AU29*100)</f>
        <v>0</v>
      </c>
      <c r="BG29" s="293">
        <f t="shared" ref="BG29:BG45" ca="1" si="13">IF(AV29=0,0,(AW29-AV29)/AV29*100)</f>
        <v>0</v>
      </c>
      <c r="BH29" s="293">
        <f t="shared" ref="BH29:BH45" ca="1" si="14">IF(AW29=0,0,(AX29-AW29)/AW29*100)</f>
        <v>0</v>
      </c>
      <c r="BI29" s="293">
        <f t="shared" ref="BI29:BI45" ca="1" si="15">IF(AX29=0,0,(AY29-AX29)/AX29*100)</f>
        <v>0</v>
      </c>
      <c r="BJ29" s="293">
        <f t="shared" ref="BJ29:BJ45" ca="1" si="16">IF(AY29=0,0,(AZ29-AY29)/AY29*100)</f>
        <v>0</v>
      </c>
      <c r="BK29" s="293">
        <f t="shared" ref="BK29:BK45" ca="1" si="17">IF(AZ29=0,0,(BA29-AZ29)/AZ29*100)</f>
        <v>0</v>
      </c>
      <c r="BL29" s="293">
        <f t="shared" ref="BL29:BL45" ca="1" si="18">IF(BA29=0,0,(BB29-BA29)/BA29*100)</f>
        <v>0</v>
      </c>
      <c r="BM29" s="293">
        <f t="shared" ref="BM29:BM45" ca="1" si="19">IF(BB29=0,0,(BC29-BB29)/BB29*100)</f>
        <v>0</v>
      </c>
      <c r="BN29" s="22"/>
      <c r="BO29" s="22"/>
      <c r="BP29" s="22"/>
      <c r="BS29" s="912" t="s">
        <v>1157</v>
      </c>
    </row>
    <row r="30" spans="1:71" ht="14.65" hidden="1" customHeight="1">
      <c r="E30" s="623">
        <v>15</v>
      </c>
      <c r="F30" s="714">
        <f t="shared" ca="1" si="6"/>
        <v>0</v>
      </c>
      <c r="G30" s="566" t="s">
        <v>973</v>
      </c>
      <c r="T30" s="634" t="b">
        <f t="shared" si="7"/>
        <v>0</v>
      </c>
      <c r="X30" s="1405"/>
      <c r="Z30" s="1405"/>
      <c r="AB30" s="99" t="s">
        <v>503</v>
      </c>
      <c r="AC30" s="105" t="s">
        <v>1158</v>
      </c>
      <c r="AD30" s="99" t="s">
        <v>648</v>
      </c>
      <c r="AE30" s="293">
        <f ca="1">SUMIFS(Аренда!AE$26:AE$51,Аренда!$F$26:$F$51,$F30,Аренда!$G$26:$G$51,$G30)</f>
        <v>0</v>
      </c>
      <c r="AF30" s="293">
        <f ca="1">SUMIFS(Аренда!AF$26:AF$51,Аренда!$F$26:$F$51,$F30,Аренда!$G$26:$G$51,$G30)</f>
        <v>0</v>
      </c>
      <c r="AG30" s="40">
        <f ca="1">SUMIFS(Аренда!AG$26:AG$51,Аренда!$F$26:$F$51,$F30,Аренда!$G$26:$G$51,$G30)</f>
        <v>0</v>
      </c>
      <c r="AH30" s="293">
        <f t="shared" ca="1" si="9"/>
        <v>0</v>
      </c>
      <c r="AI30" s="293">
        <f ca="1">SUMIFS(Аренда!AH$26:AH$51,Аренда!$F$26:$F$51,$F30,Аренда!$G$26:$G$51,$G30)</f>
        <v>0</v>
      </c>
      <c r="AJ30" s="293">
        <f ca="1">SUMIFS(Аренда!AI$26:AI$51,Аренда!$F$26:$F$51,$F30,Аренда!$G$26:$G$51,$G30)</f>
        <v>0</v>
      </c>
      <c r="AK30" s="293">
        <f ca="1">SUMIFS(Аренда!AJ$26:AJ$51,Аренда!$F$26:$F$51,$F30,Аренда!$G$26:$G$51,$G30)</f>
        <v>0</v>
      </c>
      <c r="AL30" s="293">
        <f ca="1">SUMIFS(Аренда!AK$26:AK$51,Аренда!$F$26:$F$51,$F30,Аренда!$G$26:$G$51,$G30)</f>
        <v>0</v>
      </c>
      <c r="AM30" s="293">
        <f ca="1">SUMIFS(Аренда!AL$26:AL$51,Аренда!$F$26:$F$51,$F30,Аренда!$G$26:$G$51,$G30)</f>
        <v>0</v>
      </c>
      <c r="AN30" s="293">
        <f ca="1">SUMIFS(Аренда!AM$26:AM$51,Аренда!$F$26:$F$51,$F30,Аренда!$G$26:$G$51,$G30)</f>
        <v>0</v>
      </c>
      <c r="AO30" s="293">
        <f ca="1">SUMIFS(Аренда!AN$26:AN$51,Аренда!$F$26:$F$51,$F30,Аренда!$G$26:$G$51,$G30)</f>
        <v>0</v>
      </c>
      <c r="AP30" s="293">
        <f ca="1">SUMIFS(Аренда!AO$26:AO$51,Аренда!$F$26:$F$51,$F30,Аренда!$G$26:$G$51,$G30)</f>
        <v>0</v>
      </c>
      <c r="AQ30" s="293">
        <f ca="1">SUMIFS(Аренда!AP$26:AP$51,Аренда!$F$26:$F$51,$F30,Аренда!$G$26:$G$51,$G30)</f>
        <v>0</v>
      </c>
      <c r="AR30" s="293">
        <f ca="1">SUMIFS(Аренда!AQ$26:AQ$51,Аренда!$F$26:$F$51,$F30,Аренда!$G$26:$G$51,$G30)</f>
        <v>0</v>
      </c>
      <c r="AS30" s="293">
        <f ca="1">SUMIFS(Аренда!AR$26:AR$51,Аренда!$F$26:$F$51,$F30,Аренда!$G$26:$G$51,$G30)</f>
        <v>0</v>
      </c>
      <c r="AT30" s="293">
        <f ca="1">SUMIFS(Аренда!AS$26:AS$51,Аренда!$F$26:$F$51,$F30,Аренда!$G$26:$G$51,$G30)</f>
        <v>0</v>
      </c>
      <c r="AU30" s="293">
        <f ca="1">SUMIFS(Аренда!AT$26:AT$51,Аренда!$F$26:$F$51,$F30,Аренда!$G$26:$G$51,$G30)</f>
        <v>0</v>
      </c>
      <c r="AV30" s="293">
        <f ca="1">SUMIFS(Аренда!AU$26:AU$51,Аренда!$F$26:$F$51,$F30,Аренда!$G$26:$G$51,$G30)</f>
        <v>0</v>
      </c>
      <c r="AW30" s="293">
        <f ca="1">SUMIFS(Аренда!AV$26:AV$51,Аренда!$F$26:$F$51,$F30,Аренда!$G$26:$G$51,$G30)</f>
        <v>0</v>
      </c>
      <c r="AX30" s="293">
        <f ca="1">SUMIFS(Аренда!AW$26:AW$51,Аренда!$F$26:$F$51,$F30,Аренда!$G$26:$G$51,$G30)</f>
        <v>0</v>
      </c>
      <c r="AY30" s="293">
        <f ca="1">SUMIFS(Аренда!AX$26:AX$51,Аренда!$F$26:$F$51,$F30,Аренда!$G$26:$G$51,$G30)</f>
        <v>0</v>
      </c>
      <c r="AZ30" s="293">
        <f ca="1">SUMIFS(Аренда!AY$26:AY$51,Аренда!$F$26:$F$51,$F30,Аренда!$G$26:$G$51,$G30)</f>
        <v>0</v>
      </c>
      <c r="BA30" s="293">
        <f ca="1">SUMIFS(Аренда!AZ$26:AZ$51,Аренда!$F$26:$F$51,$F30,Аренда!$G$26:$G$51,$G30)</f>
        <v>0</v>
      </c>
      <c r="BB30" s="293">
        <f ca="1">SUMIFS(Аренда!BA$26:BA$51,Аренда!$F$26:$F$51,$F30,Аренда!$G$26:$G$51,$G30)</f>
        <v>0</v>
      </c>
      <c r="BC30" s="293">
        <f ca="1">SUMIFS(Аренда!BB$26:BB$51,Аренда!$F$26:$F$51,$F30,Аренда!$G$26:$G$51,$G30)</f>
        <v>0</v>
      </c>
      <c r="BD30" s="293">
        <f t="shared" ca="1" si="10"/>
        <v>0</v>
      </c>
      <c r="BE30" s="293">
        <f t="shared" ca="1" si="11"/>
        <v>0</v>
      </c>
      <c r="BF30" s="293">
        <f t="shared" ca="1" si="12"/>
        <v>0</v>
      </c>
      <c r="BG30" s="293">
        <f t="shared" ca="1" si="13"/>
        <v>0</v>
      </c>
      <c r="BH30" s="293">
        <f t="shared" ca="1" si="14"/>
        <v>0</v>
      </c>
      <c r="BI30" s="293">
        <f t="shared" ca="1" si="15"/>
        <v>0</v>
      </c>
      <c r="BJ30" s="293">
        <f t="shared" ca="1" si="16"/>
        <v>0</v>
      </c>
      <c r="BK30" s="293">
        <f t="shared" ca="1" si="17"/>
        <v>0</v>
      </c>
      <c r="BL30" s="293">
        <f t="shared" ca="1" si="18"/>
        <v>0</v>
      </c>
      <c r="BM30" s="293">
        <f t="shared" ca="1" si="19"/>
        <v>0</v>
      </c>
      <c r="BN30" s="22"/>
      <c r="BO30" s="22"/>
      <c r="BP30" s="22"/>
      <c r="BS30" s="912" t="s">
        <v>976</v>
      </c>
    </row>
    <row r="31" spans="1:71" ht="14.65" hidden="1" customHeight="1">
      <c r="E31" s="623">
        <v>15</v>
      </c>
      <c r="F31" s="714">
        <f t="shared" ca="1" si="6"/>
        <v>0</v>
      </c>
      <c r="G31" s="130" t="s">
        <v>977</v>
      </c>
      <c r="T31" s="634" t="b">
        <f t="shared" si="7"/>
        <v>0</v>
      </c>
      <c r="X31" s="1405"/>
      <c r="Z31" s="1405"/>
      <c r="AB31" s="99" t="s">
        <v>749</v>
      </c>
      <c r="AC31" s="105" t="s">
        <v>978</v>
      </c>
      <c r="AD31" s="99" t="s">
        <v>648</v>
      </c>
      <c r="AE31" s="293">
        <f ca="1">SUMIFS(Аренда!AE$26:AE$51,Аренда!$F$26:$F$51,$F31,Аренда!$G$26:$G$51,$G31)</f>
        <v>0</v>
      </c>
      <c r="AF31" s="293">
        <f ca="1">SUMIFS(Аренда!AF$26:AF$51,Аренда!$F$26:$F$51,$F31,Аренда!$G$26:$G$51,$G31)</f>
        <v>0</v>
      </c>
      <c r="AG31" s="40">
        <f ca="1">SUMIFS(Аренда!AG$26:AG$51,Аренда!$F$26:$F$51,$F31,Аренда!$G$26:$G$51,$G31)</f>
        <v>0</v>
      </c>
      <c r="AH31" s="293">
        <f t="shared" ca="1" si="9"/>
        <v>0</v>
      </c>
      <c r="AI31" s="293">
        <f ca="1">SUMIFS(Аренда!AH$26:AH$51,Аренда!$F$26:$F$51,$F31,Аренда!$G$26:$G$51,$G31)</f>
        <v>0</v>
      </c>
      <c r="AJ31" s="293">
        <f ca="1">SUMIFS(Аренда!AI$26:AI$51,Аренда!$F$26:$F$51,$F31,Аренда!$G$26:$G$51,$G31)</f>
        <v>0</v>
      </c>
      <c r="AK31" s="293">
        <f ca="1">SUMIFS(Аренда!AJ$26:AJ$51,Аренда!$F$26:$F$51,$F31,Аренда!$G$26:$G$51,$G31)</f>
        <v>0</v>
      </c>
      <c r="AL31" s="293">
        <f ca="1">SUMIFS(Аренда!AK$26:AK$51,Аренда!$F$26:$F$51,$F31,Аренда!$G$26:$G$51,$G31)</f>
        <v>0</v>
      </c>
      <c r="AM31" s="293">
        <f ca="1">SUMIFS(Аренда!AL$26:AL$51,Аренда!$F$26:$F$51,$F31,Аренда!$G$26:$G$51,$G31)</f>
        <v>0</v>
      </c>
      <c r="AN31" s="293">
        <f ca="1">SUMIFS(Аренда!AM$26:AM$51,Аренда!$F$26:$F$51,$F31,Аренда!$G$26:$G$51,$G31)</f>
        <v>0</v>
      </c>
      <c r="AO31" s="293">
        <f ca="1">SUMIFS(Аренда!AN$26:AN$51,Аренда!$F$26:$F$51,$F31,Аренда!$G$26:$G$51,$G31)</f>
        <v>0</v>
      </c>
      <c r="AP31" s="293">
        <f ca="1">SUMIFS(Аренда!AO$26:AO$51,Аренда!$F$26:$F$51,$F31,Аренда!$G$26:$G$51,$G31)</f>
        <v>0</v>
      </c>
      <c r="AQ31" s="293">
        <f ca="1">SUMIFS(Аренда!AP$26:AP$51,Аренда!$F$26:$F$51,$F31,Аренда!$G$26:$G$51,$G31)</f>
        <v>0</v>
      </c>
      <c r="AR31" s="293">
        <f ca="1">SUMIFS(Аренда!AQ$26:AQ$51,Аренда!$F$26:$F$51,$F31,Аренда!$G$26:$G$51,$G31)</f>
        <v>0</v>
      </c>
      <c r="AS31" s="293">
        <f ca="1">SUMIFS(Аренда!AR$26:AR$51,Аренда!$F$26:$F$51,$F31,Аренда!$G$26:$G$51,$G31)</f>
        <v>0</v>
      </c>
      <c r="AT31" s="293">
        <f ca="1">SUMIFS(Аренда!AS$26:AS$51,Аренда!$F$26:$F$51,$F31,Аренда!$G$26:$G$51,$G31)</f>
        <v>0</v>
      </c>
      <c r="AU31" s="293">
        <f ca="1">SUMIFS(Аренда!AT$26:AT$51,Аренда!$F$26:$F$51,$F31,Аренда!$G$26:$G$51,$G31)</f>
        <v>0</v>
      </c>
      <c r="AV31" s="293">
        <f ca="1">SUMIFS(Аренда!AU$26:AU$51,Аренда!$F$26:$F$51,$F31,Аренда!$G$26:$G$51,$G31)</f>
        <v>0</v>
      </c>
      <c r="AW31" s="293">
        <f ca="1">SUMIFS(Аренда!AV$26:AV$51,Аренда!$F$26:$F$51,$F31,Аренда!$G$26:$G$51,$G31)</f>
        <v>0</v>
      </c>
      <c r="AX31" s="293">
        <f ca="1">SUMIFS(Аренда!AW$26:AW$51,Аренда!$F$26:$F$51,$F31,Аренда!$G$26:$G$51,$G31)</f>
        <v>0</v>
      </c>
      <c r="AY31" s="293">
        <f ca="1">SUMIFS(Аренда!AX$26:AX$51,Аренда!$F$26:$F$51,$F31,Аренда!$G$26:$G$51,$G31)</f>
        <v>0</v>
      </c>
      <c r="AZ31" s="293">
        <f ca="1">SUMIFS(Аренда!AY$26:AY$51,Аренда!$F$26:$F$51,$F31,Аренда!$G$26:$G$51,$G31)</f>
        <v>0</v>
      </c>
      <c r="BA31" s="293">
        <f ca="1">SUMIFS(Аренда!AZ$26:AZ$51,Аренда!$F$26:$F$51,$F31,Аренда!$G$26:$G$51,$G31)</f>
        <v>0</v>
      </c>
      <c r="BB31" s="293">
        <f ca="1">SUMIFS(Аренда!BA$26:BA$51,Аренда!$F$26:$F$51,$F31,Аренда!$G$26:$G$51,$G31)</f>
        <v>0</v>
      </c>
      <c r="BC31" s="293">
        <f ca="1">SUMIFS(Аренда!BB$26:BB$51,Аренда!$F$26:$F$51,$F31,Аренда!$G$26:$G$51,$G31)</f>
        <v>0</v>
      </c>
      <c r="BD31" s="293">
        <f t="shared" ca="1" si="10"/>
        <v>0</v>
      </c>
      <c r="BE31" s="293">
        <f t="shared" ca="1" si="11"/>
        <v>0</v>
      </c>
      <c r="BF31" s="293">
        <f t="shared" ca="1" si="12"/>
        <v>0</v>
      </c>
      <c r="BG31" s="293">
        <f t="shared" ca="1" si="13"/>
        <v>0</v>
      </c>
      <c r="BH31" s="293">
        <f t="shared" ca="1" si="14"/>
        <v>0</v>
      </c>
      <c r="BI31" s="293">
        <f t="shared" ca="1" si="15"/>
        <v>0</v>
      </c>
      <c r="BJ31" s="293">
        <f t="shared" ca="1" si="16"/>
        <v>0</v>
      </c>
      <c r="BK31" s="293">
        <f t="shared" ca="1" si="17"/>
        <v>0</v>
      </c>
      <c r="BL31" s="293">
        <f t="shared" ca="1" si="18"/>
        <v>0</v>
      </c>
      <c r="BM31" s="293">
        <f t="shared" ca="1" si="19"/>
        <v>0</v>
      </c>
      <c r="BN31" s="22"/>
      <c r="BO31" s="22"/>
      <c r="BP31" s="22"/>
      <c r="BS31" s="912" t="s">
        <v>1159</v>
      </c>
    </row>
    <row r="32" spans="1:71" ht="14.65" hidden="1" customHeight="1">
      <c r="E32" s="623">
        <v>15</v>
      </c>
      <c r="F32" s="714">
        <f t="shared" ca="1" si="6"/>
        <v>0</v>
      </c>
      <c r="T32" s="634" t="b">
        <f t="shared" si="7"/>
        <v>0</v>
      </c>
      <c r="X32" s="1405"/>
      <c r="Z32" s="1405"/>
      <c r="AB32" s="99" t="s">
        <v>753</v>
      </c>
      <c r="AC32" s="105" t="s">
        <v>1160</v>
      </c>
      <c r="AD32" s="99" t="s">
        <v>648</v>
      </c>
      <c r="AE32" s="469">
        <f ca="1">SUM(AE33:AE35)</f>
        <v>0</v>
      </c>
      <c r="AF32" s="469">
        <f ca="1">SUM(AF33:AF35)</f>
        <v>0</v>
      </c>
      <c r="AG32" s="60">
        <f ca="1">SUM(AG33:AG35)</f>
        <v>0</v>
      </c>
      <c r="AH32" s="293">
        <f t="shared" ca="1" si="9"/>
        <v>0</v>
      </c>
      <c r="AI32" s="469">
        <f t="shared" ref="AI32:BC32" ca="1" si="20">SUM(AI33:AI35)</f>
        <v>0</v>
      </c>
      <c r="AJ32" s="469">
        <f t="shared" ca="1" si="20"/>
        <v>0</v>
      </c>
      <c r="AK32" s="469">
        <f t="shared" ca="1" si="20"/>
        <v>0</v>
      </c>
      <c r="AL32" s="469">
        <f t="shared" ca="1" si="20"/>
        <v>0</v>
      </c>
      <c r="AM32" s="469">
        <f t="shared" ca="1" si="20"/>
        <v>0</v>
      </c>
      <c r="AN32" s="469">
        <f t="shared" ca="1" si="20"/>
        <v>0</v>
      </c>
      <c r="AO32" s="469">
        <f t="shared" ca="1" si="20"/>
        <v>0</v>
      </c>
      <c r="AP32" s="469">
        <f t="shared" ca="1" si="20"/>
        <v>0</v>
      </c>
      <c r="AQ32" s="469">
        <f t="shared" ca="1" si="20"/>
        <v>0</v>
      </c>
      <c r="AR32" s="469">
        <f t="shared" ca="1" si="20"/>
        <v>0</v>
      </c>
      <c r="AS32" s="469">
        <f t="shared" ca="1" si="20"/>
        <v>0</v>
      </c>
      <c r="AT32" s="469">
        <f t="shared" ca="1" si="20"/>
        <v>0</v>
      </c>
      <c r="AU32" s="469">
        <f t="shared" ca="1" si="20"/>
        <v>0</v>
      </c>
      <c r="AV32" s="469">
        <f t="shared" ca="1" si="20"/>
        <v>0</v>
      </c>
      <c r="AW32" s="469">
        <f t="shared" ca="1" si="20"/>
        <v>0</v>
      </c>
      <c r="AX32" s="469">
        <f t="shared" ca="1" si="20"/>
        <v>0</v>
      </c>
      <c r="AY32" s="469">
        <f t="shared" ca="1" si="20"/>
        <v>0</v>
      </c>
      <c r="AZ32" s="469">
        <f t="shared" ca="1" si="20"/>
        <v>0</v>
      </c>
      <c r="BA32" s="469">
        <f t="shared" ca="1" si="20"/>
        <v>0</v>
      </c>
      <c r="BB32" s="469">
        <f t="shared" ca="1" si="20"/>
        <v>0</v>
      </c>
      <c r="BC32" s="469">
        <f t="shared" ca="1" si="20"/>
        <v>0</v>
      </c>
      <c r="BD32" s="293">
        <f t="shared" ca="1" si="10"/>
        <v>0</v>
      </c>
      <c r="BE32" s="293">
        <f t="shared" ca="1" si="11"/>
        <v>0</v>
      </c>
      <c r="BF32" s="293">
        <f t="shared" ca="1" si="12"/>
        <v>0</v>
      </c>
      <c r="BG32" s="293">
        <f t="shared" ca="1" si="13"/>
        <v>0</v>
      </c>
      <c r="BH32" s="293">
        <f t="shared" ca="1" si="14"/>
        <v>0</v>
      </c>
      <c r="BI32" s="293">
        <f t="shared" ca="1" si="15"/>
        <v>0</v>
      </c>
      <c r="BJ32" s="293">
        <f t="shared" ca="1" si="16"/>
        <v>0</v>
      </c>
      <c r="BK32" s="293">
        <f t="shared" ca="1" si="17"/>
        <v>0</v>
      </c>
      <c r="BL32" s="293">
        <f t="shared" ca="1" si="18"/>
        <v>0</v>
      </c>
      <c r="BM32" s="293">
        <f t="shared" ca="1" si="19"/>
        <v>0</v>
      </c>
      <c r="BN32" s="22"/>
      <c r="BO32" s="22"/>
      <c r="BP32" s="22"/>
      <c r="BS32" s="912" t="s">
        <v>1161</v>
      </c>
    </row>
    <row r="33" spans="1:71" ht="39.4" hidden="1" customHeight="1">
      <c r="E33" s="623">
        <v>40.5</v>
      </c>
      <c r="F33" s="714">
        <f t="shared" ca="1" si="6"/>
        <v>0</v>
      </c>
      <c r="G33" s="130" t="s">
        <v>1062</v>
      </c>
      <c r="T33" s="634" t="b">
        <f t="shared" si="7"/>
        <v>0</v>
      </c>
      <c r="X33" s="1405"/>
      <c r="Z33" s="1405"/>
      <c r="AB33" s="99" t="s">
        <v>845</v>
      </c>
      <c r="AC33" s="105" t="s">
        <v>1063</v>
      </c>
      <c r="AD33" s="99" t="s">
        <v>648</v>
      </c>
      <c r="AE33" s="469">
        <f ca="1">SUMIFS(Налоги!AE$26:AE$55,Налоги!$F$26:$F$55,$F33,Налоги!$G$26:$G$55,$G33)</f>
        <v>0</v>
      </c>
      <c r="AF33" s="469">
        <f ca="1">SUMIFS(Налоги!AF$26:AF$55,Налоги!$F$26:$F$55,$F33,Налоги!$G$26:$G$55,$G33)</f>
        <v>0</v>
      </c>
      <c r="AG33" s="60">
        <f ca="1">SUMIFS(Налоги!AG$26:AG$55,Налоги!$F$26:$F$55,$F33,Налоги!$G$26:$G$55,$G33)</f>
        <v>0</v>
      </c>
      <c r="AH33" s="293">
        <f t="shared" ca="1" si="9"/>
        <v>0</v>
      </c>
      <c r="AI33" s="469">
        <f ca="1">SUMIFS(Налоги!AH$26:AH$55,Налоги!$F$26:$F$55,$F33,Налоги!$G$26:$G$55,$G33)</f>
        <v>0</v>
      </c>
      <c r="AJ33" s="469">
        <f ca="1">SUMIFS(Налоги!AI$26:AI$55,Налоги!$F$26:$F$55,$F33,Налоги!$G$26:$G$55,$G33)</f>
        <v>0</v>
      </c>
      <c r="AK33" s="469">
        <f ca="1">SUMIFS(Налоги!AJ$26:AJ$55,Налоги!$F$26:$F$55,$F33,Налоги!$G$26:$G$55,$G33)</f>
        <v>0</v>
      </c>
      <c r="AL33" s="469">
        <f ca="1">SUMIFS(Налоги!AK$26:AK$55,Налоги!$F$26:$F$55,$F33,Налоги!$G$26:$G$55,$G33)</f>
        <v>0</v>
      </c>
      <c r="AM33" s="469">
        <f ca="1">SUMIFS(Налоги!AL$26:AL$55,Налоги!$F$26:$F$55,$F33,Налоги!$G$26:$G$55,$G33)</f>
        <v>0</v>
      </c>
      <c r="AN33" s="469">
        <f ca="1">SUMIFS(Налоги!AM$26:AM$55,Налоги!$F$26:$F$55,$F33,Налоги!$G$26:$G$55,$G33)</f>
        <v>0</v>
      </c>
      <c r="AO33" s="469">
        <f ca="1">SUMIFS(Налоги!AN$26:AN$55,Налоги!$F$26:$F$55,$F33,Налоги!$G$26:$G$55,$G33)</f>
        <v>0</v>
      </c>
      <c r="AP33" s="469">
        <f ca="1">SUMIFS(Налоги!AO$26:AO$55,Налоги!$F$26:$F$55,$F33,Налоги!$G$26:$G$55,$G33)</f>
        <v>0</v>
      </c>
      <c r="AQ33" s="469">
        <f ca="1">SUMIFS(Налоги!AP$26:AP$55,Налоги!$F$26:$F$55,$F33,Налоги!$G$26:$G$55,$G33)</f>
        <v>0</v>
      </c>
      <c r="AR33" s="469">
        <f ca="1">SUMIFS(Налоги!AQ$26:AQ$55,Налоги!$F$26:$F$55,$F33,Налоги!$G$26:$G$55,$G33)</f>
        <v>0</v>
      </c>
      <c r="AS33" s="469">
        <f ca="1">SUMIFS(Налоги!AR$26:AR$55,Налоги!$F$26:$F$55,$F33,Налоги!$G$26:$G$55,$G33)</f>
        <v>0</v>
      </c>
      <c r="AT33" s="469">
        <f ca="1">SUMIFS(Налоги!AS$26:AS$55,Налоги!$F$26:$F$55,$F33,Налоги!$G$26:$G$55,$G33)</f>
        <v>0</v>
      </c>
      <c r="AU33" s="469">
        <f ca="1">SUMIFS(Налоги!AT$26:AT$55,Налоги!$F$26:$F$55,$F33,Налоги!$G$26:$G$55,$G33)</f>
        <v>0</v>
      </c>
      <c r="AV33" s="469">
        <f ca="1">SUMIFS(Налоги!AU$26:AU$55,Налоги!$F$26:$F$55,$F33,Налоги!$G$26:$G$55,$G33)</f>
        <v>0</v>
      </c>
      <c r="AW33" s="469">
        <f ca="1">SUMIFS(Налоги!AV$26:AV$55,Налоги!$F$26:$F$55,$F33,Налоги!$G$26:$G$55,$G33)</f>
        <v>0</v>
      </c>
      <c r="AX33" s="469">
        <f ca="1">SUMIFS(Налоги!AW$26:AW$55,Налоги!$F$26:$F$55,$F33,Налоги!$G$26:$G$55,$G33)</f>
        <v>0</v>
      </c>
      <c r="AY33" s="469">
        <f ca="1">SUMIFS(Налоги!AX$26:AX$55,Налоги!$F$26:$F$55,$F33,Налоги!$G$26:$G$55,$G33)</f>
        <v>0</v>
      </c>
      <c r="AZ33" s="469">
        <f ca="1">SUMIFS(Налоги!AY$26:AY$55,Налоги!$F$26:$F$55,$F33,Налоги!$G$26:$G$55,$G33)</f>
        <v>0</v>
      </c>
      <c r="BA33" s="469">
        <f ca="1">SUMIFS(Налоги!AZ$26:AZ$55,Налоги!$F$26:$F$55,$F33,Налоги!$G$26:$G$55,$G33)</f>
        <v>0</v>
      </c>
      <c r="BB33" s="469">
        <f ca="1">SUMIFS(Налоги!BA$26:BA$55,Налоги!$F$26:$F$55,$F33,Налоги!$G$26:$G$55,$G33)</f>
        <v>0</v>
      </c>
      <c r="BC33" s="469">
        <f ca="1">SUMIFS(Налоги!BB$26:BB$55,Налоги!$F$26:$F$55,$F33,Налоги!$G$26:$G$55,$G33)</f>
        <v>0</v>
      </c>
      <c r="BD33" s="293">
        <f t="shared" ca="1" si="10"/>
        <v>0</v>
      </c>
      <c r="BE33" s="293">
        <f t="shared" ca="1" si="11"/>
        <v>0</v>
      </c>
      <c r="BF33" s="293">
        <f t="shared" ca="1" si="12"/>
        <v>0</v>
      </c>
      <c r="BG33" s="293">
        <f t="shared" ca="1" si="13"/>
        <v>0</v>
      </c>
      <c r="BH33" s="293">
        <f t="shared" ca="1" si="14"/>
        <v>0</v>
      </c>
      <c r="BI33" s="293">
        <f t="shared" ca="1" si="15"/>
        <v>0</v>
      </c>
      <c r="BJ33" s="293">
        <f t="shared" ca="1" si="16"/>
        <v>0</v>
      </c>
      <c r="BK33" s="293">
        <f t="shared" ca="1" si="17"/>
        <v>0</v>
      </c>
      <c r="BL33" s="293">
        <f t="shared" ca="1" si="18"/>
        <v>0</v>
      </c>
      <c r="BM33" s="293">
        <f t="shared" ca="1" si="19"/>
        <v>0</v>
      </c>
      <c r="BN33" s="22"/>
      <c r="BO33" s="22"/>
      <c r="BP33" s="22"/>
      <c r="BS33" s="912" t="s">
        <v>1162</v>
      </c>
    </row>
    <row r="34" spans="1:71" s="172" customFormat="1" ht="14.65" hidden="1" customHeight="1">
      <c r="E34" s="623">
        <v>15</v>
      </c>
      <c r="F34" s="714">
        <f t="shared" ca="1" si="6"/>
        <v>0</v>
      </c>
      <c r="G34" s="130" t="s">
        <v>1069</v>
      </c>
      <c r="T34" s="634" t="b">
        <f t="shared" si="7"/>
        <v>0</v>
      </c>
      <c r="X34" s="1499"/>
      <c r="Z34" s="1499"/>
      <c r="AB34" s="99" t="s">
        <v>848</v>
      </c>
      <c r="AC34" s="105" t="s">
        <v>1163</v>
      </c>
      <c r="AD34" s="99" t="s">
        <v>648</v>
      </c>
      <c r="AE34" s="469">
        <f ca="1">SUMIFS(Налоги!AE$26:AE$55,Налоги!$F$26:$F$55,$F34,Налоги!$G$26:$G$55,$G34)</f>
        <v>0</v>
      </c>
      <c r="AF34" s="469">
        <f ca="1">SUMIFS(Налоги!AF$26:AF$55,Налоги!$F$26:$F$55,$F34,Налоги!$G$26:$G$55,$G34)</f>
        <v>0</v>
      </c>
      <c r="AG34" s="60">
        <f ca="1">SUMIFS(Налоги!AG$26:AG$55,Налоги!$F$26:$F$55,$F34,Налоги!$G$26:$G$55,$G34)</f>
        <v>0</v>
      </c>
      <c r="AH34" s="293">
        <f t="shared" ca="1" si="9"/>
        <v>0</v>
      </c>
      <c r="AI34" s="469">
        <f ca="1">SUMIFS(Налоги!AH$26:AH$55,Налоги!$F$26:$F$55,$F34,Налоги!$G$26:$G$55,$G34)</f>
        <v>0</v>
      </c>
      <c r="AJ34" s="469">
        <f ca="1">SUMIFS(Налоги!AI$26:AI$55,Налоги!$F$26:$F$55,$F34,Налоги!$G$26:$G$55,$G34)</f>
        <v>0</v>
      </c>
      <c r="AK34" s="469">
        <f ca="1">SUMIFS(Налоги!AJ$26:AJ$55,Налоги!$F$26:$F$55,$F34,Налоги!$G$26:$G$55,$G34)</f>
        <v>0</v>
      </c>
      <c r="AL34" s="469">
        <f ca="1">SUMIFS(Налоги!AK$26:AK$55,Налоги!$F$26:$F$55,$F34,Налоги!$G$26:$G$55,$G34)</f>
        <v>0</v>
      </c>
      <c r="AM34" s="469">
        <f ca="1">SUMIFS(Налоги!AL$26:AL$55,Налоги!$F$26:$F$55,$F34,Налоги!$G$26:$G$55,$G34)</f>
        <v>0</v>
      </c>
      <c r="AN34" s="469">
        <f ca="1">SUMIFS(Налоги!AM$26:AM$55,Налоги!$F$26:$F$55,$F34,Налоги!$G$26:$G$55,$G34)</f>
        <v>0</v>
      </c>
      <c r="AO34" s="469">
        <f ca="1">SUMIFS(Налоги!AN$26:AN$55,Налоги!$F$26:$F$55,$F34,Налоги!$G$26:$G$55,$G34)</f>
        <v>0</v>
      </c>
      <c r="AP34" s="469">
        <f ca="1">SUMIFS(Налоги!AO$26:AO$55,Налоги!$F$26:$F$55,$F34,Налоги!$G$26:$G$55,$G34)</f>
        <v>0</v>
      </c>
      <c r="AQ34" s="469">
        <f ca="1">SUMIFS(Налоги!AP$26:AP$55,Налоги!$F$26:$F$55,$F34,Налоги!$G$26:$G$55,$G34)</f>
        <v>0</v>
      </c>
      <c r="AR34" s="469">
        <f ca="1">SUMIFS(Налоги!AQ$26:AQ$55,Налоги!$F$26:$F$55,$F34,Налоги!$G$26:$G$55,$G34)</f>
        <v>0</v>
      </c>
      <c r="AS34" s="469">
        <f ca="1">SUMIFS(Налоги!AR$26:AR$55,Налоги!$F$26:$F$55,$F34,Налоги!$G$26:$G$55,$G34)</f>
        <v>0</v>
      </c>
      <c r="AT34" s="469">
        <f ca="1">SUMIFS(Налоги!AS$26:AS$55,Налоги!$F$26:$F$55,$F34,Налоги!$G$26:$G$55,$G34)</f>
        <v>0</v>
      </c>
      <c r="AU34" s="469">
        <f ca="1">SUMIFS(Налоги!AT$26:AT$55,Налоги!$F$26:$F$55,$F34,Налоги!$G$26:$G$55,$G34)</f>
        <v>0</v>
      </c>
      <c r="AV34" s="469">
        <f ca="1">SUMIFS(Налоги!AU$26:AU$55,Налоги!$F$26:$F$55,$F34,Налоги!$G$26:$G$55,$G34)</f>
        <v>0</v>
      </c>
      <c r="AW34" s="469">
        <f ca="1">SUMIFS(Налоги!AV$26:AV$55,Налоги!$F$26:$F$55,$F34,Налоги!$G$26:$G$55,$G34)</f>
        <v>0</v>
      </c>
      <c r="AX34" s="469">
        <f ca="1">SUMIFS(Налоги!AW$26:AW$55,Налоги!$F$26:$F$55,$F34,Налоги!$G$26:$G$55,$G34)</f>
        <v>0</v>
      </c>
      <c r="AY34" s="469">
        <f ca="1">SUMIFS(Налоги!AX$26:AX$55,Налоги!$F$26:$F$55,$F34,Налоги!$G$26:$G$55,$G34)</f>
        <v>0</v>
      </c>
      <c r="AZ34" s="469">
        <f ca="1">SUMIFS(Налоги!AY$26:AY$55,Налоги!$F$26:$F$55,$F34,Налоги!$G$26:$G$55,$G34)</f>
        <v>0</v>
      </c>
      <c r="BA34" s="469">
        <f ca="1">SUMIFS(Налоги!AZ$26:AZ$55,Налоги!$F$26:$F$55,$F34,Налоги!$G$26:$G$55,$G34)</f>
        <v>0</v>
      </c>
      <c r="BB34" s="469">
        <f ca="1">SUMIFS(Налоги!BA$26:BA$55,Налоги!$F$26:$F$55,$F34,Налоги!$G$26:$G$55,$G34)</f>
        <v>0</v>
      </c>
      <c r="BC34" s="469">
        <f ca="1">SUMIFS(Налоги!BB$26:BB$55,Налоги!$F$26:$F$55,$F34,Налоги!$G$26:$G$55,$G34)</f>
        <v>0</v>
      </c>
      <c r="BD34" s="293">
        <f t="shared" ca="1" si="10"/>
        <v>0</v>
      </c>
      <c r="BE34" s="293">
        <f t="shared" ca="1" si="11"/>
        <v>0</v>
      </c>
      <c r="BF34" s="293">
        <f t="shared" ca="1" si="12"/>
        <v>0</v>
      </c>
      <c r="BG34" s="293">
        <f t="shared" ca="1" si="13"/>
        <v>0</v>
      </c>
      <c r="BH34" s="293">
        <f t="shared" ca="1" si="14"/>
        <v>0</v>
      </c>
      <c r="BI34" s="293">
        <f t="shared" ca="1" si="15"/>
        <v>0</v>
      </c>
      <c r="BJ34" s="293">
        <f t="shared" ca="1" si="16"/>
        <v>0</v>
      </c>
      <c r="BK34" s="293">
        <f t="shared" ca="1" si="17"/>
        <v>0</v>
      </c>
      <c r="BL34" s="293">
        <f t="shared" ca="1" si="18"/>
        <v>0</v>
      </c>
      <c r="BM34" s="293">
        <f t="shared" ca="1" si="19"/>
        <v>0</v>
      </c>
      <c r="BN34" s="22"/>
      <c r="BO34" s="22"/>
      <c r="BP34" s="22"/>
      <c r="BS34" s="912" t="s">
        <v>1164</v>
      </c>
    </row>
    <row r="35" spans="1:71" s="172" customFormat="1" ht="14.65" hidden="1" customHeight="1">
      <c r="E35" s="623">
        <v>15</v>
      </c>
      <c r="F35" s="714">
        <f t="shared" ca="1" si="6"/>
        <v>0</v>
      </c>
      <c r="G35" s="130" t="s">
        <v>1065</v>
      </c>
      <c r="T35" s="634" t="b">
        <f t="shared" si="7"/>
        <v>0</v>
      </c>
      <c r="X35" s="1499"/>
      <c r="Z35" s="1499"/>
      <c r="AB35" s="99" t="s">
        <v>851</v>
      </c>
      <c r="AC35" s="105" t="s">
        <v>1165</v>
      </c>
      <c r="AD35" s="99" t="s">
        <v>648</v>
      </c>
      <c r="AE35" s="469">
        <f ca="1">SUMIFS(Налоги!AE$26:AE$55,Налоги!$F$26:$F$55,$F35,Налоги!$G$26:$G$55,$G35)</f>
        <v>0</v>
      </c>
      <c r="AF35" s="469">
        <f ca="1">SUMIFS(Налоги!AF$26:AF$55,Налоги!$F$26:$F$55,$F35,Налоги!$G$26:$G$55,$G35)</f>
        <v>0</v>
      </c>
      <c r="AG35" s="60">
        <f ca="1">SUMIFS(Налоги!AG$26:AG$55,Налоги!$F$26:$F$55,$F35,Налоги!$G$26:$G$55,$G35)</f>
        <v>0</v>
      </c>
      <c r="AH35" s="293">
        <f t="shared" ca="1" si="9"/>
        <v>0</v>
      </c>
      <c r="AI35" s="469">
        <f ca="1">SUMIFS(Налоги!AH$26:AH$55,Налоги!$F$26:$F$55,$F35,Налоги!$G$26:$G$55,$G35)</f>
        <v>0</v>
      </c>
      <c r="AJ35" s="469">
        <f ca="1">SUMIFS(Налоги!AI$26:AI$55,Налоги!$F$26:$F$55,$F35,Налоги!$G$26:$G$55,$G35)</f>
        <v>0</v>
      </c>
      <c r="AK35" s="469">
        <f ca="1">SUMIFS(Налоги!AJ$26:AJ$55,Налоги!$F$26:$F$55,$F35,Налоги!$G$26:$G$55,$G35)</f>
        <v>0</v>
      </c>
      <c r="AL35" s="469">
        <f ca="1">SUMIFS(Налоги!AK$26:AK$55,Налоги!$F$26:$F$55,$F35,Налоги!$G$26:$G$55,$G35)</f>
        <v>0</v>
      </c>
      <c r="AM35" s="469">
        <f ca="1">SUMIFS(Налоги!AL$26:AL$55,Налоги!$F$26:$F$55,$F35,Налоги!$G$26:$G$55,$G35)</f>
        <v>0</v>
      </c>
      <c r="AN35" s="469">
        <f ca="1">SUMIFS(Налоги!AM$26:AM$55,Налоги!$F$26:$F$55,$F35,Налоги!$G$26:$G$55,$G35)</f>
        <v>0</v>
      </c>
      <c r="AO35" s="469">
        <f ca="1">SUMIFS(Налоги!AN$26:AN$55,Налоги!$F$26:$F$55,$F35,Налоги!$G$26:$G$55,$G35)</f>
        <v>0</v>
      </c>
      <c r="AP35" s="469">
        <f ca="1">SUMIFS(Налоги!AO$26:AO$55,Налоги!$F$26:$F$55,$F35,Налоги!$G$26:$G$55,$G35)</f>
        <v>0</v>
      </c>
      <c r="AQ35" s="469">
        <f ca="1">SUMIFS(Налоги!AP$26:AP$55,Налоги!$F$26:$F$55,$F35,Налоги!$G$26:$G$55,$G35)</f>
        <v>0</v>
      </c>
      <c r="AR35" s="469">
        <f ca="1">SUMIFS(Налоги!AQ$26:AQ$55,Налоги!$F$26:$F$55,$F35,Налоги!$G$26:$G$55,$G35)</f>
        <v>0</v>
      </c>
      <c r="AS35" s="469">
        <f ca="1">SUMIFS(Налоги!AR$26:AR$55,Налоги!$F$26:$F$55,$F35,Налоги!$G$26:$G$55,$G35)</f>
        <v>0</v>
      </c>
      <c r="AT35" s="469">
        <f ca="1">SUMIFS(Налоги!AS$26:AS$55,Налоги!$F$26:$F$55,$F35,Налоги!$G$26:$G$55,$G35)</f>
        <v>0</v>
      </c>
      <c r="AU35" s="469">
        <f ca="1">SUMIFS(Налоги!AT$26:AT$55,Налоги!$F$26:$F$55,$F35,Налоги!$G$26:$G$55,$G35)</f>
        <v>0</v>
      </c>
      <c r="AV35" s="469">
        <f ca="1">SUMIFS(Налоги!AU$26:AU$55,Налоги!$F$26:$F$55,$F35,Налоги!$G$26:$G$55,$G35)</f>
        <v>0</v>
      </c>
      <c r="AW35" s="469">
        <f ca="1">SUMIFS(Налоги!AV$26:AV$55,Налоги!$F$26:$F$55,$F35,Налоги!$G$26:$G$55,$G35)</f>
        <v>0</v>
      </c>
      <c r="AX35" s="469">
        <f ca="1">SUMIFS(Налоги!AW$26:AW$55,Налоги!$F$26:$F$55,$F35,Налоги!$G$26:$G$55,$G35)</f>
        <v>0</v>
      </c>
      <c r="AY35" s="469">
        <f ca="1">SUMIFS(Налоги!AX$26:AX$55,Налоги!$F$26:$F$55,$F35,Налоги!$G$26:$G$55,$G35)</f>
        <v>0</v>
      </c>
      <c r="AZ35" s="469">
        <f ca="1">SUMIFS(Налоги!AY$26:AY$55,Налоги!$F$26:$F$55,$F35,Налоги!$G$26:$G$55,$G35)</f>
        <v>0</v>
      </c>
      <c r="BA35" s="469">
        <f ca="1">SUMIFS(Налоги!AZ$26:AZ$55,Налоги!$F$26:$F$55,$F35,Налоги!$G$26:$G$55,$G35)</f>
        <v>0</v>
      </c>
      <c r="BB35" s="469">
        <f ca="1">SUMIFS(Налоги!BA$26:BA$55,Налоги!$F$26:$F$55,$F35,Налоги!$G$26:$G$55,$G35)</f>
        <v>0</v>
      </c>
      <c r="BC35" s="469">
        <f ca="1">SUMIFS(Налоги!BB$26:BB$55,Налоги!$F$26:$F$55,$F35,Налоги!$G$26:$G$55,$G35)</f>
        <v>0</v>
      </c>
      <c r="BD35" s="293">
        <f t="shared" ca="1" si="10"/>
        <v>0</v>
      </c>
      <c r="BE35" s="293">
        <f t="shared" ca="1" si="11"/>
        <v>0</v>
      </c>
      <c r="BF35" s="293">
        <f t="shared" ca="1" si="12"/>
        <v>0</v>
      </c>
      <c r="BG35" s="293">
        <f t="shared" ca="1" si="13"/>
        <v>0</v>
      </c>
      <c r="BH35" s="293">
        <f t="shared" ca="1" si="14"/>
        <v>0</v>
      </c>
      <c r="BI35" s="293">
        <f t="shared" ca="1" si="15"/>
        <v>0</v>
      </c>
      <c r="BJ35" s="293">
        <f t="shared" ca="1" si="16"/>
        <v>0</v>
      </c>
      <c r="BK35" s="293">
        <f t="shared" ca="1" si="17"/>
        <v>0</v>
      </c>
      <c r="BL35" s="293">
        <f t="shared" ca="1" si="18"/>
        <v>0</v>
      </c>
      <c r="BM35" s="293">
        <f t="shared" ca="1" si="19"/>
        <v>0</v>
      </c>
      <c r="BN35" s="22"/>
      <c r="BO35" s="22"/>
      <c r="BP35" s="22"/>
      <c r="BS35" s="912" t="s">
        <v>1085</v>
      </c>
    </row>
    <row r="36" spans="1:71" ht="14.65" hidden="1" customHeight="1">
      <c r="E36" s="623">
        <v>15</v>
      </c>
      <c r="F36" s="714">
        <f t="shared" ca="1" si="6"/>
        <v>0</v>
      </c>
      <c r="T36" s="634" t="b">
        <f t="shared" si="7"/>
        <v>0</v>
      </c>
      <c r="X36" s="1405"/>
      <c r="Z36" s="1405"/>
      <c r="AB36" s="99" t="s">
        <v>860</v>
      </c>
      <c r="AC36" s="105" t="s">
        <v>1166</v>
      </c>
      <c r="AD36" s="99" t="s">
        <v>648</v>
      </c>
      <c r="AE36" s="60"/>
      <c r="AF36" s="60"/>
      <c r="AG36" s="60"/>
      <c r="AH36" s="293">
        <f t="shared" si="9"/>
        <v>0</v>
      </c>
      <c r="AI36" s="60"/>
      <c r="AJ36" s="471"/>
      <c r="AK36" s="1181"/>
      <c r="AL36" s="1181"/>
      <c r="AM36" s="60"/>
      <c r="AN36" s="60"/>
      <c r="AO36" s="60"/>
      <c r="AP36" s="60"/>
      <c r="AQ36" s="60"/>
      <c r="AR36" s="60"/>
      <c r="AS36" s="60"/>
      <c r="AT36" s="471"/>
      <c r="AU36" s="1181"/>
      <c r="AV36" s="1181"/>
      <c r="AW36" s="60"/>
      <c r="AX36" s="60"/>
      <c r="AY36" s="60"/>
      <c r="AZ36" s="60"/>
      <c r="BA36" s="60"/>
      <c r="BB36" s="60"/>
      <c r="BC36" s="60"/>
      <c r="BD36" s="293">
        <f t="shared" si="10"/>
        <v>0</v>
      </c>
      <c r="BE36" s="293">
        <f t="shared" si="11"/>
        <v>0</v>
      </c>
      <c r="BF36" s="293">
        <f t="shared" si="12"/>
        <v>0</v>
      </c>
      <c r="BG36" s="293">
        <f t="shared" si="13"/>
        <v>0</v>
      </c>
      <c r="BH36" s="293">
        <f t="shared" si="14"/>
        <v>0</v>
      </c>
      <c r="BI36" s="293">
        <f t="shared" si="15"/>
        <v>0</v>
      </c>
      <c r="BJ36" s="293">
        <f t="shared" si="16"/>
        <v>0</v>
      </c>
      <c r="BK36" s="293">
        <f t="shared" si="17"/>
        <v>0</v>
      </c>
      <c r="BL36" s="293">
        <f t="shared" si="18"/>
        <v>0</v>
      </c>
      <c r="BM36" s="293">
        <f t="shared" si="19"/>
        <v>0</v>
      </c>
      <c r="BN36" s="22"/>
      <c r="BO36" s="22"/>
      <c r="BP36" s="22"/>
      <c r="BS36" s="912" t="s">
        <v>1167</v>
      </c>
    </row>
    <row r="37" spans="1:71" ht="14.65" hidden="1" customHeight="1">
      <c r="E37" s="623">
        <v>15</v>
      </c>
      <c r="F37" s="714">
        <f t="shared" ca="1" si="6"/>
        <v>0</v>
      </c>
      <c r="T37" s="634" t="b">
        <f t="shared" si="7"/>
        <v>0</v>
      </c>
      <c r="X37" s="1405"/>
      <c r="Z37" s="1405"/>
      <c r="AB37" s="99" t="s">
        <v>1168</v>
      </c>
      <c r="AC37" s="685" t="s">
        <v>1169</v>
      </c>
      <c r="AD37" s="99" t="s">
        <v>388</v>
      </c>
      <c r="AE37" s="61"/>
      <c r="AF37" s="61"/>
      <c r="AG37" s="61"/>
      <c r="AH37" s="293">
        <f t="shared" si="9"/>
        <v>0</v>
      </c>
      <c r="AI37" s="61"/>
      <c r="AJ37" s="485"/>
      <c r="AK37" s="1182"/>
      <c r="AL37" s="1182"/>
      <c r="AM37" s="61"/>
      <c r="AN37" s="61"/>
      <c r="AO37" s="61"/>
      <c r="AP37" s="61"/>
      <c r="AQ37" s="61"/>
      <c r="AR37" s="61"/>
      <c r="AS37" s="61"/>
      <c r="AT37" s="485"/>
      <c r="AU37" s="1182"/>
      <c r="AV37" s="1182"/>
      <c r="AW37" s="61"/>
      <c r="AX37" s="61"/>
      <c r="AY37" s="61"/>
      <c r="AZ37" s="61"/>
      <c r="BA37" s="61"/>
      <c r="BB37" s="61"/>
      <c r="BC37" s="61"/>
      <c r="BD37" s="293">
        <f t="shared" si="10"/>
        <v>0</v>
      </c>
      <c r="BE37" s="293">
        <f t="shared" si="11"/>
        <v>0</v>
      </c>
      <c r="BF37" s="293">
        <f t="shared" si="12"/>
        <v>0</v>
      </c>
      <c r="BG37" s="293">
        <f t="shared" si="13"/>
        <v>0</v>
      </c>
      <c r="BH37" s="293">
        <f t="shared" si="14"/>
        <v>0</v>
      </c>
      <c r="BI37" s="293">
        <f t="shared" si="15"/>
        <v>0</v>
      </c>
      <c r="BJ37" s="293">
        <f t="shared" si="16"/>
        <v>0</v>
      </c>
      <c r="BK37" s="293">
        <f t="shared" si="17"/>
        <v>0</v>
      </c>
      <c r="BL37" s="293">
        <f t="shared" si="18"/>
        <v>0</v>
      </c>
      <c r="BM37" s="293">
        <f t="shared" si="19"/>
        <v>0</v>
      </c>
      <c r="BN37" s="22"/>
      <c r="BO37" s="22"/>
      <c r="BP37" s="22"/>
      <c r="BS37" s="912" t="s">
        <v>1170</v>
      </c>
    </row>
    <row r="38" spans="1:71" ht="14.65" hidden="1" customHeight="1">
      <c r="E38" s="623">
        <v>15</v>
      </c>
      <c r="F38" s="714">
        <f t="shared" ca="1" si="6"/>
        <v>0</v>
      </c>
      <c r="T38" s="634" t="b">
        <f>T36</f>
        <v>0</v>
      </c>
      <c r="X38" s="1405"/>
      <c r="Z38" s="1405"/>
      <c r="AB38" s="99" t="s">
        <v>863</v>
      </c>
      <c r="AC38" s="105" t="s">
        <v>1171</v>
      </c>
      <c r="AD38" s="99" t="s">
        <v>648</v>
      </c>
      <c r="AE38" s="60"/>
      <c r="AF38" s="60"/>
      <c r="AG38" s="60"/>
      <c r="AH38" s="293">
        <f t="shared" si="9"/>
        <v>0</v>
      </c>
      <c r="AI38" s="60"/>
      <c r="AJ38" s="471"/>
      <c r="AK38" s="1181"/>
      <c r="AL38" s="1181"/>
      <c r="AM38" s="60"/>
      <c r="AN38" s="60"/>
      <c r="AO38" s="60"/>
      <c r="AP38" s="60"/>
      <c r="AQ38" s="60"/>
      <c r="AR38" s="60"/>
      <c r="AS38" s="60"/>
      <c r="AT38" s="471"/>
      <c r="AU38" s="1181"/>
      <c r="AV38" s="1181"/>
      <c r="AW38" s="60"/>
      <c r="AX38" s="60"/>
      <c r="AY38" s="60"/>
      <c r="AZ38" s="60"/>
      <c r="BA38" s="60"/>
      <c r="BB38" s="60"/>
      <c r="BC38" s="60"/>
      <c r="BD38" s="293">
        <f t="shared" si="10"/>
        <v>0</v>
      </c>
      <c r="BE38" s="293">
        <f t="shared" si="11"/>
        <v>0</v>
      </c>
      <c r="BF38" s="293">
        <f t="shared" si="12"/>
        <v>0</v>
      </c>
      <c r="BG38" s="293">
        <f t="shared" si="13"/>
        <v>0</v>
      </c>
      <c r="BH38" s="293">
        <f t="shared" si="14"/>
        <v>0</v>
      </c>
      <c r="BI38" s="293">
        <f t="shared" si="15"/>
        <v>0</v>
      </c>
      <c r="BJ38" s="293">
        <f t="shared" si="16"/>
        <v>0</v>
      </c>
      <c r="BK38" s="293">
        <f t="shared" si="17"/>
        <v>0</v>
      </c>
      <c r="BL38" s="293">
        <f t="shared" si="18"/>
        <v>0</v>
      </c>
      <c r="BM38" s="293">
        <f t="shared" si="19"/>
        <v>0</v>
      </c>
      <c r="BN38" s="22"/>
      <c r="BO38" s="22"/>
      <c r="BP38" s="22"/>
      <c r="BS38" s="912" t="s">
        <v>1172</v>
      </c>
    </row>
    <row r="39" spans="1:71" ht="14.65" hidden="1" customHeight="1">
      <c r="E39" s="623">
        <v>15</v>
      </c>
      <c r="F39" s="714">
        <f t="shared" ca="1" si="6"/>
        <v>0</v>
      </c>
      <c r="G39" s="130" t="s">
        <v>947</v>
      </c>
      <c r="T39" s="634" t="b">
        <f t="shared" ref="T39:T45" si="21">T38</f>
        <v>0</v>
      </c>
      <c r="X39" s="1405"/>
      <c r="Z39" s="1405"/>
      <c r="AB39" s="99" t="s">
        <v>866</v>
      </c>
      <c r="AC39" s="105" t="s">
        <v>1173</v>
      </c>
      <c r="AD39" s="99" t="s">
        <v>648</v>
      </c>
      <c r="AE39" s="469">
        <f ca="1">SUMIFS(Амортизация!AE$26:AE$225,Амортизация!$F$26:$F$225,$F39,Амортизация!$G$26:$G$225,$G39)</f>
        <v>0</v>
      </c>
      <c r="AF39" s="469">
        <f ca="1">SUMIFS(Амортизация!AF$26:AF$225,Амортизация!$F$26:$F$225,$F39,Амортизация!$G$26:$G$225,$G39)</f>
        <v>0</v>
      </c>
      <c r="AG39" s="60">
        <f ca="1">SUMIFS(Амортизация!AG$26:AG$225,Амортизация!$F$26:$F$225,$F39,Амортизация!$G$26:$G$225,$G39)</f>
        <v>0</v>
      </c>
      <c r="AH39" s="293">
        <f t="shared" ca="1" si="9"/>
        <v>0</v>
      </c>
      <c r="AI39" s="469">
        <f ca="1">SUMIFS(Амортизация!AH$26:AH$225,Амортизация!$F$26:$F$225,$F39,Амортизация!$G$26:$G$225,$G39)</f>
        <v>0</v>
      </c>
      <c r="AJ39" s="469">
        <f ca="1">SUMIFS(Амортизация!AI$26:AI$225,Амортизация!$F$26:$F$225,$F39,Амортизация!$G$26:$G$225,$G39)</f>
        <v>0</v>
      </c>
      <c r="AK39" s="469">
        <f ca="1">SUMIFS(Амортизация!AJ$26:AJ$225,Амортизация!$F$26:$F$225,$F39,Амортизация!$G$26:$G$225,$G39)</f>
        <v>0</v>
      </c>
      <c r="AL39" s="469">
        <f ca="1">SUMIFS(Амортизация!AK$26:AK$225,Амортизация!$F$26:$F$225,$F39,Амортизация!$G$26:$G$225,$G39)</f>
        <v>0</v>
      </c>
      <c r="AM39" s="469">
        <f ca="1">SUMIFS(Амортизация!AL$26:AL$225,Амортизация!$F$26:$F$225,$F39,Амортизация!$G$26:$G$225,$G39)</f>
        <v>0</v>
      </c>
      <c r="AN39" s="469">
        <f ca="1">SUMIFS(Амортизация!AM$26:AM$225,Амортизация!$F$26:$F$225,$F39,Амортизация!$G$26:$G$225,$G39)</f>
        <v>0</v>
      </c>
      <c r="AO39" s="469">
        <f ca="1">SUMIFS(Амортизация!AN$26:AN$225,Амортизация!$F$26:$F$225,$F39,Амортизация!$G$26:$G$225,$G39)</f>
        <v>0</v>
      </c>
      <c r="AP39" s="469">
        <f ca="1">SUMIFS(Амортизация!AO$26:AO$225,Амортизация!$F$26:$F$225,$F39,Амортизация!$G$26:$G$225,$G39)</f>
        <v>0</v>
      </c>
      <c r="AQ39" s="469">
        <f ca="1">SUMIFS(Амортизация!AP$26:AP$225,Амортизация!$F$26:$F$225,$F39,Амортизация!$G$26:$G$225,$G39)</f>
        <v>0</v>
      </c>
      <c r="AR39" s="469">
        <f ca="1">SUMIFS(Амортизация!AQ$26:AQ$225,Амортизация!$F$26:$F$225,$F39,Амортизация!$G$26:$G$225,$G39)</f>
        <v>0</v>
      </c>
      <c r="AS39" s="469">
        <f ca="1">SUMIFS(Амортизация!AR$26:AR$225,Амортизация!$F$26:$F$225,$F39,Амортизация!$G$26:$G$225,$G39)</f>
        <v>0</v>
      </c>
      <c r="AT39" s="469">
        <f ca="1">SUMIFS(Амортизация!AS$26:AS$225,Амортизация!$F$26:$F$225,$F39,Амортизация!$G$26:$G$225,$G39)</f>
        <v>0</v>
      </c>
      <c r="AU39" s="469">
        <f ca="1">SUMIFS(Амортизация!AT$26:AT$225,Амортизация!$F$26:$F$225,$F39,Амортизация!$G$26:$G$225,$G39)</f>
        <v>0</v>
      </c>
      <c r="AV39" s="469">
        <f ca="1">SUMIFS(Амортизация!AU$26:AU$225,Амортизация!$F$26:$F$225,$F39,Амортизация!$G$26:$G$225,$G39)</f>
        <v>0</v>
      </c>
      <c r="AW39" s="469">
        <f ca="1">SUMIFS(Амортизация!AV$26:AV$225,Амортизация!$F$26:$F$225,$F39,Амортизация!$G$26:$G$225,$G39)</f>
        <v>0</v>
      </c>
      <c r="AX39" s="469">
        <f ca="1">SUMIFS(Амортизация!AW$26:AW$225,Амортизация!$F$26:$F$225,$F39,Амортизация!$G$26:$G$225,$G39)</f>
        <v>0</v>
      </c>
      <c r="AY39" s="469">
        <f ca="1">SUMIFS(Амортизация!AX$26:AX$225,Амортизация!$F$26:$F$225,$F39,Амортизация!$G$26:$G$225,$G39)</f>
        <v>0</v>
      </c>
      <c r="AZ39" s="469">
        <f ca="1">SUMIFS(Амортизация!AY$26:AY$225,Амортизация!$F$26:$F$225,$F39,Амортизация!$G$26:$G$225,$G39)</f>
        <v>0</v>
      </c>
      <c r="BA39" s="469">
        <f ca="1">SUMIFS(Амортизация!AZ$26:AZ$225,Амортизация!$F$26:$F$225,$F39,Амортизация!$G$26:$G$225,$G39)</f>
        <v>0</v>
      </c>
      <c r="BB39" s="469">
        <f ca="1">SUMIFS(Амортизация!BA$26:BA$225,Амортизация!$F$26:$F$225,$F39,Амортизация!$G$26:$G$225,$G39)</f>
        <v>0</v>
      </c>
      <c r="BC39" s="469">
        <f ca="1">SUMIFS(Амортизация!BB$26:BB$225,Амортизация!$F$26:$F$225,$F39,Амортизация!$G$26:$G$225,$G39)</f>
        <v>0</v>
      </c>
      <c r="BD39" s="293">
        <f t="shared" ca="1" si="10"/>
        <v>0</v>
      </c>
      <c r="BE39" s="293">
        <f t="shared" ca="1" si="11"/>
        <v>0</v>
      </c>
      <c r="BF39" s="293">
        <f t="shared" ca="1" si="12"/>
        <v>0</v>
      </c>
      <c r="BG39" s="293">
        <f t="shared" ca="1" si="13"/>
        <v>0</v>
      </c>
      <c r="BH39" s="293">
        <f t="shared" ca="1" si="14"/>
        <v>0</v>
      </c>
      <c r="BI39" s="293">
        <f t="shared" ca="1" si="15"/>
        <v>0</v>
      </c>
      <c r="BJ39" s="293">
        <f t="shared" ca="1" si="16"/>
        <v>0</v>
      </c>
      <c r="BK39" s="293">
        <f t="shared" ca="1" si="17"/>
        <v>0</v>
      </c>
      <c r="BL39" s="293">
        <f t="shared" ca="1" si="18"/>
        <v>0</v>
      </c>
      <c r="BM39" s="293">
        <f t="shared" ca="1" si="19"/>
        <v>0</v>
      </c>
      <c r="BN39" s="22"/>
      <c r="BO39" s="22"/>
      <c r="BP39" s="22"/>
      <c r="BS39" s="912" t="s">
        <v>1174</v>
      </c>
    </row>
    <row r="40" spans="1:71" ht="24.95" hidden="1" customHeight="1">
      <c r="E40" s="623">
        <v>25.5</v>
      </c>
      <c r="F40" s="714">
        <f t="shared" ca="1" si="6"/>
        <v>0</v>
      </c>
      <c r="T40" s="634" t="b">
        <f t="shared" si="21"/>
        <v>0</v>
      </c>
      <c r="X40" s="1405"/>
      <c r="Z40" s="1405"/>
      <c r="AB40" s="99" t="s">
        <v>869</v>
      </c>
      <c r="AC40" s="105" t="s">
        <v>1175</v>
      </c>
      <c r="AD40" s="99" t="s">
        <v>648</v>
      </c>
      <c r="AE40" s="60"/>
      <c r="AF40" s="60"/>
      <c r="AG40" s="60"/>
      <c r="AH40" s="293">
        <f t="shared" si="9"/>
        <v>0</v>
      </c>
      <c r="AI40" s="60"/>
      <c r="AJ40" s="471"/>
      <c r="AK40" s="1181"/>
      <c r="AL40" s="1181"/>
      <c r="AM40" s="60"/>
      <c r="AN40" s="60"/>
      <c r="AO40" s="60"/>
      <c r="AP40" s="60"/>
      <c r="AQ40" s="60"/>
      <c r="AR40" s="60"/>
      <c r="AS40" s="60"/>
      <c r="AT40" s="471"/>
      <c r="AU40" s="1181"/>
      <c r="AV40" s="1181"/>
      <c r="AW40" s="60"/>
      <c r="AX40" s="60"/>
      <c r="AY40" s="60"/>
      <c r="AZ40" s="60"/>
      <c r="BA40" s="60"/>
      <c r="BB40" s="60"/>
      <c r="BC40" s="60"/>
      <c r="BD40" s="293">
        <f t="shared" si="10"/>
        <v>0</v>
      </c>
      <c r="BE40" s="293">
        <f t="shared" si="11"/>
        <v>0</v>
      </c>
      <c r="BF40" s="293">
        <f t="shared" si="12"/>
        <v>0</v>
      </c>
      <c r="BG40" s="293">
        <f t="shared" si="13"/>
        <v>0</v>
      </c>
      <c r="BH40" s="293">
        <f t="shared" si="14"/>
        <v>0</v>
      </c>
      <c r="BI40" s="293">
        <f t="shared" si="15"/>
        <v>0</v>
      </c>
      <c r="BJ40" s="293">
        <f t="shared" si="16"/>
        <v>0</v>
      </c>
      <c r="BK40" s="293">
        <f t="shared" si="17"/>
        <v>0</v>
      </c>
      <c r="BL40" s="293">
        <f t="shared" si="18"/>
        <v>0</v>
      </c>
      <c r="BM40" s="293">
        <f t="shared" si="19"/>
        <v>0</v>
      </c>
      <c r="BN40" s="22"/>
      <c r="BO40" s="22"/>
      <c r="BP40" s="22"/>
      <c r="BS40" s="912" t="s">
        <v>1176</v>
      </c>
    </row>
    <row r="41" spans="1:71" ht="24.95" hidden="1" customHeight="1">
      <c r="E41" s="623">
        <v>25.5</v>
      </c>
      <c r="F41" s="714">
        <f t="shared" ca="1" si="6"/>
        <v>0</v>
      </c>
      <c r="T41" s="634" t="b">
        <f t="shared" si="21"/>
        <v>0</v>
      </c>
      <c r="X41" s="1405"/>
      <c r="Z41" s="1405"/>
      <c r="AB41" s="99" t="s">
        <v>1083</v>
      </c>
      <c r="AC41" s="105" t="s">
        <v>1177</v>
      </c>
      <c r="AD41" s="99" t="s">
        <v>648</v>
      </c>
      <c r="AE41" s="60"/>
      <c r="AF41" s="60"/>
      <c r="AG41" s="60"/>
      <c r="AH41" s="293">
        <f t="shared" si="9"/>
        <v>0</v>
      </c>
      <c r="AI41" s="60"/>
      <c r="AJ41" s="471"/>
      <c r="AK41" s="1181"/>
      <c r="AL41" s="1181"/>
      <c r="AM41" s="60"/>
      <c r="AN41" s="60"/>
      <c r="AO41" s="60"/>
      <c r="AP41" s="60"/>
      <c r="AQ41" s="60"/>
      <c r="AR41" s="60"/>
      <c r="AS41" s="60"/>
      <c r="AT41" s="471"/>
      <c r="AU41" s="1181"/>
      <c r="AV41" s="1181"/>
      <c r="AW41" s="60"/>
      <c r="AX41" s="60"/>
      <c r="AY41" s="60"/>
      <c r="AZ41" s="60"/>
      <c r="BA41" s="60"/>
      <c r="BB41" s="60"/>
      <c r="BC41" s="60"/>
      <c r="BD41" s="293">
        <f t="shared" si="10"/>
        <v>0</v>
      </c>
      <c r="BE41" s="293">
        <f t="shared" si="11"/>
        <v>0</v>
      </c>
      <c r="BF41" s="293">
        <f t="shared" si="12"/>
        <v>0</v>
      </c>
      <c r="BG41" s="293">
        <f t="shared" si="13"/>
        <v>0</v>
      </c>
      <c r="BH41" s="293">
        <f t="shared" si="14"/>
        <v>0</v>
      </c>
      <c r="BI41" s="293">
        <f t="shared" si="15"/>
        <v>0</v>
      </c>
      <c r="BJ41" s="293">
        <f t="shared" si="16"/>
        <v>0</v>
      </c>
      <c r="BK41" s="293">
        <f t="shared" si="17"/>
        <v>0</v>
      </c>
      <c r="BL41" s="293">
        <f t="shared" si="18"/>
        <v>0</v>
      </c>
      <c r="BM41" s="293">
        <f t="shared" si="19"/>
        <v>0</v>
      </c>
      <c r="BN41" s="22"/>
      <c r="BO41" s="22"/>
      <c r="BP41" s="22"/>
      <c r="BS41" s="912" t="s">
        <v>1178</v>
      </c>
    </row>
    <row r="42" spans="1:71" ht="14.65" hidden="1" customHeight="1">
      <c r="E42" s="623">
        <v>15</v>
      </c>
      <c r="F42" s="714">
        <f t="shared" ca="1" si="6"/>
        <v>0</v>
      </c>
      <c r="T42" s="634" t="b">
        <f t="shared" si="21"/>
        <v>0</v>
      </c>
      <c r="X42" s="1405"/>
      <c r="Z42" s="1405"/>
      <c r="AB42" s="99"/>
      <c r="AC42" s="105" t="s">
        <v>1179</v>
      </c>
      <c r="AD42" s="99" t="s">
        <v>648</v>
      </c>
      <c r="AE42" s="469">
        <f ca="1">AE29+AE30+AE31+AE32+AE36+AE38+AE39+AE40+AE41</f>
        <v>0</v>
      </c>
      <c r="AF42" s="469">
        <f ca="1">AF29+AF30+AF31+AF32+AF36+AF38+AF39+AF40+AF41</f>
        <v>0</v>
      </c>
      <c r="AG42" s="60">
        <f ca="1">AG29+AG30+AG31+AG32+AG36+AG38+AG39+AG40+AG41</f>
        <v>0</v>
      </c>
      <c r="AH42" s="293">
        <f t="shared" ca="1" si="9"/>
        <v>0</v>
      </c>
      <c r="AI42" s="469">
        <f t="shared" ref="AI42:BC42" ca="1" si="22">AI29+AI30+AI31+AI32+AI36+AI38+AI39+AI40+AI41</f>
        <v>0</v>
      </c>
      <c r="AJ42" s="469">
        <f t="shared" ca="1" si="22"/>
        <v>0</v>
      </c>
      <c r="AK42" s="469">
        <f t="shared" ca="1" si="22"/>
        <v>0</v>
      </c>
      <c r="AL42" s="469">
        <f t="shared" ca="1" si="22"/>
        <v>0</v>
      </c>
      <c r="AM42" s="469">
        <f t="shared" ca="1" si="22"/>
        <v>0</v>
      </c>
      <c r="AN42" s="469">
        <f t="shared" ca="1" si="22"/>
        <v>0</v>
      </c>
      <c r="AO42" s="469">
        <f t="shared" ca="1" si="22"/>
        <v>0</v>
      </c>
      <c r="AP42" s="469">
        <f t="shared" ca="1" si="22"/>
        <v>0</v>
      </c>
      <c r="AQ42" s="469">
        <f t="shared" ca="1" si="22"/>
        <v>0</v>
      </c>
      <c r="AR42" s="469">
        <f t="shared" ca="1" si="22"/>
        <v>0</v>
      </c>
      <c r="AS42" s="469">
        <f t="shared" ca="1" si="22"/>
        <v>0</v>
      </c>
      <c r="AT42" s="469">
        <f t="shared" ca="1" si="22"/>
        <v>0</v>
      </c>
      <c r="AU42" s="469">
        <f t="shared" ca="1" si="22"/>
        <v>0</v>
      </c>
      <c r="AV42" s="469">
        <f t="shared" ca="1" si="22"/>
        <v>0</v>
      </c>
      <c r="AW42" s="469">
        <f t="shared" ca="1" si="22"/>
        <v>0</v>
      </c>
      <c r="AX42" s="469">
        <f t="shared" ca="1" si="22"/>
        <v>0</v>
      </c>
      <c r="AY42" s="469">
        <f t="shared" ca="1" si="22"/>
        <v>0</v>
      </c>
      <c r="AZ42" s="469">
        <f t="shared" ca="1" si="22"/>
        <v>0</v>
      </c>
      <c r="BA42" s="469">
        <f t="shared" ca="1" si="22"/>
        <v>0</v>
      </c>
      <c r="BB42" s="469">
        <f t="shared" ca="1" si="22"/>
        <v>0</v>
      </c>
      <c r="BC42" s="469">
        <f t="shared" ca="1" si="22"/>
        <v>0</v>
      </c>
      <c r="BD42" s="293">
        <f t="shared" ca="1" si="10"/>
        <v>0</v>
      </c>
      <c r="BE42" s="293">
        <f t="shared" ca="1" si="11"/>
        <v>0</v>
      </c>
      <c r="BF42" s="293">
        <f t="shared" ca="1" si="12"/>
        <v>0</v>
      </c>
      <c r="BG42" s="293">
        <f t="shared" ca="1" si="13"/>
        <v>0</v>
      </c>
      <c r="BH42" s="293">
        <f t="shared" ca="1" si="14"/>
        <v>0</v>
      </c>
      <c r="BI42" s="293">
        <f t="shared" ca="1" si="15"/>
        <v>0</v>
      </c>
      <c r="BJ42" s="293">
        <f t="shared" ca="1" si="16"/>
        <v>0</v>
      </c>
      <c r="BK42" s="293">
        <f t="shared" ca="1" si="17"/>
        <v>0</v>
      </c>
      <c r="BL42" s="293">
        <f t="shared" ca="1" si="18"/>
        <v>0</v>
      </c>
      <c r="BM42" s="293">
        <f t="shared" ca="1" si="19"/>
        <v>0</v>
      </c>
      <c r="BN42" s="22"/>
      <c r="BO42" s="22"/>
      <c r="BP42" s="22"/>
      <c r="BS42" s="912" t="s">
        <v>1180</v>
      </c>
    </row>
    <row r="43" spans="1:71" ht="14.65" hidden="1" customHeight="1">
      <c r="E43" s="623">
        <v>15</v>
      </c>
      <c r="F43" s="714">
        <f t="shared" ca="1" si="6"/>
        <v>0</v>
      </c>
      <c r="G43" s="130" t="s">
        <v>1078</v>
      </c>
      <c r="T43" s="634" t="b">
        <f t="shared" si="21"/>
        <v>0</v>
      </c>
      <c r="X43" s="1405"/>
      <c r="Z43" s="1405"/>
      <c r="AB43" s="99" t="s">
        <v>343</v>
      </c>
      <c r="AC43" s="105" t="s">
        <v>1181</v>
      </c>
      <c r="AD43" s="99" t="s">
        <v>648</v>
      </c>
      <c r="AE43" s="469">
        <f ca="1">SUMIFS(Налоги!AE$26:AE$55,Налоги!$F$26:$F$55,$F43,Налоги!$G$26:$G$55,$G43)</f>
        <v>0</v>
      </c>
      <c r="AF43" s="469">
        <f ca="1">SUMIFS(Налоги!AF$26:AF$55,Налоги!$F$26:$F$55,$F43,Налоги!$G$26:$G$55,$G43)</f>
        <v>0</v>
      </c>
      <c r="AG43" s="60">
        <f ca="1">SUMIFS(Налоги!AG$26:AG$55,Налоги!$F$26:$F$55,$F43,Налоги!$G$26:$G$55,$G43)</f>
        <v>0</v>
      </c>
      <c r="AH43" s="293">
        <f t="shared" ca="1" si="9"/>
        <v>0</v>
      </c>
      <c r="AI43" s="469">
        <f ca="1">SUMIFS(Налоги!AH$26:AH$55,Налоги!$F$26:$F$55,$F43,Налоги!$G$26:$G$55,$G43)</f>
        <v>0</v>
      </c>
      <c r="AJ43" s="469">
        <f ca="1">SUMIFS(Налоги!AI$26:AI$55,Налоги!$F$26:$F$55,$F43,Налоги!$G$26:$G$55,$G43)</f>
        <v>0</v>
      </c>
      <c r="AK43" s="469">
        <f ca="1">SUMIFS(Налоги!AJ$26:AJ$55,Налоги!$F$26:$F$55,$F43,Налоги!$G$26:$G$55,$G43)</f>
        <v>0</v>
      </c>
      <c r="AL43" s="469">
        <f ca="1">SUMIFS(Налоги!AK$26:AK$55,Налоги!$F$26:$F$55,$F43,Налоги!$G$26:$G$55,$G43)</f>
        <v>0</v>
      </c>
      <c r="AM43" s="469">
        <f ca="1">SUMIFS(Налоги!AL$26:AL$55,Налоги!$F$26:$F$55,$F43,Налоги!$G$26:$G$55,$G43)</f>
        <v>0</v>
      </c>
      <c r="AN43" s="469">
        <f ca="1">SUMIFS(Налоги!AM$26:AM$55,Налоги!$F$26:$F$55,$F43,Налоги!$G$26:$G$55,$G43)</f>
        <v>0</v>
      </c>
      <c r="AO43" s="469">
        <f ca="1">SUMIFS(Налоги!AN$26:AN$55,Налоги!$F$26:$F$55,$F43,Налоги!$G$26:$G$55,$G43)</f>
        <v>0</v>
      </c>
      <c r="AP43" s="469">
        <f ca="1">SUMIFS(Налоги!AO$26:AO$55,Налоги!$F$26:$F$55,$F43,Налоги!$G$26:$G$55,$G43)</f>
        <v>0</v>
      </c>
      <c r="AQ43" s="469">
        <f ca="1">SUMIFS(Налоги!AP$26:AP$55,Налоги!$F$26:$F$55,$F43,Налоги!$G$26:$G$55,$G43)</f>
        <v>0</v>
      </c>
      <c r="AR43" s="469">
        <f ca="1">SUMIFS(Налоги!AQ$26:AQ$55,Налоги!$F$26:$F$55,$F43,Налоги!$G$26:$G$55,$G43)</f>
        <v>0</v>
      </c>
      <c r="AS43" s="469">
        <f ca="1">SUMIFS(Налоги!AR$26:AR$55,Налоги!$F$26:$F$55,$F43,Налоги!$G$26:$G$55,$G43)</f>
        <v>0</v>
      </c>
      <c r="AT43" s="469">
        <f ca="1">SUMIFS(Налоги!AS$26:AS$55,Налоги!$F$26:$F$55,$F43,Налоги!$G$26:$G$55,$G43)</f>
        <v>0</v>
      </c>
      <c r="AU43" s="469">
        <f ca="1">SUMIFS(Налоги!AT$26:AT$55,Налоги!$F$26:$F$55,$F43,Налоги!$G$26:$G$55,$G43)</f>
        <v>0</v>
      </c>
      <c r="AV43" s="469">
        <f ca="1">SUMIFS(Налоги!AU$26:AU$55,Налоги!$F$26:$F$55,$F43,Налоги!$G$26:$G$55,$G43)</f>
        <v>0</v>
      </c>
      <c r="AW43" s="469">
        <f ca="1">SUMIFS(Налоги!AV$26:AV$55,Налоги!$F$26:$F$55,$F43,Налоги!$G$26:$G$55,$G43)</f>
        <v>0</v>
      </c>
      <c r="AX43" s="469">
        <f ca="1">SUMIFS(Налоги!AW$26:AW$55,Налоги!$F$26:$F$55,$F43,Налоги!$G$26:$G$55,$G43)</f>
        <v>0</v>
      </c>
      <c r="AY43" s="469">
        <f ca="1">SUMIFS(Налоги!AX$26:AX$55,Налоги!$F$26:$F$55,$F43,Налоги!$G$26:$G$55,$G43)</f>
        <v>0</v>
      </c>
      <c r="AZ43" s="469">
        <f ca="1">SUMIFS(Налоги!AY$26:AY$55,Налоги!$F$26:$F$55,$F43,Налоги!$G$26:$G$55,$G43)</f>
        <v>0</v>
      </c>
      <c r="BA43" s="469">
        <f ca="1">SUMIFS(Налоги!AZ$26:AZ$55,Налоги!$F$26:$F$55,$F43,Налоги!$G$26:$G$55,$G43)</f>
        <v>0</v>
      </c>
      <c r="BB43" s="469">
        <f ca="1">SUMIFS(Налоги!BA$26:BA$55,Налоги!$F$26:$F$55,$F43,Налоги!$G$26:$G$55,$G43)</f>
        <v>0</v>
      </c>
      <c r="BC43" s="469">
        <f ca="1">SUMIFS(Налоги!BB$26:BB$55,Налоги!$F$26:$F$55,$F43,Налоги!$G$26:$G$55,$G43)</f>
        <v>0</v>
      </c>
      <c r="BD43" s="293">
        <f t="shared" ca="1" si="10"/>
        <v>0</v>
      </c>
      <c r="BE43" s="293">
        <f t="shared" ca="1" si="11"/>
        <v>0</v>
      </c>
      <c r="BF43" s="293">
        <f t="shared" ca="1" si="12"/>
        <v>0</v>
      </c>
      <c r="BG43" s="293">
        <f t="shared" ca="1" si="13"/>
        <v>0</v>
      </c>
      <c r="BH43" s="293">
        <f t="shared" ca="1" si="14"/>
        <v>0</v>
      </c>
      <c r="BI43" s="293">
        <f t="shared" ca="1" si="15"/>
        <v>0</v>
      </c>
      <c r="BJ43" s="293">
        <f t="shared" ca="1" si="16"/>
        <v>0</v>
      </c>
      <c r="BK43" s="293">
        <f t="shared" ca="1" si="17"/>
        <v>0</v>
      </c>
      <c r="BL43" s="293">
        <f t="shared" ca="1" si="18"/>
        <v>0</v>
      </c>
      <c r="BM43" s="293">
        <f t="shared" ca="1" si="19"/>
        <v>0</v>
      </c>
      <c r="BN43" s="22"/>
      <c r="BO43" s="22"/>
      <c r="BP43" s="22"/>
      <c r="BS43" s="912" t="s">
        <v>469</v>
      </c>
    </row>
    <row r="44" spans="1:71" ht="27.2" hidden="1" customHeight="1">
      <c r="E44" s="623">
        <v>27.8</v>
      </c>
      <c r="F44" s="714">
        <f t="shared" ca="1" si="6"/>
        <v>0</v>
      </c>
      <c r="G44" s="130" t="s">
        <v>1182</v>
      </c>
      <c r="T44" s="634" t="b">
        <f t="shared" si="21"/>
        <v>0</v>
      </c>
      <c r="X44" s="1405"/>
      <c r="Z44" s="1405"/>
      <c r="AB44" s="99" t="s">
        <v>520</v>
      </c>
      <c r="AC44" s="105" t="s">
        <v>1183</v>
      </c>
      <c r="AD44" s="99" t="s">
        <v>648</v>
      </c>
      <c r="AE44" s="60"/>
      <c r="AF44" s="60"/>
      <c r="AG44" s="60"/>
      <c r="AH44" s="293">
        <f t="shared" si="9"/>
        <v>0</v>
      </c>
      <c r="AI44" s="60"/>
      <c r="AJ44" s="471"/>
      <c r="AK44" s="1181"/>
      <c r="AL44" s="1181"/>
      <c r="AM44" s="60"/>
      <c r="AN44" s="60"/>
      <c r="AO44" s="60"/>
      <c r="AP44" s="60"/>
      <c r="AQ44" s="60"/>
      <c r="AR44" s="60"/>
      <c r="AS44" s="60"/>
      <c r="AT44" s="471"/>
      <c r="AU44" s="1181"/>
      <c r="AV44" s="1181"/>
      <c r="AW44" s="60"/>
      <c r="AX44" s="60"/>
      <c r="AY44" s="60"/>
      <c r="AZ44" s="60"/>
      <c r="BA44" s="60"/>
      <c r="BB44" s="60"/>
      <c r="BC44" s="60"/>
      <c r="BD44" s="293">
        <f t="shared" si="10"/>
        <v>0</v>
      </c>
      <c r="BE44" s="293">
        <f t="shared" si="11"/>
        <v>0</v>
      </c>
      <c r="BF44" s="293">
        <f t="shared" si="12"/>
        <v>0</v>
      </c>
      <c r="BG44" s="293">
        <f t="shared" si="13"/>
        <v>0</v>
      </c>
      <c r="BH44" s="293">
        <f t="shared" si="14"/>
        <v>0</v>
      </c>
      <c r="BI44" s="293">
        <f t="shared" si="15"/>
        <v>0</v>
      </c>
      <c r="BJ44" s="293">
        <f t="shared" si="16"/>
        <v>0</v>
      </c>
      <c r="BK44" s="293">
        <f t="shared" si="17"/>
        <v>0</v>
      </c>
      <c r="BL44" s="293">
        <f t="shared" si="18"/>
        <v>0</v>
      </c>
      <c r="BM44" s="293">
        <f t="shared" si="19"/>
        <v>0</v>
      </c>
      <c r="BN44" s="22"/>
      <c r="BO44" s="22"/>
      <c r="BP44" s="22"/>
      <c r="BS44" s="912" t="s">
        <v>1184</v>
      </c>
    </row>
    <row r="45" spans="1:71" s="172" customFormat="1" ht="14.65" hidden="1" customHeight="1">
      <c r="E45" s="623">
        <v>15</v>
      </c>
      <c r="F45" s="714">
        <f t="shared" ca="1" si="6"/>
        <v>0</v>
      </c>
      <c r="T45" s="634" t="b">
        <f t="shared" si="21"/>
        <v>0</v>
      </c>
      <c r="X45" s="1499"/>
      <c r="Z45" s="1499"/>
      <c r="AB45" s="100" t="s">
        <v>527</v>
      </c>
      <c r="AC45" s="101" t="s">
        <v>1155</v>
      </c>
      <c r="AD45" s="100" t="s">
        <v>648</v>
      </c>
      <c r="AE45" s="472">
        <f ca="1">AE42+AE43+AE44</f>
        <v>0</v>
      </c>
      <c r="AF45" s="472">
        <f ca="1">AF42+AF43+AF44</f>
        <v>0</v>
      </c>
      <c r="AG45" s="62">
        <f ca="1">AG42+AG43+AG44</f>
        <v>0</v>
      </c>
      <c r="AH45" s="293">
        <f t="shared" ca="1" si="9"/>
        <v>0</v>
      </c>
      <c r="AI45" s="472">
        <f t="shared" ref="AI45:BC45" ca="1" si="23">AI42+AI43+AI44</f>
        <v>0</v>
      </c>
      <c r="AJ45" s="472">
        <f t="shared" ca="1" si="23"/>
        <v>0</v>
      </c>
      <c r="AK45" s="472">
        <f t="shared" ca="1" si="23"/>
        <v>0</v>
      </c>
      <c r="AL45" s="472">
        <f t="shared" ca="1" si="23"/>
        <v>0</v>
      </c>
      <c r="AM45" s="472">
        <f t="shared" ca="1" si="23"/>
        <v>0</v>
      </c>
      <c r="AN45" s="472">
        <f t="shared" ca="1" si="23"/>
        <v>0</v>
      </c>
      <c r="AO45" s="472">
        <f t="shared" ca="1" si="23"/>
        <v>0</v>
      </c>
      <c r="AP45" s="472">
        <f t="shared" ca="1" si="23"/>
        <v>0</v>
      </c>
      <c r="AQ45" s="472">
        <f t="shared" ca="1" si="23"/>
        <v>0</v>
      </c>
      <c r="AR45" s="472">
        <f t="shared" ca="1" si="23"/>
        <v>0</v>
      </c>
      <c r="AS45" s="472">
        <f t="shared" ca="1" si="23"/>
        <v>0</v>
      </c>
      <c r="AT45" s="472">
        <f t="shared" ca="1" si="23"/>
        <v>0</v>
      </c>
      <c r="AU45" s="472">
        <f t="shared" ca="1" si="23"/>
        <v>0</v>
      </c>
      <c r="AV45" s="472">
        <f t="shared" ca="1" si="23"/>
        <v>0</v>
      </c>
      <c r="AW45" s="472">
        <f t="shared" ca="1" si="23"/>
        <v>0</v>
      </c>
      <c r="AX45" s="472">
        <f t="shared" ca="1" si="23"/>
        <v>0</v>
      </c>
      <c r="AY45" s="472">
        <f t="shared" ca="1" si="23"/>
        <v>0</v>
      </c>
      <c r="AZ45" s="472">
        <f t="shared" ca="1" si="23"/>
        <v>0</v>
      </c>
      <c r="BA45" s="472">
        <f t="shared" ca="1" si="23"/>
        <v>0</v>
      </c>
      <c r="BB45" s="472">
        <f t="shared" ca="1" si="23"/>
        <v>0</v>
      </c>
      <c r="BC45" s="472">
        <f t="shared" ca="1" si="23"/>
        <v>0</v>
      </c>
      <c r="BD45" s="292">
        <f t="shared" ca="1" si="10"/>
        <v>0</v>
      </c>
      <c r="BE45" s="292">
        <f t="shared" ca="1" si="11"/>
        <v>0</v>
      </c>
      <c r="BF45" s="292">
        <f t="shared" ca="1" si="12"/>
        <v>0</v>
      </c>
      <c r="BG45" s="292">
        <f t="shared" ca="1" si="13"/>
        <v>0</v>
      </c>
      <c r="BH45" s="292">
        <f t="shared" ca="1" si="14"/>
        <v>0</v>
      </c>
      <c r="BI45" s="292">
        <f t="shared" ca="1" si="15"/>
        <v>0</v>
      </c>
      <c r="BJ45" s="292">
        <f t="shared" ca="1" si="16"/>
        <v>0</v>
      </c>
      <c r="BK45" s="292">
        <f t="shared" ca="1" si="17"/>
        <v>0</v>
      </c>
      <c r="BL45" s="292">
        <f t="shared" ca="1" si="18"/>
        <v>0</v>
      </c>
      <c r="BM45" s="292">
        <f t="shared" ca="1" si="19"/>
        <v>0</v>
      </c>
      <c r="BN45" s="22"/>
      <c r="BO45" s="22"/>
      <c r="BP45" s="22"/>
      <c r="BS45" s="912" t="s">
        <v>1185</v>
      </c>
    </row>
    <row r="46" spans="1:71" s="1183" customFormat="1" ht="18" customHeight="1">
      <c r="A46" s="157"/>
      <c r="B46" s="157"/>
      <c r="C46" s="157"/>
      <c r="D46" s="157"/>
      <c r="E46" s="623">
        <v>18.8</v>
      </c>
      <c r="F46" s="714" t="str">
        <f>X46</f>
        <v>1</v>
      </c>
      <c r="G46" s="566" t="str">
        <f>INDEX('Общие сведения'!$AK$169:$AK$202,MATCH($F46,'Общие сведения'!$Z$169:$Z$202,0))</f>
        <v>одноставочный</v>
      </c>
      <c r="H46" s="157"/>
      <c r="I46" s="150" t="str">
        <f>INDEX('Общие сведения'!$AE$169:$AE$202,MATCH($F46,'Общие сведения'!$Z$169:$Z$202,0))</f>
        <v>Теплоснабжение</v>
      </c>
      <c r="J46" s="157"/>
      <c r="K46" s="157"/>
      <c r="L46" s="157"/>
      <c r="M46" s="157"/>
      <c r="N46" s="157"/>
      <c r="O46" s="157"/>
      <c r="P46" s="157"/>
      <c r="Q46" s="157"/>
      <c r="R46" s="157"/>
      <c r="S46" s="157"/>
      <c r="T46" s="634" t="b">
        <f>X46&gt;0</f>
        <v>1</v>
      </c>
      <c r="U46" s="157"/>
      <c r="V46" s="113" t="str">
        <f>'Операционные (5.2)'!$AB$36</f>
        <v>Тариф 1 (Теплоснабжение) - Тарифы на теплоноситель (Не определено)</v>
      </c>
      <c r="W46" s="157"/>
      <c r="X46" s="1405" t="s">
        <v>247</v>
      </c>
      <c r="Y46" s="157"/>
      <c r="Z46" s="1403"/>
      <c r="AA46" s="157"/>
      <c r="AB46" s="252" t="str">
        <f>IF(ISBLANK('Операционные (5.2)'!$AB$36),"",'Операционные (5.2)'!$AB$36)</f>
        <v>Тариф 1 (Теплоснабжение) - Тарифы на теплоноситель (Не определено)</v>
      </c>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157"/>
      <c r="BR46" s="157"/>
      <c r="BS46" s="912"/>
    </row>
    <row r="47" spans="1:71" s="1184" customFormat="1" ht="13.5" customHeight="1">
      <c r="A47" s="157"/>
      <c r="B47" s="157"/>
      <c r="C47" s="157"/>
      <c r="D47" s="157"/>
      <c r="E47" s="623">
        <v>14.1</v>
      </c>
      <c r="F47" s="714" t="str">
        <f t="shared" ref="F47:F64" ca="1" si="24">OFFSET(G47,-1,-1)</f>
        <v>1</v>
      </c>
      <c r="G47" s="566" t="s">
        <v>1154</v>
      </c>
      <c r="H47" s="157"/>
      <c r="I47" s="157"/>
      <c r="J47" s="157"/>
      <c r="K47" s="167" t="str">
        <f ca="1">F47&amp;"komm"</f>
        <v>1komm</v>
      </c>
      <c r="L47" s="166">
        <f>BO47</f>
        <v>0</v>
      </c>
      <c r="M47" s="157"/>
      <c r="N47" s="157"/>
      <c r="O47" s="157"/>
      <c r="P47" s="157"/>
      <c r="Q47" s="157"/>
      <c r="R47" s="157"/>
      <c r="S47" s="157"/>
      <c r="T47" s="634" t="b">
        <f t="shared" ref="T47:T56" si="25">T46</f>
        <v>1</v>
      </c>
      <c r="U47" s="157"/>
      <c r="V47" s="157"/>
      <c r="W47" s="157"/>
      <c r="X47" s="1403"/>
      <c r="Y47" s="157"/>
      <c r="Z47" s="1403"/>
      <c r="AA47" s="157"/>
      <c r="AB47" s="1501" t="s">
        <v>1155</v>
      </c>
      <c r="AC47" s="1502"/>
      <c r="AD47" s="239" t="s">
        <v>648</v>
      </c>
      <c r="AE47" s="292">
        <f t="shared" ref="AE47:BM47" ca="1" si="26">AE64</f>
        <v>0</v>
      </c>
      <c r="AF47" s="292">
        <f t="shared" ca="1" si="26"/>
        <v>0</v>
      </c>
      <c r="AG47" s="292">
        <f t="shared" ca="1" si="26"/>
        <v>0</v>
      </c>
      <c r="AH47" s="292">
        <f t="shared" ca="1" si="26"/>
        <v>0</v>
      </c>
      <c r="AI47" s="292">
        <f t="shared" ca="1" si="26"/>
        <v>0</v>
      </c>
      <c r="AJ47" s="292">
        <f t="shared" ca="1" si="26"/>
        <v>0</v>
      </c>
      <c r="AK47" s="292">
        <f t="shared" ca="1" si="26"/>
        <v>0</v>
      </c>
      <c r="AL47" s="292">
        <f t="shared" ca="1" si="26"/>
        <v>0</v>
      </c>
      <c r="AM47" s="292">
        <f t="shared" ca="1" si="26"/>
        <v>0</v>
      </c>
      <c r="AN47" s="292">
        <f t="shared" ca="1" si="26"/>
        <v>0</v>
      </c>
      <c r="AO47" s="292">
        <f t="shared" ca="1" si="26"/>
        <v>0</v>
      </c>
      <c r="AP47" s="292">
        <f t="shared" ca="1" si="26"/>
        <v>0</v>
      </c>
      <c r="AQ47" s="292">
        <f t="shared" ca="1" si="26"/>
        <v>0</v>
      </c>
      <c r="AR47" s="292">
        <f t="shared" ca="1" si="26"/>
        <v>0</v>
      </c>
      <c r="AS47" s="292">
        <f t="shared" ca="1" si="26"/>
        <v>0</v>
      </c>
      <c r="AT47" s="292">
        <f t="shared" ca="1" si="26"/>
        <v>0</v>
      </c>
      <c r="AU47" s="292">
        <f t="shared" ca="1" si="26"/>
        <v>0</v>
      </c>
      <c r="AV47" s="292">
        <f t="shared" ca="1" si="26"/>
        <v>0</v>
      </c>
      <c r="AW47" s="292">
        <f t="shared" ca="1" si="26"/>
        <v>0</v>
      </c>
      <c r="AX47" s="292">
        <f t="shared" ca="1" si="26"/>
        <v>0</v>
      </c>
      <c r="AY47" s="292">
        <f t="shared" ca="1" si="26"/>
        <v>0</v>
      </c>
      <c r="AZ47" s="292">
        <f t="shared" ca="1" si="26"/>
        <v>0</v>
      </c>
      <c r="BA47" s="292">
        <f t="shared" ca="1" si="26"/>
        <v>0</v>
      </c>
      <c r="BB47" s="292">
        <f t="shared" ca="1" si="26"/>
        <v>0</v>
      </c>
      <c r="BC47" s="292">
        <f t="shared" ca="1" si="26"/>
        <v>0</v>
      </c>
      <c r="BD47" s="292">
        <f t="shared" ca="1" si="26"/>
        <v>0</v>
      </c>
      <c r="BE47" s="292">
        <f t="shared" ca="1" si="26"/>
        <v>0</v>
      </c>
      <c r="BF47" s="292">
        <f t="shared" ca="1" si="26"/>
        <v>0</v>
      </c>
      <c r="BG47" s="292">
        <f t="shared" ca="1" si="26"/>
        <v>0</v>
      </c>
      <c r="BH47" s="292">
        <f t="shared" ca="1" si="26"/>
        <v>0</v>
      </c>
      <c r="BI47" s="292">
        <f t="shared" ca="1" si="26"/>
        <v>0</v>
      </c>
      <c r="BJ47" s="292">
        <f t="shared" ca="1" si="26"/>
        <v>0</v>
      </c>
      <c r="BK47" s="292">
        <f t="shared" ca="1" si="26"/>
        <v>0</v>
      </c>
      <c r="BL47" s="292">
        <f t="shared" ca="1" si="26"/>
        <v>0</v>
      </c>
      <c r="BM47" s="292">
        <f t="shared" ca="1" si="26"/>
        <v>0</v>
      </c>
      <c r="BN47" s="1106"/>
      <c r="BO47" s="1106"/>
      <c r="BP47" s="1106"/>
      <c r="BQ47" s="157"/>
      <c r="BR47" s="157"/>
      <c r="BS47" s="912" t="s">
        <v>1156</v>
      </c>
    </row>
    <row r="48" spans="1:71" s="1057" customFormat="1" ht="27" customHeight="1">
      <c r="A48" s="165"/>
      <c r="B48" s="718"/>
      <c r="C48" s="165"/>
      <c r="D48" s="165"/>
      <c r="E48" s="623">
        <v>27.8</v>
      </c>
      <c r="F48" s="714" t="str">
        <f t="shared" ca="1" si="24"/>
        <v>1</v>
      </c>
      <c r="G48" s="130" t="s">
        <v>997</v>
      </c>
      <c r="H48" s="167"/>
      <c r="I48" s="167"/>
      <c r="J48" s="167"/>
      <c r="K48" s="167"/>
      <c r="L48" s="167"/>
      <c r="M48" s="167"/>
      <c r="N48" s="167"/>
      <c r="O48" s="167"/>
      <c r="P48" s="167"/>
      <c r="Q48" s="130"/>
      <c r="R48" s="130"/>
      <c r="S48" s="167"/>
      <c r="T48" s="634" t="b">
        <f t="shared" si="25"/>
        <v>1</v>
      </c>
      <c r="U48" s="1012"/>
      <c r="V48" s="1012"/>
      <c r="W48" s="1012"/>
      <c r="X48" s="1405"/>
      <c r="Y48" s="1012"/>
      <c r="Z48" s="1405"/>
      <c r="AA48" s="167"/>
      <c r="AB48" s="99" t="s">
        <v>339</v>
      </c>
      <c r="AC48" s="105" t="s">
        <v>45</v>
      </c>
      <c r="AD48" s="99" t="s">
        <v>648</v>
      </c>
      <c r="AE48" s="469">
        <f ca="1">SUMIFS('Покупка услуг'!AE$26:AE$65,'Покупка услуг'!$F$26:$F$65,$F48,'Покупка услуг'!$G$26:$G$65,$G48)</f>
        <v>0</v>
      </c>
      <c r="AF48" s="469">
        <f ca="1">SUMIFS('Покупка услуг'!AF$26:AF$65,'Покупка услуг'!$F$26:$F$65,$F48,'Покупка услуг'!$G$26:$G$65,$G48)</f>
        <v>0</v>
      </c>
      <c r="AG48" s="1185">
        <f ca="1">SUMIFS('Покупка услуг'!AG$26:AG$65,'Покупка услуг'!$F$26:$F$65,$F48,'Покупка услуг'!$G$26:$G$65,$G48)</f>
        <v>0</v>
      </c>
      <c r="AH48" s="293">
        <f t="shared" ref="AH48:AH64" ca="1" si="27">AG48-AF48</f>
        <v>0</v>
      </c>
      <c r="AI48" s="469">
        <f ca="1">SUMIFS('Покупка услуг'!AH$26:AH$65,'Покупка услуг'!$F$26:$F$65,$F48,'Покупка услуг'!$G$26:$G$65,$G48)</f>
        <v>0</v>
      </c>
      <c r="AJ48" s="469">
        <f ca="1">SUMIFS('Покупка услуг'!AI$26:AI$65,'Покупка услуг'!$F$26:$F$65,$F48,'Покупка услуг'!$G$26:$G$65,$G48)</f>
        <v>0</v>
      </c>
      <c r="AK48" s="469">
        <f ca="1">SUMIFS('Покупка услуг'!AJ$26:AJ$65,'Покупка услуг'!$F$26:$F$65,$F48,'Покупка услуг'!$G$26:$G$65,$G48)</f>
        <v>0</v>
      </c>
      <c r="AL48" s="469">
        <f ca="1">SUMIFS('Покупка услуг'!AK$26:AK$65,'Покупка услуг'!$F$26:$F$65,$F48,'Покупка услуг'!$G$26:$G$65,$G48)</f>
        <v>0</v>
      </c>
      <c r="AM48" s="469">
        <f ca="1">SUMIFS('Покупка услуг'!AL$26:AL$65,'Покупка услуг'!$F$26:$F$65,$F48,'Покупка услуг'!$G$26:$G$65,$G48)</f>
        <v>0</v>
      </c>
      <c r="AN48" s="469">
        <f ca="1">SUMIFS('Покупка услуг'!AM$26:AM$65,'Покупка услуг'!$F$26:$F$65,$F48,'Покупка услуг'!$G$26:$G$65,$G48)</f>
        <v>0</v>
      </c>
      <c r="AO48" s="469">
        <f ca="1">SUMIFS('Покупка услуг'!AN$26:AN$65,'Покупка услуг'!$F$26:$F$65,$F48,'Покупка услуг'!$G$26:$G$65,$G48)</f>
        <v>0</v>
      </c>
      <c r="AP48" s="469">
        <f ca="1">SUMIFS('Покупка услуг'!AO$26:AO$65,'Покупка услуг'!$F$26:$F$65,$F48,'Покупка услуг'!$G$26:$G$65,$G48)</f>
        <v>0</v>
      </c>
      <c r="AQ48" s="469">
        <f ca="1">SUMIFS('Покупка услуг'!AP$26:AP$65,'Покупка услуг'!$F$26:$F$65,$F48,'Покупка услуг'!$G$26:$G$65,$G48)</f>
        <v>0</v>
      </c>
      <c r="AR48" s="469">
        <f ca="1">SUMIFS('Покупка услуг'!AQ$26:AQ$65,'Покупка услуг'!$F$26:$F$65,$F48,'Покупка услуг'!$G$26:$G$65,$G48)</f>
        <v>0</v>
      </c>
      <c r="AS48" s="469">
        <f ca="1">SUMIFS('Покупка услуг'!AR$26:AR$65,'Покупка услуг'!$F$26:$F$65,$F48,'Покупка услуг'!$G$26:$G$65,$G48)</f>
        <v>0</v>
      </c>
      <c r="AT48" s="469">
        <f ca="1">SUMIFS('Покупка услуг'!AS$26:AS$65,'Покупка услуг'!$F$26:$F$65,$F48,'Покупка услуг'!$G$26:$G$65,$G48)</f>
        <v>0</v>
      </c>
      <c r="AU48" s="469">
        <f ca="1">SUMIFS('Покупка услуг'!AT$26:AT$65,'Покупка услуг'!$F$26:$F$65,$F48,'Покупка услуг'!$G$26:$G$65,$G48)</f>
        <v>0</v>
      </c>
      <c r="AV48" s="469">
        <f ca="1">SUMIFS('Покупка услуг'!AU$26:AU$65,'Покупка услуг'!$F$26:$F$65,$F48,'Покупка услуг'!$G$26:$G$65,$G48)</f>
        <v>0</v>
      </c>
      <c r="AW48" s="469">
        <f ca="1">SUMIFS('Покупка услуг'!AV$26:AV$65,'Покупка услуг'!$F$26:$F$65,$F48,'Покупка услуг'!$G$26:$G$65,$G48)</f>
        <v>0</v>
      </c>
      <c r="AX48" s="469">
        <f ca="1">SUMIFS('Покупка услуг'!AW$26:AW$65,'Покупка услуг'!$F$26:$F$65,$F48,'Покупка услуг'!$G$26:$G$65,$G48)</f>
        <v>0</v>
      </c>
      <c r="AY48" s="469">
        <f ca="1">SUMIFS('Покупка услуг'!AX$26:AX$65,'Покупка услуг'!$F$26:$F$65,$F48,'Покупка услуг'!$G$26:$G$65,$G48)</f>
        <v>0</v>
      </c>
      <c r="AZ48" s="469">
        <f ca="1">SUMIFS('Покупка услуг'!AY$26:AY$65,'Покупка услуг'!$F$26:$F$65,$F48,'Покупка услуг'!$G$26:$G$65,$G48)</f>
        <v>0</v>
      </c>
      <c r="BA48" s="469">
        <f ca="1">SUMIFS('Покупка услуг'!AZ$26:AZ$65,'Покупка услуг'!$F$26:$F$65,$F48,'Покупка услуг'!$G$26:$G$65,$G48)</f>
        <v>0</v>
      </c>
      <c r="BB48" s="469">
        <f ca="1">SUMIFS('Покупка услуг'!BA$26:BA$65,'Покупка услуг'!$F$26:$F$65,$F48,'Покупка услуг'!$G$26:$G$65,$G48)</f>
        <v>0</v>
      </c>
      <c r="BC48" s="469">
        <f ca="1">SUMIFS('Покупка услуг'!BB$26:BB$65,'Покупка услуг'!$F$26:$F$65,$F48,'Покупка услуг'!$G$26:$G$65,$G48)</f>
        <v>0</v>
      </c>
      <c r="BD48" s="293">
        <f t="shared" ref="BD48:BD64" ca="1" si="28">IF(AI48=0,0,(AT48-AI48)/AI48*100)</f>
        <v>0</v>
      </c>
      <c r="BE48" s="293">
        <f t="shared" ref="BE48:BE64" ca="1" si="29">IF(AT48=0,0,(AU48-AT48)/AT48*100)</f>
        <v>0</v>
      </c>
      <c r="BF48" s="293">
        <f t="shared" ref="BF48:BF64" ca="1" si="30">IF(AU48=0,0,(AV48-AU48)/AU48*100)</f>
        <v>0</v>
      </c>
      <c r="BG48" s="293">
        <f t="shared" ref="BG48:BG64" ca="1" si="31">IF(AV48=0,0,(AW48-AV48)/AV48*100)</f>
        <v>0</v>
      </c>
      <c r="BH48" s="293">
        <f t="shared" ref="BH48:BH64" ca="1" si="32">IF(AW48=0,0,(AX48-AW48)/AW48*100)</f>
        <v>0</v>
      </c>
      <c r="BI48" s="293">
        <f t="shared" ref="BI48:BI64" ca="1" si="33">IF(AX48=0,0,(AY48-AX48)/AX48*100)</f>
        <v>0</v>
      </c>
      <c r="BJ48" s="293">
        <f t="shared" ref="BJ48:BJ64" ca="1" si="34">IF(AY48=0,0,(AZ48-AY48)/AY48*100)</f>
        <v>0</v>
      </c>
      <c r="BK48" s="293">
        <f t="shared" ref="BK48:BK64" ca="1" si="35">IF(AZ48=0,0,(BA48-AZ48)/AZ48*100)</f>
        <v>0</v>
      </c>
      <c r="BL48" s="293">
        <f t="shared" ref="BL48:BL64" ca="1" si="36">IF(BA48=0,0,(BB48-BA48)/BA48*100)</f>
        <v>0</v>
      </c>
      <c r="BM48" s="293">
        <f t="shared" ref="BM48:BM64" ca="1" si="37">IF(BB48=0,0,(BC48-BB48)/BB48*100)</f>
        <v>0</v>
      </c>
      <c r="BN48" s="1106"/>
      <c r="BO48" s="1106"/>
      <c r="BP48" s="1106"/>
      <c r="BQ48" s="167"/>
      <c r="BR48" s="167"/>
      <c r="BS48" s="912" t="s">
        <v>1157</v>
      </c>
    </row>
    <row r="49" spans="1:71" s="1057" customFormat="1" ht="14.25" customHeight="1">
      <c r="A49" s="165"/>
      <c r="B49" s="718"/>
      <c r="C49" s="165"/>
      <c r="D49" s="165"/>
      <c r="E49" s="623">
        <v>15</v>
      </c>
      <c r="F49" s="714" t="str">
        <f t="shared" ca="1" si="24"/>
        <v>1</v>
      </c>
      <c r="G49" s="566" t="s">
        <v>973</v>
      </c>
      <c r="H49" s="167"/>
      <c r="I49" s="167"/>
      <c r="J49" s="167"/>
      <c r="K49" s="167"/>
      <c r="L49" s="167"/>
      <c r="M49" s="167"/>
      <c r="N49" s="167"/>
      <c r="O49" s="167"/>
      <c r="P49" s="167"/>
      <c r="Q49" s="130"/>
      <c r="R49" s="130"/>
      <c r="S49" s="167"/>
      <c r="T49" s="634" t="b">
        <f t="shared" si="25"/>
        <v>1</v>
      </c>
      <c r="U49" s="1012"/>
      <c r="V49" s="1012"/>
      <c r="W49" s="1012"/>
      <c r="X49" s="1405"/>
      <c r="Y49" s="1012"/>
      <c r="Z49" s="1405"/>
      <c r="AA49" s="167"/>
      <c r="AB49" s="99" t="s">
        <v>503</v>
      </c>
      <c r="AC49" s="105" t="s">
        <v>1158</v>
      </c>
      <c r="AD49" s="99" t="s">
        <v>648</v>
      </c>
      <c r="AE49" s="293">
        <f ca="1">SUMIFS(Аренда!AE$26:AE$51,Аренда!$F$26:$F$51,$F49,Аренда!$G$26:$G$51,$G49)</f>
        <v>0</v>
      </c>
      <c r="AF49" s="293">
        <f ca="1">SUMIFS(Аренда!AF$26:AF$51,Аренда!$F$26:$F$51,$F49,Аренда!$G$26:$G$51,$G49)</f>
        <v>0</v>
      </c>
      <c r="AG49" s="1142">
        <f ca="1">SUMIFS(Аренда!AG$26:AG$51,Аренда!$F$26:$F$51,$F49,Аренда!$G$26:$G$51,$G49)</f>
        <v>0</v>
      </c>
      <c r="AH49" s="293">
        <f t="shared" ca="1" si="27"/>
        <v>0</v>
      </c>
      <c r="AI49" s="293">
        <f ca="1">SUMIFS(Аренда!AH$26:AH$51,Аренда!$F$26:$F$51,$F49,Аренда!$G$26:$G$51,$G49)</f>
        <v>0</v>
      </c>
      <c r="AJ49" s="293">
        <f ca="1">SUMIFS(Аренда!AI$26:AI$51,Аренда!$F$26:$F$51,$F49,Аренда!$G$26:$G$51,$G49)</f>
        <v>0</v>
      </c>
      <c r="AK49" s="293">
        <f ca="1">SUMIFS(Аренда!AJ$26:AJ$51,Аренда!$F$26:$F$51,$F49,Аренда!$G$26:$G$51,$G49)</f>
        <v>0</v>
      </c>
      <c r="AL49" s="293">
        <f ca="1">SUMIFS(Аренда!AK$26:AK$51,Аренда!$F$26:$F$51,$F49,Аренда!$G$26:$G$51,$G49)</f>
        <v>0</v>
      </c>
      <c r="AM49" s="293">
        <f ca="1">SUMIFS(Аренда!AL$26:AL$51,Аренда!$F$26:$F$51,$F49,Аренда!$G$26:$G$51,$G49)</f>
        <v>0</v>
      </c>
      <c r="AN49" s="293">
        <f ca="1">SUMIFS(Аренда!AM$26:AM$51,Аренда!$F$26:$F$51,$F49,Аренда!$G$26:$G$51,$G49)</f>
        <v>0</v>
      </c>
      <c r="AO49" s="293">
        <f ca="1">SUMIFS(Аренда!AN$26:AN$51,Аренда!$F$26:$F$51,$F49,Аренда!$G$26:$G$51,$G49)</f>
        <v>0</v>
      </c>
      <c r="AP49" s="293">
        <f ca="1">SUMIFS(Аренда!AO$26:AO$51,Аренда!$F$26:$F$51,$F49,Аренда!$G$26:$G$51,$G49)</f>
        <v>0</v>
      </c>
      <c r="AQ49" s="293">
        <f ca="1">SUMIFS(Аренда!AP$26:AP$51,Аренда!$F$26:$F$51,$F49,Аренда!$G$26:$G$51,$G49)</f>
        <v>0</v>
      </c>
      <c r="AR49" s="293">
        <f ca="1">SUMIFS(Аренда!AQ$26:AQ$51,Аренда!$F$26:$F$51,$F49,Аренда!$G$26:$G$51,$G49)</f>
        <v>0</v>
      </c>
      <c r="AS49" s="293">
        <f ca="1">SUMIFS(Аренда!AR$26:AR$51,Аренда!$F$26:$F$51,$F49,Аренда!$G$26:$G$51,$G49)</f>
        <v>0</v>
      </c>
      <c r="AT49" s="293">
        <f ca="1">SUMIFS(Аренда!AS$26:AS$51,Аренда!$F$26:$F$51,$F49,Аренда!$G$26:$G$51,$G49)</f>
        <v>0</v>
      </c>
      <c r="AU49" s="293">
        <f ca="1">SUMIFS(Аренда!AT$26:AT$51,Аренда!$F$26:$F$51,$F49,Аренда!$G$26:$G$51,$G49)</f>
        <v>0</v>
      </c>
      <c r="AV49" s="293">
        <f ca="1">SUMIFS(Аренда!AU$26:AU$51,Аренда!$F$26:$F$51,$F49,Аренда!$G$26:$G$51,$G49)</f>
        <v>0</v>
      </c>
      <c r="AW49" s="293">
        <f ca="1">SUMIFS(Аренда!AV$26:AV$51,Аренда!$F$26:$F$51,$F49,Аренда!$G$26:$G$51,$G49)</f>
        <v>0</v>
      </c>
      <c r="AX49" s="293">
        <f ca="1">SUMIFS(Аренда!AW$26:AW$51,Аренда!$F$26:$F$51,$F49,Аренда!$G$26:$G$51,$G49)</f>
        <v>0</v>
      </c>
      <c r="AY49" s="293">
        <f ca="1">SUMIFS(Аренда!AX$26:AX$51,Аренда!$F$26:$F$51,$F49,Аренда!$G$26:$G$51,$G49)</f>
        <v>0</v>
      </c>
      <c r="AZ49" s="293">
        <f ca="1">SUMIFS(Аренда!AY$26:AY$51,Аренда!$F$26:$F$51,$F49,Аренда!$G$26:$G$51,$G49)</f>
        <v>0</v>
      </c>
      <c r="BA49" s="293">
        <f ca="1">SUMIFS(Аренда!AZ$26:AZ$51,Аренда!$F$26:$F$51,$F49,Аренда!$G$26:$G$51,$G49)</f>
        <v>0</v>
      </c>
      <c r="BB49" s="293">
        <f ca="1">SUMIFS(Аренда!BA$26:BA$51,Аренда!$F$26:$F$51,$F49,Аренда!$G$26:$G$51,$G49)</f>
        <v>0</v>
      </c>
      <c r="BC49" s="293">
        <f ca="1">SUMIFS(Аренда!BB$26:BB$51,Аренда!$F$26:$F$51,$F49,Аренда!$G$26:$G$51,$G49)</f>
        <v>0</v>
      </c>
      <c r="BD49" s="293">
        <f t="shared" ca="1" si="28"/>
        <v>0</v>
      </c>
      <c r="BE49" s="293">
        <f t="shared" ca="1" si="29"/>
        <v>0</v>
      </c>
      <c r="BF49" s="293">
        <f t="shared" ca="1" si="30"/>
        <v>0</v>
      </c>
      <c r="BG49" s="293">
        <f t="shared" ca="1" si="31"/>
        <v>0</v>
      </c>
      <c r="BH49" s="293">
        <f t="shared" ca="1" si="32"/>
        <v>0</v>
      </c>
      <c r="BI49" s="293">
        <f t="shared" ca="1" si="33"/>
        <v>0</v>
      </c>
      <c r="BJ49" s="293">
        <f t="shared" ca="1" si="34"/>
        <v>0</v>
      </c>
      <c r="BK49" s="293">
        <f t="shared" ca="1" si="35"/>
        <v>0</v>
      </c>
      <c r="BL49" s="293">
        <f t="shared" ca="1" si="36"/>
        <v>0</v>
      </c>
      <c r="BM49" s="293">
        <f t="shared" ca="1" si="37"/>
        <v>0</v>
      </c>
      <c r="BN49" s="1106"/>
      <c r="BO49" s="1106"/>
      <c r="BP49" s="1106"/>
      <c r="BQ49" s="167"/>
      <c r="BR49" s="167"/>
      <c r="BS49" s="912" t="s">
        <v>976</v>
      </c>
    </row>
    <row r="50" spans="1:71" s="1057" customFormat="1" ht="14.25" customHeight="1">
      <c r="A50" s="165"/>
      <c r="B50" s="718"/>
      <c r="C50" s="165"/>
      <c r="D50" s="165"/>
      <c r="E50" s="623">
        <v>15</v>
      </c>
      <c r="F50" s="714" t="str">
        <f t="shared" ca="1" si="24"/>
        <v>1</v>
      </c>
      <c r="G50" s="130" t="s">
        <v>977</v>
      </c>
      <c r="H50" s="167"/>
      <c r="I50" s="167"/>
      <c r="J50" s="167"/>
      <c r="K50" s="167"/>
      <c r="L50" s="167"/>
      <c r="M50" s="167"/>
      <c r="N50" s="167"/>
      <c r="O50" s="167"/>
      <c r="P50" s="167"/>
      <c r="Q50" s="130"/>
      <c r="R50" s="130"/>
      <c r="S50" s="167"/>
      <c r="T50" s="634" t="b">
        <f t="shared" si="25"/>
        <v>1</v>
      </c>
      <c r="U50" s="1012"/>
      <c r="V50" s="1012"/>
      <c r="W50" s="1012"/>
      <c r="X50" s="1405"/>
      <c r="Y50" s="1012"/>
      <c r="Z50" s="1405"/>
      <c r="AA50" s="167"/>
      <c r="AB50" s="99" t="s">
        <v>749</v>
      </c>
      <c r="AC50" s="105" t="s">
        <v>978</v>
      </c>
      <c r="AD50" s="99" t="s">
        <v>648</v>
      </c>
      <c r="AE50" s="293">
        <f ca="1">SUMIFS(Аренда!AE$26:AE$51,Аренда!$F$26:$F$51,$F50,Аренда!$G$26:$G$51,$G50)</f>
        <v>0</v>
      </c>
      <c r="AF50" s="293">
        <f ca="1">SUMIFS(Аренда!AF$26:AF$51,Аренда!$F$26:$F$51,$F50,Аренда!$G$26:$G$51,$G50)</f>
        <v>0</v>
      </c>
      <c r="AG50" s="1142">
        <f ca="1">SUMIFS(Аренда!AG$26:AG$51,Аренда!$F$26:$F$51,$F50,Аренда!$G$26:$G$51,$G50)</f>
        <v>0</v>
      </c>
      <c r="AH50" s="293">
        <f t="shared" ca="1" si="27"/>
        <v>0</v>
      </c>
      <c r="AI50" s="293">
        <f ca="1">SUMIFS(Аренда!AH$26:AH$51,Аренда!$F$26:$F$51,$F50,Аренда!$G$26:$G$51,$G50)</f>
        <v>0</v>
      </c>
      <c r="AJ50" s="293">
        <f ca="1">SUMIFS(Аренда!AI$26:AI$51,Аренда!$F$26:$F$51,$F50,Аренда!$G$26:$G$51,$G50)</f>
        <v>0</v>
      </c>
      <c r="AK50" s="293">
        <f ca="1">SUMIFS(Аренда!AJ$26:AJ$51,Аренда!$F$26:$F$51,$F50,Аренда!$G$26:$G$51,$G50)</f>
        <v>0</v>
      </c>
      <c r="AL50" s="293">
        <f ca="1">SUMIFS(Аренда!AK$26:AK$51,Аренда!$F$26:$F$51,$F50,Аренда!$G$26:$G$51,$G50)</f>
        <v>0</v>
      </c>
      <c r="AM50" s="293">
        <f ca="1">SUMIFS(Аренда!AL$26:AL$51,Аренда!$F$26:$F$51,$F50,Аренда!$G$26:$G$51,$G50)</f>
        <v>0</v>
      </c>
      <c r="AN50" s="293">
        <f ca="1">SUMIFS(Аренда!AM$26:AM$51,Аренда!$F$26:$F$51,$F50,Аренда!$G$26:$G$51,$G50)</f>
        <v>0</v>
      </c>
      <c r="AO50" s="293">
        <f ca="1">SUMIFS(Аренда!AN$26:AN$51,Аренда!$F$26:$F$51,$F50,Аренда!$G$26:$G$51,$G50)</f>
        <v>0</v>
      </c>
      <c r="AP50" s="293">
        <f ca="1">SUMIFS(Аренда!AO$26:AO$51,Аренда!$F$26:$F$51,$F50,Аренда!$G$26:$G$51,$G50)</f>
        <v>0</v>
      </c>
      <c r="AQ50" s="293">
        <f ca="1">SUMIFS(Аренда!AP$26:AP$51,Аренда!$F$26:$F$51,$F50,Аренда!$G$26:$G$51,$G50)</f>
        <v>0</v>
      </c>
      <c r="AR50" s="293">
        <f ca="1">SUMIFS(Аренда!AQ$26:AQ$51,Аренда!$F$26:$F$51,$F50,Аренда!$G$26:$G$51,$G50)</f>
        <v>0</v>
      </c>
      <c r="AS50" s="293">
        <f ca="1">SUMIFS(Аренда!AR$26:AR$51,Аренда!$F$26:$F$51,$F50,Аренда!$G$26:$G$51,$G50)</f>
        <v>0</v>
      </c>
      <c r="AT50" s="293">
        <f ca="1">SUMIFS(Аренда!AS$26:AS$51,Аренда!$F$26:$F$51,$F50,Аренда!$G$26:$G$51,$G50)</f>
        <v>0</v>
      </c>
      <c r="AU50" s="293">
        <f ca="1">SUMIFS(Аренда!AT$26:AT$51,Аренда!$F$26:$F$51,$F50,Аренда!$G$26:$G$51,$G50)</f>
        <v>0</v>
      </c>
      <c r="AV50" s="293">
        <f ca="1">SUMIFS(Аренда!AU$26:AU$51,Аренда!$F$26:$F$51,$F50,Аренда!$G$26:$G$51,$G50)</f>
        <v>0</v>
      </c>
      <c r="AW50" s="293">
        <f ca="1">SUMIFS(Аренда!AV$26:AV$51,Аренда!$F$26:$F$51,$F50,Аренда!$G$26:$G$51,$G50)</f>
        <v>0</v>
      </c>
      <c r="AX50" s="293">
        <f ca="1">SUMIFS(Аренда!AW$26:AW$51,Аренда!$F$26:$F$51,$F50,Аренда!$G$26:$G$51,$G50)</f>
        <v>0</v>
      </c>
      <c r="AY50" s="293">
        <f ca="1">SUMIFS(Аренда!AX$26:AX$51,Аренда!$F$26:$F$51,$F50,Аренда!$G$26:$G$51,$G50)</f>
        <v>0</v>
      </c>
      <c r="AZ50" s="293">
        <f ca="1">SUMIFS(Аренда!AY$26:AY$51,Аренда!$F$26:$F$51,$F50,Аренда!$G$26:$G$51,$G50)</f>
        <v>0</v>
      </c>
      <c r="BA50" s="293">
        <f ca="1">SUMIFS(Аренда!AZ$26:AZ$51,Аренда!$F$26:$F$51,$F50,Аренда!$G$26:$G$51,$G50)</f>
        <v>0</v>
      </c>
      <c r="BB50" s="293">
        <f ca="1">SUMIFS(Аренда!BA$26:BA$51,Аренда!$F$26:$F$51,$F50,Аренда!$G$26:$G$51,$G50)</f>
        <v>0</v>
      </c>
      <c r="BC50" s="293">
        <f ca="1">SUMIFS(Аренда!BB$26:BB$51,Аренда!$F$26:$F$51,$F50,Аренда!$G$26:$G$51,$G50)</f>
        <v>0</v>
      </c>
      <c r="BD50" s="293">
        <f t="shared" ca="1" si="28"/>
        <v>0</v>
      </c>
      <c r="BE50" s="293">
        <f t="shared" ca="1" si="29"/>
        <v>0</v>
      </c>
      <c r="BF50" s="293">
        <f t="shared" ca="1" si="30"/>
        <v>0</v>
      </c>
      <c r="BG50" s="293">
        <f t="shared" ca="1" si="31"/>
        <v>0</v>
      </c>
      <c r="BH50" s="293">
        <f t="shared" ca="1" si="32"/>
        <v>0</v>
      </c>
      <c r="BI50" s="293">
        <f t="shared" ca="1" si="33"/>
        <v>0</v>
      </c>
      <c r="BJ50" s="293">
        <f t="shared" ca="1" si="34"/>
        <v>0</v>
      </c>
      <c r="BK50" s="293">
        <f t="shared" ca="1" si="35"/>
        <v>0</v>
      </c>
      <c r="BL50" s="293">
        <f t="shared" ca="1" si="36"/>
        <v>0</v>
      </c>
      <c r="BM50" s="293">
        <f t="shared" ca="1" si="37"/>
        <v>0</v>
      </c>
      <c r="BN50" s="1106"/>
      <c r="BO50" s="1106"/>
      <c r="BP50" s="1106"/>
      <c r="BQ50" s="167"/>
      <c r="BR50" s="167"/>
      <c r="BS50" s="912" t="s">
        <v>1159</v>
      </c>
    </row>
    <row r="51" spans="1:71" s="1057" customFormat="1" ht="14.25" customHeight="1">
      <c r="A51" s="165"/>
      <c r="B51" s="718"/>
      <c r="C51" s="165"/>
      <c r="D51" s="165"/>
      <c r="E51" s="623">
        <v>15</v>
      </c>
      <c r="F51" s="714" t="str">
        <f t="shared" ca="1" si="24"/>
        <v>1</v>
      </c>
      <c r="G51" s="167"/>
      <c r="H51" s="167"/>
      <c r="I51" s="167"/>
      <c r="J51" s="167"/>
      <c r="K51" s="167"/>
      <c r="L51" s="167"/>
      <c r="M51" s="167"/>
      <c r="N51" s="167"/>
      <c r="O51" s="167"/>
      <c r="P51" s="167"/>
      <c r="Q51" s="130"/>
      <c r="R51" s="130"/>
      <c r="S51" s="167"/>
      <c r="T51" s="634" t="b">
        <f t="shared" si="25"/>
        <v>1</v>
      </c>
      <c r="U51" s="1012"/>
      <c r="V51" s="1012"/>
      <c r="W51" s="1012"/>
      <c r="X51" s="1405"/>
      <c r="Y51" s="1012"/>
      <c r="Z51" s="1405"/>
      <c r="AA51" s="167"/>
      <c r="AB51" s="99" t="s">
        <v>753</v>
      </c>
      <c r="AC51" s="105" t="s">
        <v>1160</v>
      </c>
      <c r="AD51" s="99" t="s">
        <v>648</v>
      </c>
      <c r="AE51" s="469">
        <f ca="1">SUM(AE52:AE54)</f>
        <v>0</v>
      </c>
      <c r="AF51" s="469">
        <f ca="1">SUM(AF52:AF54)</f>
        <v>0</v>
      </c>
      <c r="AG51" s="1185">
        <f ca="1">SUM(AG52:AG54)</f>
        <v>0</v>
      </c>
      <c r="AH51" s="293">
        <f t="shared" ca="1" si="27"/>
        <v>0</v>
      </c>
      <c r="AI51" s="469">
        <f t="shared" ref="AI51:BC51" ca="1" si="38">SUM(AI52:AI54)</f>
        <v>0</v>
      </c>
      <c r="AJ51" s="469">
        <f t="shared" ca="1" si="38"/>
        <v>0</v>
      </c>
      <c r="AK51" s="469">
        <f t="shared" ca="1" si="38"/>
        <v>0</v>
      </c>
      <c r="AL51" s="469">
        <f t="shared" ca="1" si="38"/>
        <v>0</v>
      </c>
      <c r="AM51" s="469">
        <f t="shared" ca="1" si="38"/>
        <v>0</v>
      </c>
      <c r="AN51" s="469">
        <f t="shared" ca="1" si="38"/>
        <v>0</v>
      </c>
      <c r="AO51" s="469">
        <f t="shared" ca="1" si="38"/>
        <v>0</v>
      </c>
      <c r="AP51" s="469">
        <f t="shared" ca="1" si="38"/>
        <v>0</v>
      </c>
      <c r="AQ51" s="469">
        <f t="shared" ca="1" si="38"/>
        <v>0</v>
      </c>
      <c r="AR51" s="469">
        <f t="shared" ca="1" si="38"/>
        <v>0</v>
      </c>
      <c r="AS51" s="469">
        <f t="shared" ca="1" si="38"/>
        <v>0</v>
      </c>
      <c r="AT51" s="469">
        <f t="shared" ca="1" si="38"/>
        <v>0</v>
      </c>
      <c r="AU51" s="469">
        <f t="shared" ca="1" si="38"/>
        <v>0</v>
      </c>
      <c r="AV51" s="469">
        <f t="shared" ca="1" si="38"/>
        <v>0</v>
      </c>
      <c r="AW51" s="469">
        <f t="shared" ca="1" si="38"/>
        <v>0</v>
      </c>
      <c r="AX51" s="469">
        <f t="shared" ca="1" si="38"/>
        <v>0</v>
      </c>
      <c r="AY51" s="469">
        <f t="shared" ca="1" si="38"/>
        <v>0</v>
      </c>
      <c r="AZ51" s="469">
        <f t="shared" ca="1" si="38"/>
        <v>0</v>
      </c>
      <c r="BA51" s="469">
        <f t="shared" ca="1" si="38"/>
        <v>0</v>
      </c>
      <c r="BB51" s="469">
        <f t="shared" ca="1" si="38"/>
        <v>0</v>
      </c>
      <c r="BC51" s="469">
        <f t="shared" ca="1" si="38"/>
        <v>0</v>
      </c>
      <c r="BD51" s="293">
        <f t="shared" ca="1" si="28"/>
        <v>0</v>
      </c>
      <c r="BE51" s="293">
        <f t="shared" ca="1" si="29"/>
        <v>0</v>
      </c>
      <c r="BF51" s="293">
        <f t="shared" ca="1" si="30"/>
        <v>0</v>
      </c>
      <c r="BG51" s="293">
        <f t="shared" ca="1" si="31"/>
        <v>0</v>
      </c>
      <c r="BH51" s="293">
        <f t="shared" ca="1" si="32"/>
        <v>0</v>
      </c>
      <c r="BI51" s="293">
        <f t="shared" ca="1" si="33"/>
        <v>0</v>
      </c>
      <c r="BJ51" s="293">
        <f t="shared" ca="1" si="34"/>
        <v>0</v>
      </c>
      <c r="BK51" s="293">
        <f t="shared" ca="1" si="35"/>
        <v>0</v>
      </c>
      <c r="BL51" s="293">
        <f t="shared" ca="1" si="36"/>
        <v>0</v>
      </c>
      <c r="BM51" s="293">
        <f t="shared" ca="1" si="37"/>
        <v>0</v>
      </c>
      <c r="BN51" s="1106"/>
      <c r="BO51" s="1106"/>
      <c r="BP51" s="1106"/>
      <c r="BQ51" s="167"/>
      <c r="BR51" s="167"/>
      <c r="BS51" s="912" t="s">
        <v>1161</v>
      </c>
    </row>
    <row r="52" spans="1:71" s="1057" customFormat="1" ht="39" customHeight="1">
      <c r="A52" s="165"/>
      <c r="B52" s="718"/>
      <c r="C52" s="165"/>
      <c r="D52" s="165"/>
      <c r="E52" s="623">
        <v>40.5</v>
      </c>
      <c r="F52" s="714" t="str">
        <f t="shared" ca="1" si="24"/>
        <v>1</v>
      </c>
      <c r="G52" s="130" t="s">
        <v>1062</v>
      </c>
      <c r="H52" s="167"/>
      <c r="I52" s="167"/>
      <c r="J52" s="167"/>
      <c r="K52" s="167"/>
      <c r="L52" s="167"/>
      <c r="M52" s="167"/>
      <c r="N52" s="167"/>
      <c r="O52" s="167"/>
      <c r="P52" s="167"/>
      <c r="Q52" s="130"/>
      <c r="R52" s="130"/>
      <c r="S52" s="167"/>
      <c r="T52" s="634" t="b">
        <f t="shared" si="25"/>
        <v>1</v>
      </c>
      <c r="U52" s="1012"/>
      <c r="V52" s="1012"/>
      <c r="W52" s="1012"/>
      <c r="X52" s="1405"/>
      <c r="Y52" s="1012"/>
      <c r="Z52" s="1405"/>
      <c r="AA52" s="167"/>
      <c r="AB52" s="99" t="s">
        <v>845</v>
      </c>
      <c r="AC52" s="105" t="s">
        <v>1063</v>
      </c>
      <c r="AD52" s="99" t="s">
        <v>648</v>
      </c>
      <c r="AE52" s="469">
        <f ca="1">SUMIFS(Налоги!AE$26:AE$55,Налоги!$F$26:$F$55,$F52,Налоги!$G$26:$G$55,$G52)</f>
        <v>0</v>
      </c>
      <c r="AF52" s="469">
        <f ca="1">SUMIFS(Налоги!AF$26:AF$55,Налоги!$F$26:$F$55,$F52,Налоги!$G$26:$G$55,$G52)</f>
        <v>0</v>
      </c>
      <c r="AG52" s="1185">
        <f ca="1">SUMIFS(Налоги!AG$26:AG$55,Налоги!$F$26:$F$55,$F52,Налоги!$G$26:$G$55,$G52)</f>
        <v>0</v>
      </c>
      <c r="AH52" s="293">
        <f t="shared" ca="1" si="27"/>
        <v>0</v>
      </c>
      <c r="AI52" s="469">
        <f ca="1">SUMIFS(Налоги!AH$26:AH$55,Налоги!$F$26:$F$55,$F52,Налоги!$G$26:$G$55,$G52)</f>
        <v>0</v>
      </c>
      <c r="AJ52" s="469">
        <f ca="1">SUMIFS(Налоги!AI$26:AI$55,Налоги!$F$26:$F$55,$F52,Налоги!$G$26:$G$55,$G52)</f>
        <v>0</v>
      </c>
      <c r="AK52" s="469">
        <f ca="1">SUMIFS(Налоги!AJ$26:AJ$55,Налоги!$F$26:$F$55,$F52,Налоги!$G$26:$G$55,$G52)</f>
        <v>0</v>
      </c>
      <c r="AL52" s="469">
        <f ca="1">SUMIFS(Налоги!AK$26:AK$55,Налоги!$F$26:$F$55,$F52,Налоги!$G$26:$G$55,$G52)</f>
        <v>0</v>
      </c>
      <c r="AM52" s="469">
        <f ca="1">SUMIFS(Налоги!AL$26:AL$55,Налоги!$F$26:$F$55,$F52,Налоги!$G$26:$G$55,$G52)</f>
        <v>0</v>
      </c>
      <c r="AN52" s="469">
        <f ca="1">SUMIFS(Налоги!AM$26:AM$55,Налоги!$F$26:$F$55,$F52,Налоги!$G$26:$G$55,$G52)</f>
        <v>0</v>
      </c>
      <c r="AO52" s="469">
        <f ca="1">SUMIFS(Налоги!AN$26:AN$55,Налоги!$F$26:$F$55,$F52,Налоги!$G$26:$G$55,$G52)</f>
        <v>0</v>
      </c>
      <c r="AP52" s="469">
        <f ca="1">SUMIFS(Налоги!AO$26:AO$55,Налоги!$F$26:$F$55,$F52,Налоги!$G$26:$G$55,$G52)</f>
        <v>0</v>
      </c>
      <c r="AQ52" s="469">
        <f ca="1">SUMIFS(Налоги!AP$26:AP$55,Налоги!$F$26:$F$55,$F52,Налоги!$G$26:$G$55,$G52)</f>
        <v>0</v>
      </c>
      <c r="AR52" s="469">
        <f ca="1">SUMIFS(Налоги!AQ$26:AQ$55,Налоги!$F$26:$F$55,$F52,Налоги!$G$26:$G$55,$G52)</f>
        <v>0</v>
      </c>
      <c r="AS52" s="469">
        <f ca="1">SUMIFS(Налоги!AR$26:AR$55,Налоги!$F$26:$F$55,$F52,Налоги!$G$26:$G$55,$G52)</f>
        <v>0</v>
      </c>
      <c r="AT52" s="469">
        <f ca="1">SUMIFS(Налоги!AS$26:AS$55,Налоги!$F$26:$F$55,$F52,Налоги!$G$26:$G$55,$G52)</f>
        <v>0</v>
      </c>
      <c r="AU52" s="469">
        <f ca="1">SUMIFS(Налоги!AT$26:AT$55,Налоги!$F$26:$F$55,$F52,Налоги!$G$26:$G$55,$G52)</f>
        <v>0</v>
      </c>
      <c r="AV52" s="469">
        <f ca="1">SUMIFS(Налоги!AU$26:AU$55,Налоги!$F$26:$F$55,$F52,Налоги!$G$26:$G$55,$G52)</f>
        <v>0</v>
      </c>
      <c r="AW52" s="469">
        <f ca="1">SUMIFS(Налоги!AV$26:AV$55,Налоги!$F$26:$F$55,$F52,Налоги!$G$26:$G$55,$G52)</f>
        <v>0</v>
      </c>
      <c r="AX52" s="469">
        <f ca="1">SUMIFS(Налоги!AW$26:AW$55,Налоги!$F$26:$F$55,$F52,Налоги!$G$26:$G$55,$G52)</f>
        <v>0</v>
      </c>
      <c r="AY52" s="469">
        <f ca="1">SUMIFS(Налоги!AX$26:AX$55,Налоги!$F$26:$F$55,$F52,Налоги!$G$26:$G$55,$G52)</f>
        <v>0</v>
      </c>
      <c r="AZ52" s="469">
        <f ca="1">SUMIFS(Налоги!AY$26:AY$55,Налоги!$F$26:$F$55,$F52,Налоги!$G$26:$G$55,$G52)</f>
        <v>0</v>
      </c>
      <c r="BA52" s="469">
        <f ca="1">SUMIFS(Налоги!AZ$26:AZ$55,Налоги!$F$26:$F$55,$F52,Налоги!$G$26:$G$55,$G52)</f>
        <v>0</v>
      </c>
      <c r="BB52" s="469">
        <f ca="1">SUMIFS(Налоги!BA$26:BA$55,Налоги!$F$26:$F$55,$F52,Налоги!$G$26:$G$55,$G52)</f>
        <v>0</v>
      </c>
      <c r="BC52" s="469">
        <f ca="1">SUMIFS(Налоги!BB$26:BB$55,Налоги!$F$26:$F$55,$F52,Налоги!$G$26:$G$55,$G52)</f>
        <v>0</v>
      </c>
      <c r="BD52" s="293">
        <f t="shared" ca="1" si="28"/>
        <v>0</v>
      </c>
      <c r="BE52" s="293">
        <f t="shared" ca="1" si="29"/>
        <v>0</v>
      </c>
      <c r="BF52" s="293">
        <f t="shared" ca="1" si="30"/>
        <v>0</v>
      </c>
      <c r="BG52" s="293">
        <f t="shared" ca="1" si="31"/>
        <v>0</v>
      </c>
      <c r="BH52" s="293">
        <f t="shared" ca="1" si="32"/>
        <v>0</v>
      </c>
      <c r="BI52" s="293">
        <f t="shared" ca="1" si="33"/>
        <v>0</v>
      </c>
      <c r="BJ52" s="293">
        <f t="shared" ca="1" si="34"/>
        <v>0</v>
      </c>
      <c r="BK52" s="293">
        <f t="shared" ca="1" si="35"/>
        <v>0</v>
      </c>
      <c r="BL52" s="293">
        <f t="shared" ca="1" si="36"/>
        <v>0</v>
      </c>
      <c r="BM52" s="293">
        <f t="shared" ca="1" si="37"/>
        <v>0</v>
      </c>
      <c r="BN52" s="1106"/>
      <c r="BO52" s="1106"/>
      <c r="BP52" s="1106"/>
      <c r="BQ52" s="167"/>
      <c r="BR52" s="167"/>
      <c r="BS52" s="912" t="s">
        <v>1162</v>
      </c>
    </row>
    <row r="53" spans="1:71" s="1186" customFormat="1" ht="14.25" customHeight="1">
      <c r="A53" s="172"/>
      <c r="B53" s="172"/>
      <c r="C53" s="172"/>
      <c r="D53" s="172"/>
      <c r="E53" s="623">
        <v>15</v>
      </c>
      <c r="F53" s="714" t="str">
        <f t="shared" ca="1" si="24"/>
        <v>1</v>
      </c>
      <c r="G53" s="130" t="s">
        <v>1069</v>
      </c>
      <c r="H53" s="172"/>
      <c r="I53" s="172"/>
      <c r="J53" s="172"/>
      <c r="K53" s="172"/>
      <c r="L53" s="172"/>
      <c r="M53" s="172"/>
      <c r="N53" s="172"/>
      <c r="O53" s="172"/>
      <c r="P53" s="172"/>
      <c r="Q53" s="172"/>
      <c r="R53" s="172"/>
      <c r="S53" s="172"/>
      <c r="T53" s="634" t="b">
        <f t="shared" si="25"/>
        <v>1</v>
      </c>
      <c r="U53" s="172"/>
      <c r="V53" s="172"/>
      <c r="W53" s="172"/>
      <c r="X53" s="1499"/>
      <c r="Y53" s="172"/>
      <c r="Z53" s="1499"/>
      <c r="AA53" s="172"/>
      <c r="AB53" s="99" t="s">
        <v>848</v>
      </c>
      <c r="AC53" s="105" t="s">
        <v>1163</v>
      </c>
      <c r="AD53" s="99" t="s">
        <v>648</v>
      </c>
      <c r="AE53" s="469">
        <f ca="1">SUMIFS(Налоги!AE$26:AE$55,Налоги!$F$26:$F$55,$F53,Налоги!$G$26:$G$55,$G53)</f>
        <v>0</v>
      </c>
      <c r="AF53" s="469">
        <f ca="1">SUMIFS(Налоги!AF$26:AF$55,Налоги!$F$26:$F$55,$F53,Налоги!$G$26:$G$55,$G53)</f>
        <v>0</v>
      </c>
      <c r="AG53" s="1185">
        <f ca="1">SUMIFS(Налоги!AG$26:AG$55,Налоги!$F$26:$F$55,$F53,Налоги!$G$26:$G$55,$G53)</f>
        <v>0</v>
      </c>
      <c r="AH53" s="293">
        <f t="shared" ca="1" si="27"/>
        <v>0</v>
      </c>
      <c r="AI53" s="469">
        <f ca="1">SUMIFS(Налоги!AH$26:AH$55,Налоги!$F$26:$F$55,$F53,Налоги!$G$26:$G$55,$G53)</f>
        <v>0</v>
      </c>
      <c r="AJ53" s="469">
        <f ca="1">SUMIFS(Налоги!AI$26:AI$55,Налоги!$F$26:$F$55,$F53,Налоги!$G$26:$G$55,$G53)</f>
        <v>0</v>
      </c>
      <c r="AK53" s="469">
        <f ca="1">SUMIFS(Налоги!AJ$26:AJ$55,Налоги!$F$26:$F$55,$F53,Налоги!$G$26:$G$55,$G53)</f>
        <v>0</v>
      </c>
      <c r="AL53" s="469">
        <f ca="1">SUMIFS(Налоги!AK$26:AK$55,Налоги!$F$26:$F$55,$F53,Налоги!$G$26:$G$55,$G53)</f>
        <v>0</v>
      </c>
      <c r="AM53" s="469">
        <f ca="1">SUMIFS(Налоги!AL$26:AL$55,Налоги!$F$26:$F$55,$F53,Налоги!$G$26:$G$55,$G53)</f>
        <v>0</v>
      </c>
      <c r="AN53" s="469">
        <f ca="1">SUMIFS(Налоги!AM$26:AM$55,Налоги!$F$26:$F$55,$F53,Налоги!$G$26:$G$55,$G53)</f>
        <v>0</v>
      </c>
      <c r="AO53" s="469">
        <f ca="1">SUMIFS(Налоги!AN$26:AN$55,Налоги!$F$26:$F$55,$F53,Налоги!$G$26:$G$55,$G53)</f>
        <v>0</v>
      </c>
      <c r="AP53" s="469">
        <f ca="1">SUMIFS(Налоги!AO$26:AO$55,Налоги!$F$26:$F$55,$F53,Налоги!$G$26:$G$55,$G53)</f>
        <v>0</v>
      </c>
      <c r="AQ53" s="469">
        <f ca="1">SUMIFS(Налоги!AP$26:AP$55,Налоги!$F$26:$F$55,$F53,Налоги!$G$26:$G$55,$G53)</f>
        <v>0</v>
      </c>
      <c r="AR53" s="469">
        <f ca="1">SUMIFS(Налоги!AQ$26:AQ$55,Налоги!$F$26:$F$55,$F53,Налоги!$G$26:$G$55,$G53)</f>
        <v>0</v>
      </c>
      <c r="AS53" s="469">
        <f ca="1">SUMIFS(Налоги!AR$26:AR$55,Налоги!$F$26:$F$55,$F53,Налоги!$G$26:$G$55,$G53)</f>
        <v>0</v>
      </c>
      <c r="AT53" s="469">
        <f ca="1">SUMIFS(Налоги!AS$26:AS$55,Налоги!$F$26:$F$55,$F53,Налоги!$G$26:$G$55,$G53)</f>
        <v>0</v>
      </c>
      <c r="AU53" s="469">
        <f ca="1">SUMIFS(Налоги!AT$26:AT$55,Налоги!$F$26:$F$55,$F53,Налоги!$G$26:$G$55,$G53)</f>
        <v>0</v>
      </c>
      <c r="AV53" s="469">
        <f ca="1">SUMIFS(Налоги!AU$26:AU$55,Налоги!$F$26:$F$55,$F53,Налоги!$G$26:$G$55,$G53)</f>
        <v>0</v>
      </c>
      <c r="AW53" s="469">
        <f ca="1">SUMIFS(Налоги!AV$26:AV$55,Налоги!$F$26:$F$55,$F53,Налоги!$G$26:$G$55,$G53)</f>
        <v>0</v>
      </c>
      <c r="AX53" s="469">
        <f ca="1">SUMIFS(Налоги!AW$26:AW$55,Налоги!$F$26:$F$55,$F53,Налоги!$G$26:$G$55,$G53)</f>
        <v>0</v>
      </c>
      <c r="AY53" s="469">
        <f ca="1">SUMIFS(Налоги!AX$26:AX$55,Налоги!$F$26:$F$55,$F53,Налоги!$G$26:$G$55,$G53)</f>
        <v>0</v>
      </c>
      <c r="AZ53" s="469">
        <f ca="1">SUMIFS(Налоги!AY$26:AY$55,Налоги!$F$26:$F$55,$F53,Налоги!$G$26:$G$55,$G53)</f>
        <v>0</v>
      </c>
      <c r="BA53" s="469">
        <f ca="1">SUMIFS(Налоги!AZ$26:AZ$55,Налоги!$F$26:$F$55,$F53,Налоги!$G$26:$G$55,$G53)</f>
        <v>0</v>
      </c>
      <c r="BB53" s="469">
        <f ca="1">SUMIFS(Налоги!BA$26:BA$55,Налоги!$F$26:$F$55,$F53,Налоги!$G$26:$G$55,$G53)</f>
        <v>0</v>
      </c>
      <c r="BC53" s="469">
        <f ca="1">SUMIFS(Налоги!BB$26:BB$55,Налоги!$F$26:$F$55,$F53,Налоги!$G$26:$G$55,$G53)</f>
        <v>0</v>
      </c>
      <c r="BD53" s="293">
        <f t="shared" ca="1" si="28"/>
        <v>0</v>
      </c>
      <c r="BE53" s="293">
        <f t="shared" ca="1" si="29"/>
        <v>0</v>
      </c>
      <c r="BF53" s="293">
        <f t="shared" ca="1" si="30"/>
        <v>0</v>
      </c>
      <c r="BG53" s="293">
        <f t="shared" ca="1" si="31"/>
        <v>0</v>
      </c>
      <c r="BH53" s="293">
        <f t="shared" ca="1" si="32"/>
        <v>0</v>
      </c>
      <c r="BI53" s="293">
        <f t="shared" ca="1" si="33"/>
        <v>0</v>
      </c>
      <c r="BJ53" s="293">
        <f t="shared" ca="1" si="34"/>
        <v>0</v>
      </c>
      <c r="BK53" s="293">
        <f t="shared" ca="1" si="35"/>
        <v>0</v>
      </c>
      <c r="BL53" s="293">
        <f t="shared" ca="1" si="36"/>
        <v>0</v>
      </c>
      <c r="BM53" s="293">
        <f t="shared" ca="1" si="37"/>
        <v>0</v>
      </c>
      <c r="BN53" s="1106"/>
      <c r="BO53" s="1106"/>
      <c r="BP53" s="1106"/>
      <c r="BQ53" s="172"/>
      <c r="BR53" s="172"/>
      <c r="BS53" s="912" t="s">
        <v>1164</v>
      </c>
    </row>
    <row r="54" spans="1:71" s="1187" customFormat="1" ht="14.25" customHeight="1">
      <c r="A54" s="172"/>
      <c r="B54" s="172"/>
      <c r="C54" s="172"/>
      <c r="D54" s="172"/>
      <c r="E54" s="623">
        <v>15</v>
      </c>
      <c r="F54" s="714" t="str">
        <f t="shared" ca="1" si="24"/>
        <v>1</v>
      </c>
      <c r="G54" s="130" t="s">
        <v>1065</v>
      </c>
      <c r="H54" s="172"/>
      <c r="I54" s="172"/>
      <c r="J54" s="172"/>
      <c r="K54" s="172"/>
      <c r="L54" s="172"/>
      <c r="M54" s="172"/>
      <c r="N54" s="172"/>
      <c r="O54" s="172"/>
      <c r="P54" s="172"/>
      <c r="Q54" s="172"/>
      <c r="R54" s="172"/>
      <c r="S54" s="172"/>
      <c r="T54" s="634" t="b">
        <f t="shared" si="25"/>
        <v>1</v>
      </c>
      <c r="U54" s="172"/>
      <c r="V54" s="172"/>
      <c r="W54" s="172"/>
      <c r="X54" s="1499"/>
      <c r="Y54" s="172"/>
      <c r="Z54" s="1499"/>
      <c r="AA54" s="172"/>
      <c r="AB54" s="99" t="s">
        <v>851</v>
      </c>
      <c r="AC54" s="105" t="s">
        <v>1165</v>
      </c>
      <c r="AD54" s="99" t="s">
        <v>648</v>
      </c>
      <c r="AE54" s="469">
        <f ca="1">SUMIFS(Налоги!AE$26:AE$55,Налоги!$F$26:$F$55,$F54,Налоги!$G$26:$G$55,$G54)</f>
        <v>0</v>
      </c>
      <c r="AF54" s="469">
        <f ca="1">SUMIFS(Налоги!AF$26:AF$55,Налоги!$F$26:$F$55,$F54,Налоги!$G$26:$G$55,$G54)</f>
        <v>0</v>
      </c>
      <c r="AG54" s="1185">
        <f ca="1">SUMIFS(Налоги!AG$26:AG$55,Налоги!$F$26:$F$55,$F54,Налоги!$G$26:$G$55,$G54)</f>
        <v>0</v>
      </c>
      <c r="AH54" s="293">
        <f t="shared" ca="1" si="27"/>
        <v>0</v>
      </c>
      <c r="AI54" s="469">
        <f ca="1">SUMIFS(Налоги!AH$26:AH$55,Налоги!$F$26:$F$55,$F54,Налоги!$G$26:$G$55,$G54)</f>
        <v>0</v>
      </c>
      <c r="AJ54" s="469">
        <f ca="1">SUMIFS(Налоги!AI$26:AI$55,Налоги!$F$26:$F$55,$F54,Налоги!$G$26:$G$55,$G54)</f>
        <v>0</v>
      </c>
      <c r="AK54" s="469">
        <f ca="1">SUMIFS(Налоги!AJ$26:AJ$55,Налоги!$F$26:$F$55,$F54,Налоги!$G$26:$G$55,$G54)</f>
        <v>0</v>
      </c>
      <c r="AL54" s="469">
        <f ca="1">SUMIFS(Налоги!AK$26:AK$55,Налоги!$F$26:$F$55,$F54,Налоги!$G$26:$G$55,$G54)</f>
        <v>0</v>
      </c>
      <c r="AM54" s="469">
        <f ca="1">SUMIFS(Налоги!AL$26:AL$55,Налоги!$F$26:$F$55,$F54,Налоги!$G$26:$G$55,$G54)</f>
        <v>0</v>
      </c>
      <c r="AN54" s="469">
        <f ca="1">SUMIFS(Налоги!AM$26:AM$55,Налоги!$F$26:$F$55,$F54,Налоги!$G$26:$G$55,$G54)</f>
        <v>0</v>
      </c>
      <c r="AO54" s="469">
        <f ca="1">SUMIFS(Налоги!AN$26:AN$55,Налоги!$F$26:$F$55,$F54,Налоги!$G$26:$G$55,$G54)</f>
        <v>0</v>
      </c>
      <c r="AP54" s="469">
        <f ca="1">SUMIFS(Налоги!AO$26:AO$55,Налоги!$F$26:$F$55,$F54,Налоги!$G$26:$G$55,$G54)</f>
        <v>0</v>
      </c>
      <c r="AQ54" s="469">
        <f ca="1">SUMIFS(Налоги!AP$26:AP$55,Налоги!$F$26:$F$55,$F54,Налоги!$G$26:$G$55,$G54)</f>
        <v>0</v>
      </c>
      <c r="AR54" s="469">
        <f ca="1">SUMIFS(Налоги!AQ$26:AQ$55,Налоги!$F$26:$F$55,$F54,Налоги!$G$26:$G$55,$G54)</f>
        <v>0</v>
      </c>
      <c r="AS54" s="469">
        <f ca="1">SUMIFS(Налоги!AR$26:AR$55,Налоги!$F$26:$F$55,$F54,Налоги!$G$26:$G$55,$G54)</f>
        <v>0</v>
      </c>
      <c r="AT54" s="469">
        <f ca="1">SUMIFS(Налоги!AS$26:AS$55,Налоги!$F$26:$F$55,$F54,Налоги!$G$26:$G$55,$G54)</f>
        <v>0</v>
      </c>
      <c r="AU54" s="469">
        <f ca="1">SUMIFS(Налоги!AT$26:AT$55,Налоги!$F$26:$F$55,$F54,Налоги!$G$26:$G$55,$G54)</f>
        <v>0</v>
      </c>
      <c r="AV54" s="469">
        <f ca="1">SUMIFS(Налоги!AU$26:AU$55,Налоги!$F$26:$F$55,$F54,Налоги!$G$26:$G$55,$G54)</f>
        <v>0</v>
      </c>
      <c r="AW54" s="469">
        <f ca="1">SUMIFS(Налоги!AV$26:AV$55,Налоги!$F$26:$F$55,$F54,Налоги!$G$26:$G$55,$G54)</f>
        <v>0</v>
      </c>
      <c r="AX54" s="469">
        <f ca="1">SUMIFS(Налоги!AW$26:AW$55,Налоги!$F$26:$F$55,$F54,Налоги!$G$26:$G$55,$G54)</f>
        <v>0</v>
      </c>
      <c r="AY54" s="469">
        <f ca="1">SUMIFS(Налоги!AX$26:AX$55,Налоги!$F$26:$F$55,$F54,Налоги!$G$26:$G$55,$G54)</f>
        <v>0</v>
      </c>
      <c r="AZ54" s="469">
        <f ca="1">SUMIFS(Налоги!AY$26:AY$55,Налоги!$F$26:$F$55,$F54,Налоги!$G$26:$G$55,$G54)</f>
        <v>0</v>
      </c>
      <c r="BA54" s="469">
        <f ca="1">SUMIFS(Налоги!AZ$26:AZ$55,Налоги!$F$26:$F$55,$F54,Налоги!$G$26:$G$55,$G54)</f>
        <v>0</v>
      </c>
      <c r="BB54" s="469">
        <f ca="1">SUMIFS(Налоги!BA$26:BA$55,Налоги!$F$26:$F$55,$F54,Налоги!$G$26:$G$55,$G54)</f>
        <v>0</v>
      </c>
      <c r="BC54" s="469">
        <f ca="1">SUMIFS(Налоги!BB$26:BB$55,Налоги!$F$26:$F$55,$F54,Налоги!$G$26:$G$55,$G54)</f>
        <v>0</v>
      </c>
      <c r="BD54" s="293">
        <f t="shared" ca="1" si="28"/>
        <v>0</v>
      </c>
      <c r="BE54" s="293">
        <f t="shared" ca="1" si="29"/>
        <v>0</v>
      </c>
      <c r="BF54" s="293">
        <f t="shared" ca="1" si="30"/>
        <v>0</v>
      </c>
      <c r="BG54" s="293">
        <f t="shared" ca="1" si="31"/>
        <v>0</v>
      </c>
      <c r="BH54" s="293">
        <f t="shared" ca="1" si="32"/>
        <v>0</v>
      </c>
      <c r="BI54" s="293">
        <f t="shared" ca="1" si="33"/>
        <v>0</v>
      </c>
      <c r="BJ54" s="293">
        <f t="shared" ca="1" si="34"/>
        <v>0</v>
      </c>
      <c r="BK54" s="293">
        <f t="shared" ca="1" si="35"/>
        <v>0</v>
      </c>
      <c r="BL54" s="293">
        <f t="shared" ca="1" si="36"/>
        <v>0</v>
      </c>
      <c r="BM54" s="293">
        <f t="shared" ca="1" si="37"/>
        <v>0</v>
      </c>
      <c r="BN54" s="1106"/>
      <c r="BO54" s="1106"/>
      <c r="BP54" s="1106"/>
      <c r="BQ54" s="172"/>
      <c r="BR54" s="172"/>
      <c r="BS54" s="912" t="s">
        <v>1085</v>
      </c>
    </row>
    <row r="55" spans="1:71" s="1057" customFormat="1" ht="14.25" customHeight="1">
      <c r="A55" s="165"/>
      <c r="B55" s="718"/>
      <c r="C55" s="165"/>
      <c r="D55" s="165"/>
      <c r="E55" s="623">
        <v>15</v>
      </c>
      <c r="F55" s="714" t="str">
        <f t="shared" ca="1" si="24"/>
        <v>1</v>
      </c>
      <c r="G55" s="167"/>
      <c r="H55" s="167"/>
      <c r="I55" s="167"/>
      <c r="J55" s="167"/>
      <c r="K55" s="167"/>
      <c r="L55" s="167"/>
      <c r="M55" s="167"/>
      <c r="N55" s="167"/>
      <c r="O55" s="167"/>
      <c r="P55" s="167"/>
      <c r="Q55" s="130"/>
      <c r="R55" s="130"/>
      <c r="S55" s="167"/>
      <c r="T55" s="634" t="b">
        <f t="shared" si="25"/>
        <v>1</v>
      </c>
      <c r="U55" s="1012"/>
      <c r="V55" s="1012"/>
      <c r="W55" s="1012"/>
      <c r="X55" s="1405"/>
      <c r="Y55" s="1012"/>
      <c r="Z55" s="1405"/>
      <c r="AA55" s="167"/>
      <c r="AB55" s="99" t="s">
        <v>860</v>
      </c>
      <c r="AC55" s="105" t="s">
        <v>1166</v>
      </c>
      <c r="AD55" s="99" t="s">
        <v>648</v>
      </c>
      <c r="AE55" s="1185"/>
      <c r="AF55" s="1185"/>
      <c r="AG55" s="1185"/>
      <c r="AH55" s="293">
        <f t="shared" si="27"/>
        <v>0</v>
      </c>
      <c r="AI55" s="1185"/>
      <c r="AJ55" s="471"/>
      <c r="AK55" s="1181"/>
      <c r="AL55" s="1181"/>
      <c r="AM55" s="1185"/>
      <c r="AN55" s="1185"/>
      <c r="AO55" s="1185"/>
      <c r="AP55" s="1185"/>
      <c r="AQ55" s="1185"/>
      <c r="AR55" s="1185"/>
      <c r="AS55" s="1185"/>
      <c r="AT55" s="471"/>
      <c r="AU55" s="1181"/>
      <c r="AV55" s="1181"/>
      <c r="AW55" s="1185"/>
      <c r="AX55" s="1185"/>
      <c r="AY55" s="1185"/>
      <c r="AZ55" s="1185"/>
      <c r="BA55" s="1185"/>
      <c r="BB55" s="1185"/>
      <c r="BC55" s="1185"/>
      <c r="BD55" s="293">
        <f t="shared" si="28"/>
        <v>0</v>
      </c>
      <c r="BE55" s="293">
        <f t="shared" si="29"/>
        <v>0</v>
      </c>
      <c r="BF55" s="293">
        <f t="shared" si="30"/>
        <v>0</v>
      </c>
      <c r="BG55" s="293">
        <f t="shared" si="31"/>
        <v>0</v>
      </c>
      <c r="BH55" s="293">
        <f t="shared" si="32"/>
        <v>0</v>
      </c>
      <c r="BI55" s="293">
        <f t="shared" si="33"/>
        <v>0</v>
      </c>
      <c r="BJ55" s="293">
        <f t="shared" si="34"/>
        <v>0</v>
      </c>
      <c r="BK55" s="293">
        <f t="shared" si="35"/>
        <v>0</v>
      </c>
      <c r="BL55" s="293">
        <f t="shared" si="36"/>
        <v>0</v>
      </c>
      <c r="BM55" s="293">
        <f t="shared" si="37"/>
        <v>0</v>
      </c>
      <c r="BN55" s="1106"/>
      <c r="BO55" s="1106"/>
      <c r="BP55" s="1106"/>
      <c r="BQ55" s="167"/>
      <c r="BR55" s="167"/>
      <c r="BS55" s="912" t="s">
        <v>1167</v>
      </c>
    </row>
    <row r="56" spans="1:71" s="1057" customFormat="1" ht="14.25" customHeight="1">
      <c r="A56" s="165"/>
      <c r="B56" s="718"/>
      <c r="C56" s="165"/>
      <c r="D56" s="165"/>
      <c r="E56" s="623">
        <v>15</v>
      </c>
      <c r="F56" s="714" t="str">
        <f t="shared" ca="1" si="24"/>
        <v>1</v>
      </c>
      <c r="G56" s="167"/>
      <c r="H56" s="167"/>
      <c r="I56" s="167"/>
      <c r="J56" s="167"/>
      <c r="K56" s="167"/>
      <c r="L56" s="167"/>
      <c r="M56" s="167"/>
      <c r="N56" s="167"/>
      <c r="O56" s="167"/>
      <c r="P56" s="167"/>
      <c r="Q56" s="130"/>
      <c r="R56" s="130"/>
      <c r="S56" s="167"/>
      <c r="T56" s="634" t="b">
        <f t="shared" si="25"/>
        <v>1</v>
      </c>
      <c r="U56" s="1012"/>
      <c r="V56" s="1012"/>
      <c r="W56" s="1012"/>
      <c r="X56" s="1405"/>
      <c r="Y56" s="1012"/>
      <c r="Z56" s="1405"/>
      <c r="AA56" s="167"/>
      <c r="AB56" s="99" t="s">
        <v>1168</v>
      </c>
      <c r="AC56" s="685" t="s">
        <v>1169</v>
      </c>
      <c r="AD56" s="99" t="s">
        <v>388</v>
      </c>
      <c r="AE56" s="1188"/>
      <c r="AF56" s="1188"/>
      <c r="AG56" s="1188"/>
      <c r="AH56" s="293">
        <f t="shared" si="27"/>
        <v>0</v>
      </c>
      <c r="AI56" s="1188"/>
      <c r="AJ56" s="485"/>
      <c r="AK56" s="1182"/>
      <c r="AL56" s="1182"/>
      <c r="AM56" s="1188"/>
      <c r="AN56" s="1188"/>
      <c r="AO56" s="1188"/>
      <c r="AP56" s="1188"/>
      <c r="AQ56" s="1188"/>
      <c r="AR56" s="1188"/>
      <c r="AS56" s="1188"/>
      <c r="AT56" s="485"/>
      <c r="AU56" s="1182"/>
      <c r="AV56" s="1182"/>
      <c r="AW56" s="1188"/>
      <c r="AX56" s="1188"/>
      <c r="AY56" s="1188"/>
      <c r="AZ56" s="1188"/>
      <c r="BA56" s="1188"/>
      <c r="BB56" s="1188"/>
      <c r="BC56" s="1188"/>
      <c r="BD56" s="293">
        <f t="shared" si="28"/>
        <v>0</v>
      </c>
      <c r="BE56" s="293">
        <f t="shared" si="29"/>
        <v>0</v>
      </c>
      <c r="BF56" s="293">
        <f t="shared" si="30"/>
        <v>0</v>
      </c>
      <c r="BG56" s="293">
        <f t="shared" si="31"/>
        <v>0</v>
      </c>
      <c r="BH56" s="293">
        <f t="shared" si="32"/>
        <v>0</v>
      </c>
      <c r="BI56" s="293">
        <f t="shared" si="33"/>
        <v>0</v>
      </c>
      <c r="BJ56" s="293">
        <f t="shared" si="34"/>
        <v>0</v>
      </c>
      <c r="BK56" s="293">
        <f t="shared" si="35"/>
        <v>0</v>
      </c>
      <c r="BL56" s="293">
        <f t="shared" si="36"/>
        <v>0</v>
      </c>
      <c r="BM56" s="293">
        <f t="shared" si="37"/>
        <v>0</v>
      </c>
      <c r="BN56" s="1106"/>
      <c r="BO56" s="1106"/>
      <c r="BP56" s="1106"/>
      <c r="BQ56" s="167"/>
      <c r="BR56" s="167"/>
      <c r="BS56" s="912" t="s">
        <v>1170</v>
      </c>
    </row>
    <row r="57" spans="1:71" s="1057" customFormat="1" ht="14.25" customHeight="1">
      <c r="A57" s="165"/>
      <c r="B57" s="718"/>
      <c r="C57" s="165"/>
      <c r="D57" s="165"/>
      <c r="E57" s="623">
        <v>15</v>
      </c>
      <c r="F57" s="714" t="str">
        <f t="shared" ca="1" si="24"/>
        <v>1</v>
      </c>
      <c r="G57" s="167"/>
      <c r="H57" s="167"/>
      <c r="I57" s="167"/>
      <c r="J57" s="167"/>
      <c r="K57" s="167"/>
      <c r="L57" s="167"/>
      <c r="M57" s="167"/>
      <c r="N57" s="167"/>
      <c r="O57" s="167"/>
      <c r="P57" s="167"/>
      <c r="Q57" s="130"/>
      <c r="R57" s="130"/>
      <c r="S57" s="167"/>
      <c r="T57" s="634" t="b">
        <f>T55</f>
        <v>1</v>
      </c>
      <c r="U57" s="1012"/>
      <c r="V57" s="1012"/>
      <c r="W57" s="1012"/>
      <c r="X57" s="1405"/>
      <c r="Y57" s="1012"/>
      <c r="Z57" s="1405"/>
      <c r="AA57" s="167"/>
      <c r="AB57" s="99" t="s">
        <v>863</v>
      </c>
      <c r="AC57" s="105" t="s">
        <v>1171</v>
      </c>
      <c r="AD57" s="99" t="s">
        <v>648</v>
      </c>
      <c r="AE57" s="1185"/>
      <c r="AF57" s="1185"/>
      <c r="AG57" s="1185"/>
      <c r="AH57" s="293">
        <f t="shared" si="27"/>
        <v>0</v>
      </c>
      <c r="AI57" s="1185"/>
      <c r="AJ57" s="471"/>
      <c r="AK57" s="1181"/>
      <c r="AL57" s="1181"/>
      <c r="AM57" s="1185"/>
      <c r="AN57" s="1185"/>
      <c r="AO57" s="1185"/>
      <c r="AP57" s="1185"/>
      <c r="AQ57" s="1185"/>
      <c r="AR57" s="1185"/>
      <c r="AS57" s="1185"/>
      <c r="AT57" s="471"/>
      <c r="AU57" s="1181"/>
      <c r="AV57" s="1181"/>
      <c r="AW57" s="1185"/>
      <c r="AX57" s="1185"/>
      <c r="AY57" s="1185"/>
      <c r="AZ57" s="1185"/>
      <c r="BA57" s="1185"/>
      <c r="BB57" s="1185"/>
      <c r="BC57" s="1185"/>
      <c r="BD57" s="293">
        <f t="shared" si="28"/>
        <v>0</v>
      </c>
      <c r="BE57" s="293">
        <f t="shared" si="29"/>
        <v>0</v>
      </c>
      <c r="BF57" s="293">
        <f t="shared" si="30"/>
        <v>0</v>
      </c>
      <c r="BG57" s="293">
        <f t="shared" si="31"/>
        <v>0</v>
      </c>
      <c r="BH57" s="293">
        <f t="shared" si="32"/>
        <v>0</v>
      </c>
      <c r="BI57" s="293">
        <f t="shared" si="33"/>
        <v>0</v>
      </c>
      <c r="BJ57" s="293">
        <f t="shared" si="34"/>
        <v>0</v>
      </c>
      <c r="BK57" s="293">
        <f t="shared" si="35"/>
        <v>0</v>
      </c>
      <c r="BL57" s="293">
        <f t="shared" si="36"/>
        <v>0</v>
      </c>
      <c r="BM57" s="293">
        <f t="shared" si="37"/>
        <v>0</v>
      </c>
      <c r="BN57" s="1106"/>
      <c r="BO57" s="1106"/>
      <c r="BP57" s="1106"/>
      <c r="BQ57" s="167"/>
      <c r="BR57" s="167"/>
      <c r="BS57" s="912" t="s">
        <v>1172</v>
      </c>
    </row>
    <row r="58" spans="1:71" s="1057" customFormat="1" ht="14.25" customHeight="1">
      <c r="A58" s="165"/>
      <c r="B58" s="718"/>
      <c r="C58" s="165"/>
      <c r="D58" s="165"/>
      <c r="E58" s="623">
        <v>15</v>
      </c>
      <c r="F58" s="714" t="str">
        <f t="shared" ca="1" si="24"/>
        <v>1</v>
      </c>
      <c r="G58" s="130" t="s">
        <v>947</v>
      </c>
      <c r="H58" s="167"/>
      <c r="I58" s="167"/>
      <c r="J58" s="167"/>
      <c r="K58" s="167"/>
      <c r="L58" s="167"/>
      <c r="M58" s="167"/>
      <c r="N58" s="167"/>
      <c r="O58" s="167"/>
      <c r="P58" s="167"/>
      <c r="Q58" s="130"/>
      <c r="R58" s="130"/>
      <c r="S58" s="167"/>
      <c r="T58" s="634" t="b">
        <f t="shared" ref="T58:T64" si="39">T57</f>
        <v>1</v>
      </c>
      <c r="U58" s="1012"/>
      <c r="V58" s="1012"/>
      <c r="W58" s="1012"/>
      <c r="X58" s="1405"/>
      <c r="Y58" s="1012"/>
      <c r="Z58" s="1405"/>
      <c r="AA58" s="167"/>
      <c r="AB58" s="99" t="s">
        <v>866</v>
      </c>
      <c r="AC58" s="105" t="s">
        <v>1173</v>
      </c>
      <c r="AD58" s="99" t="s">
        <v>648</v>
      </c>
      <c r="AE58" s="469">
        <f ca="1">SUMIFS(Амортизация!AE$26:AE$225,Амортизация!$F$26:$F$225,$F58,Амортизация!$G$26:$G$225,$G58)</f>
        <v>0</v>
      </c>
      <c r="AF58" s="469">
        <f ca="1">SUMIFS(Амортизация!AF$26:AF$225,Амортизация!$F$26:$F$225,$F58,Амортизация!$G$26:$G$225,$G58)</f>
        <v>0</v>
      </c>
      <c r="AG58" s="1185">
        <f ca="1">SUMIFS(Амортизация!AG$26:AG$225,Амортизация!$F$26:$F$225,$F58,Амортизация!$G$26:$G$225,$G58)</f>
        <v>0</v>
      </c>
      <c r="AH58" s="293">
        <f t="shared" ca="1" si="27"/>
        <v>0</v>
      </c>
      <c r="AI58" s="469">
        <f ca="1">SUMIFS(Амортизация!AH$26:AH$225,Амортизация!$F$26:$F$225,$F58,Амортизация!$G$26:$G$225,$G58)</f>
        <v>0</v>
      </c>
      <c r="AJ58" s="469">
        <f ca="1">SUMIFS(Амортизация!AI$26:AI$225,Амортизация!$F$26:$F$225,$F58,Амортизация!$G$26:$G$225,$G58)</f>
        <v>0</v>
      </c>
      <c r="AK58" s="469">
        <f ca="1">SUMIFS(Амортизация!AJ$26:AJ$225,Амортизация!$F$26:$F$225,$F58,Амортизация!$G$26:$G$225,$G58)</f>
        <v>0</v>
      </c>
      <c r="AL58" s="469">
        <f ca="1">SUMIFS(Амортизация!AK$26:AK$225,Амортизация!$F$26:$F$225,$F58,Амортизация!$G$26:$G$225,$G58)</f>
        <v>0</v>
      </c>
      <c r="AM58" s="469">
        <f ca="1">SUMIFS(Амортизация!AL$26:AL$225,Амортизация!$F$26:$F$225,$F58,Амортизация!$G$26:$G$225,$G58)</f>
        <v>0</v>
      </c>
      <c r="AN58" s="469">
        <f ca="1">SUMIFS(Амортизация!AM$26:AM$225,Амортизация!$F$26:$F$225,$F58,Амортизация!$G$26:$G$225,$G58)</f>
        <v>0</v>
      </c>
      <c r="AO58" s="469">
        <f ca="1">SUMIFS(Амортизация!AN$26:AN$225,Амортизация!$F$26:$F$225,$F58,Амортизация!$G$26:$G$225,$G58)</f>
        <v>0</v>
      </c>
      <c r="AP58" s="469">
        <f ca="1">SUMIFS(Амортизация!AO$26:AO$225,Амортизация!$F$26:$F$225,$F58,Амортизация!$G$26:$G$225,$G58)</f>
        <v>0</v>
      </c>
      <c r="AQ58" s="469">
        <f ca="1">SUMIFS(Амортизация!AP$26:AP$225,Амортизация!$F$26:$F$225,$F58,Амортизация!$G$26:$G$225,$G58)</f>
        <v>0</v>
      </c>
      <c r="AR58" s="469">
        <f ca="1">SUMIFS(Амортизация!AQ$26:AQ$225,Амортизация!$F$26:$F$225,$F58,Амортизация!$G$26:$G$225,$G58)</f>
        <v>0</v>
      </c>
      <c r="AS58" s="469">
        <f ca="1">SUMIFS(Амортизация!AR$26:AR$225,Амортизация!$F$26:$F$225,$F58,Амортизация!$G$26:$G$225,$G58)</f>
        <v>0</v>
      </c>
      <c r="AT58" s="469">
        <f ca="1">SUMIFS(Амортизация!AS$26:AS$225,Амортизация!$F$26:$F$225,$F58,Амортизация!$G$26:$G$225,$G58)</f>
        <v>0</v>
      </c>
      <c r="AU58" s="469">
        <f ca="1">SUMIFS(Амортизация!AT$26:AT$225,Амортизация!$F$26:$F$225,$F58,Амортизация!$G$26:$G$225,$G58)</f>
        <v>0</v>
      </c>
      <c r="AV58" s="469">
        <f ca="1">SUMIFS(Амортизация!AU$26:AU$225,Амортизация!$F$26:$F$225,$F58,Амортизация!$G$26:$G$225,$G58)</f>
        <v>0</v>
      </c>
      <c r="AW58" s="469">
        <f ca="1">SUMIFS(Амортизация!AV$26:AV$225,Амортизация!$F$26:$F$225,$F58,Амортизация!$G$26:$G$225,$G58)</f>
        <v>0</v>
      </c>
      <c r="AX58" s="469">
        <f ca="1">SUMIFS(Амортизация!AW$26:AW$225,Амортизация!$F$26:$F$225,$F58,Амортизация!$G$26:$G$225,$G58)</f>
        <v>0</v>
      </c>
      <c r="AY58" s="469">
        <f ca="1">SUMIFS(Амортизация!AX$26:AX$225,Амортизация!$F$26:$F$225,$F58,Амортизация!$G$26:$G$225,$G58)</f>
        <v>0</v>
      </c>
      <c r="AZ58" s="469">
        <f ca="1">SUMIFS(Амортизация!AY$26:AY$225,Амортизация!$F$26:$F$225,$F58,Амортизация!$G$26:$G$225,$G58)</f>
        <v>0</v>
      </c>
      <c r="BA58" s="469">
        <f ca="1">SUMIFS(Амортизация!AZ$26:AZ$225,Амортизация!$F$26:$F$225,$F58,Амортизация!$G$26:$G$225,$G58)</f>
        <v>0</v>
      </c>
      <c r="BB58" s="469">
        <f ca="1">SUMIFS(Амортизация!BA$26:BA$225,Амортизация!$F$26:$F$225,$F58,Амортизация!$G$26:$G$225,$G58)</f>
        <v>0</v>
      </c>
      <c r="BC58" s="469">
        <f ca="1">SUMIFS(Амортизация!BB$26:BB$225,Амортизация!$F$26:$F$225,$F58,Амортизация!$G$26:$G$225,$G58)</f>
        <v>0</v>
      </c>
      <c r="BD58" s="293">
        <f t="shared" ca="1" si="28"/>
        <v>0</v>
      </c>
      <c r="BE58" s="293">
        <f t="shared" ca="1" si="29"/>
        <v>0</v>
      </c>
      <c r="BF58" s="293">
        <f t="shared" ca="1" si="30"/>
        <v>0</v>
      </c>
      <c r="BG58" s="293">
        <f t="shared" ca="1" si="31"/>
        <v>0</v>
      </c>
      <c r="BH58" s="293">
        <f t="shared" ca="1" si="32"/>
        <v>0</v>
      </c>
      <c r="BI58" s="293">
        <f t="shared" ca="1" si="33"/>
        <v>0</v>
      </c>
      <c r="BJ58" s="293">
        <f t="shared" ca="1" si="34"/>
        <v>0</v>
      </c>
      <c r="BK58" s="293">
        <f t="shared" ca="1" si="35"/>
        <v>0</v>
      </c>
      <c r="BL58" s="293">
        <f t="shared" ca="1" si="36"/>
        <v>0</v>
      </c>
      <c r="BM58" s="293">
        <f t="shared" ca="1" si="37"/>
        <v>0</v>
      </c>
      <c r="BN58" s="1106"/>
      <c r="BO58" s="1106"/>
      <c r="BP58" s="1106"/>
      <c r="BQ58" s="167"/>
      <c r="BR58" s="167"/>
      <c r="BS58" s="912" t="s">
        <v>1174</v>
      </c>
    </row>
    <row r="59" spans="1:71" s="1057" customFormat="1" ht="24.75" customHeight="1">
      <c r="A59" s="165"/>
      <c r="B59" s="718"/>
      <c r="C59" s="165"/>
      <c r="D59" s="165"/>
      <c r="E59" s="623">
        <v>25.5</v>
      </c>
      <c r="F59" s="714" t="str">
        <f t="shared" ca="1" si="24"/>
        <v>1</v>
      </c>
      <c r="G59" s="167"/>
      <c r="H59" s="167"/>
      <c r="I59" s="167"/>
      <c r="J59" s="167"/>
      <c r="K59" s="167"/>
      <c r="L59" s="167"/>
      <c r="M59" s="167"/>
      <c r="N59" s="167"/>
      <c r="O59" s="167"/>
      <c r="P59" s="167"/>
      <c r="Q59" s="130"/>
      <c r="R59" s="130"/>
      <c r="S59" s="167"/>
      <c r="T59" s="634" t="b">
        <f t="shared" si="39"/>
        <v>1</v>
      </c>
      <c r="U59" s="1012"/>
      <c r="V59" s="1012"/>
      <c r="W59" s="1012"/>
      <c r="X59" s="1405"/>
      <c r="Y59" s="1012"/>
      <c r="Z59" s="1405"/>
      <c r="AA59" s="167"/>
      <c r="AB59" s="99" t="s">
        <v>869</v>
      </c>
      <c r="AC59" s="105" t="s">
        <v>1175</v>
      </c>
      <c r="AD59" s="99" t="s">
        <v>648</v>
      </c>
      <c r="AE59" s="1185"/>
      <c r="AF59" s="1185"/>
      <c r="AG59" s="1185"/>
      <c r="AH59" s="293">
        <f t="shared" si="27"/>
        <v>0</v>
      </c>
      <c r="AI59" s="1185"/>
      <c r="AJ59" s="471"/>
      <c r="AK59" s="1181"/>
      <c r="AL59" s="1181"/>
      <c r="AM59" s="1185"/>
      <c r="AN59" s="1185"/>
      <c r="AO59" s="1185"/>
      <c r="AP59" s="1185"/>
      <c r="AQ59" s="1185"/>
      <c r="AR59" s="1185"/>
      <c r="AS59" s="1185"/>
      <c r="AT59" s="471"/>
      <c r="AU59" s="1181"/>
      <c r="AV59" s="1181"/>
      <c r="AW59" s="1185"/>
      <c r="AX59" s="1185"/>
      <c r="AY59" s="1185"/>
      <c r="AZ59" s="1185"/>
      <c r="BA59" s="1185"/>
      <c r="BB59" s="1185"/>
      <c r="BC59" s="1185"/>
      <c r="BD59" s="293">
        <f t="shared" si="28"/>
        <v>0</v>
      </c>
      <c r="BE59" s="293">
        <f t="shared" si="29"/>
        <v>0</v>
      </c>
      <c r="BF59" s="293">
        <f t="shared" si="30"/>
        <v>0</v>
      </c>
      <c r="BG59" s="293">
        <f t="shared" si="31"/>
        <v>0</v>
      </c>
      <c r="BH59" s="293">
        <f t="shared" si="32"/>
        <v>0</v>
      </c>
      <c r="BI59" s="293">
        <f t="shared" si="33"/>
        <v>0</v>
      </c>
      <c r="BJ59" s="293">
        <f t="shared" si="34"/>
        <v>0</v>
      </c>
      <c r="BK59" s="293">
        <f t="shared" si="35"/>
        <v>0</v>
      </c>
      <c r="BL59" s="293">
        <f t="shared" si="36"/>
        <v>0</v>
      </c>
      <c r="BM59" s="293">
        <f t="shared" si="37"/>
        <v>0</v>
      </c>
      <c r="BN59" s="1106"/>
      <c r="BO59" s="1106"/>
      <c r="BP59" s="1106"/>
      <c r="BQ59" s="167"/>
      <c r="BR59" s="167"/>
      <c r="BS59" s="912" t="s">
        <v>1176</v>
      </c>
    </row>
    <row r="60" spans="1:71" s="1057" customFormat="1" ht="24.75" customHeight="1">
      <c r="A60" s="165"/>
      <c r="B60" s="718"/>
      <c r="C60" s="165"/>
      <c r="D60" s="165"/>
      <c r="E60" s="623">
        <v>25.5</v>
      </c>
      <c r="F60" s="714" t="str">
        <f t="shared" ca="1" si="24"/>
        <v>1</v>
      </c>
      <c r="G60" s="167"/>
      <c r="H60" s="167"/>
      <c r="I60" s="167"/>
      <c r="J60" s="167"/>
      <c r="K60" s="167"/>
      <c r="L60" s="167"/>
      <c r="M60" s="167"/>
      <c r="N60" s="167"/>
      <c r="O60" s="167"/>
      <c r="P60" s="167"/>
      <c r="Q60" s="130"/>
      <c r="R60" s="130"/>
      <c r="S60" s="167"/>
      <c r="T60" s="634" t="b">
        <f t="shared" si="39"/>
        <v>1</v>
      </c>
      <c r="U60" s="1012"/>
      <c r="V60" s="1012"/>
      <c r="W60" s="1012"/>
      <c r="X60" s="1405"/>
      <c r="Y60" s="1012"/>
      <c r="Z60" s="1405"/>
      <c r="AA60" s="167"/>
      <c r="AB60" s="99" t="s">
        <v>1083</v>
      </c>
      <c r="AC60" s="105" t="s">
        <v>1177</v>
      </c>
      <c r="AD60" s="99" t="s">
        <v>648</v>
      </c>
      <c r="AE60" s="1185"/>
      <c r="AF60" s="1185"/>
      <c r="AG60" s="1185"/>
      <c r="AH60" s="293">
        <f t="shared" si="27"/>
        <v>0</v>
      </c>
      <c r="AI60" s="1185"/>
      <c r="AJ60" s="471"/>
      <c r="AK60" s="1181"/>
      <c r="AL60" s="1181"/>
      <c r="AM60" s="1185"/>
      <c r="AN60" s="1185"/>
      <c r="AO60" s="1185"/>
      <c r="AP60" s="1185"/>
      <c r="AQ60" s="1185"/>
      <c r="AR60" s="1185"/>
      <c r="AS60" s="1185"/>
      <c r="AT60" s="471"/>
      <c r="AU60" s="1181"/>
      <c r="AV60" s="1181"/>
      <c r="AW60" s="1185"/>
      <c r="AX60" s="1185"/>
      <c r="AY60" s="1185"/>
      <c r="AZ60" s="1185"/>
      <c r="BA60" s="1185"/>
      <c r="BB60" s="1185"/>
      <c r="BC60" s="1185"/>
      <c r="BD60" s="293">
        <f t="shared" si="28"/>
        <v>0</v>
      </c>
      <c r="BE60" s="293">
        <f t="shared" si="29"/>
        <v>0</v>
      </c>
      <c r="BF60" s="293">
        <f t="shared" si="30"/>
        <v>0</v>
      </c>
      <c r="BG60" s="293">
        <f t="shared" si="31"/>
        <v>0</v>
      </c>
      <c r="BH60" s="293">
        <f t="shared" si="32"/>
        <v>0</v>
      </c>
      <c r="BI60" s="293">
        <f t="shared" si="33"/>
        <v>0</v>
      </c>
      <c r="BJ60" s="293">
        <f t="shared" si="34"/>
        <v>0</v>
      </c>
      <c r="BK60" s="293">
        <f t="shared" si="35"/>
        <v>0</v>
      </c>
      <c r="BL60" s="293">
        <f t="shared" si="36"/>
        <v>0</v>
      </c>
      <c r="BM60" s="293">
        <f t="shared" si="37"/>
        <v>0</v>
      </c>
      <c r="BN60" s="1106"/>
      <c r="BO60" s="1106"/>
      <c r="BP60" s="1106"/>
      <c r="BQ60" s="167"/>
      <c r="BR60" s="167"/>
      <c r="BS60" s="912" t="s">
        <v>1178</v>
      </c>
    </row>
    <row r="61" spans="1:71" s="1057" customFormat="1" ht="14.25" customHeight="1">
      <c r="A61" s="165"/>
      <c r="B61" s="718"/>
      <c r="C61" s="165"/>
      <c r="D61" s="165"/>
      <c r="E61" s="623">
        <v>15</v>
      </c>
      <c r="F61" s="714" t="str">
        <f t="shared" ca="1" si="24"/>
        <v>1</v>
      </c>
      <c r="G61" s="167"/>
      <c r="H61" s="167"/>
      <c r="I61" s="167"/>
      <c r="J61" s="167"/>
      <c r="K61" s="167"/>
      <c r="L61" s="167"/>
      <c r="M61" s="167"/>
      <c r="N61" s="167"/>
      <c r="O61" s="167"/>
      <c r="P61" s="167"/>
      <c r="Q61" s="130"/>
      <c r="R61" s="130"/>
      <c r="S61" s="167"/>
      <c r="T61" s="634" t="b">
        <f t="shared" si="39"/>
        <v>1</v>
      </c>
      <c r="U61" s="1012"/>
      <c r="V61" s="1012"/>
      <c r="W61" s="1012"/>
      <c r="X61" s="1405"/>
      <c r="Y61" s="1012"/>
      <c r="Z61" s="1405"/>
      <c r="AA61" s="167"/>
      <c r="AB61" s="99"/>
      <c r="AC61" s="105" t="s">
        <v>1179</v>
      </c>
      <c r="AD61" s="99" t="s">
        <v>648</v>
      </c>
      <c r="AE61" s="469">
        <f ca="1">AE48+AE49+AE50+AE51+AE55+AE57+AE58+AE59+AE60</f>
        <v>0</v>
      </c>
      <c r="AF61" s="469">
        <f ca="1">AF48+AF49+AF50+AF51+AF55+AF57+AF58+AF59+AF60</f>
        <v>0</v>
      </c>
      <c r="AG61" s="1185">
        <f ca="1">AG48+AG49+AG50+AG51+AG55+AG57+AG58+AG59+AG60</f>
        <v>0</v>
      </c>
      <c r="AH61" s="293">
        <f t="shared" ca="1" si="27"/>
        <v>0</v>
      </c>
      <c r="AI61" s="469">
        <f t="shared" ref="AI61:BC61" ca="1" si="40">AI48+AI49+AI50+AI51+AI55+AI57+AI58+AI59+AI60</f>
        <v>0</v>
      </c>
      <c r="AJ61" s="469">
        <f t="shared" ca="1" si="40"/>
        <v>0</v>
      </c>
      <c r="AK61" s="469">
        <f t="shared" ca="1" si="40"/>
        <v>0</v>
      </c>
      <c r="AL61" s="469">
        <f t="shared" ca="1" si="40"/>
        <v>0</v>
      </c>
      <c r="AM61" s="469">
        <f t="shared" ca="1" si="40"/>
        <v>0</v>
      </c>
      <c r="AN61" s="469">
        <f t="shared" ca="1" si="40"/>
        <v>0</v>
      </c>
      <c r="AO61" s="469">
        <f t="shared" ca="1" si="40"/>
        <v>0</v>
      </c>
      <c r="AP61" s="469">
        <f t="shared" ca="1" si="40"/>
        <v>0</v>
      </c>
      <c r="AQ61" s="469">
        <f t="shared" ca="1" si="40"/>
        <v>0</v>
      </c>
      <c r="AR61" s="469">
        <f t="shared" ca="1" si="40"/>
        <v>0</v>
      </c>
      <c r="AS61" s="469">
        <f t="shared" ca="1" si="40"/>
        <v>0</v>
      </c>
      <c r="AT61" s="469">
        <f t="shared" ca="1" si="40"/>
        <v>0</v>
      </c>
      <c r="AU61" s="469">
        <f t="shared" ca="1" si="40"/>
        <v>0</v>
      </c>
      <c r="AV61" s="469">
        <f t="shared" ca="1" si="40"/>
        <v>0</v>
      </c>
      <c r="AW61" s="469">
        <f t="shared" ca="1" si="40"/>
        <v>0</v>
      </c>
      <c r="AX61" s="469">
        <f t="shared" ca="1" si="40"/>
        <v>0</v>
      </c>
      <c r="AY61" s="469">
        <f t="shared" ca="1" si="40"/>
        <v>0</v>
      </c>
      <c r="AZ61" s="469">
        <f t="shared" ca="1" si="40"/>
        <v>0</v>
      </c>
      <c r="BA61" s="469">
        <f t="shared" ca="1" si="40"/>
        <v>0</v>
      </c>
      <c r="BB61" s="469">
        <f t="shared" ca="1" si="40"/>
        <v>0</v>
      </c>
      <c r="BC61" s="469">
        <f t="shared" ca="1" si="40"/>
        <v>0</v>
      </c>
      <c r="BD61" s="293">
        <f t="shared" ca="1" si="28"/>
        <v>0</v>
      </c>
      <c r="BE61" s="293">
        <f t="shared" ca="1" si="29"/>
        <v>0</v>
      </c>
      <c r="BF61" s="293">
        <f t="shared" ca="1" si="30"/>
        <v>0</v>
      </c>
      <c r="BG61" s="293">
        <f t="shared" ca="1" si="31"/>
        <v>0</v>
      </c>
      <c r="BH61" s="293">
        <f t="shared" ca="1" si="32"/>
        <v>0</v>
      </c>
      <c r="BI61" s="293">
        <f t="shared" ca="1" si="33"/>
        <v>0</v>
      </c>
      <c r="BJ61" s="293">
        <f t="shared" ca="1" si="34"/>
        <v>0</v>
      </c>
      <c r="BK61" s="293">
        <f t="shared" ca="1" si="35"/>
        <v>0</v>
      </c>
      <c r="BL61" s="293">
        <f t="shared" ca="1" si="36"/>
        <v>0</v>
      </c>
      <c r="BM61" s="293">
        <f t="shared" ca="1" si="37"/>
        <v>0</v>
      </c>
      <c r="BN61" s="1106"/>
      <c r="BO61" s="1106"/>
      <c r="BP61" s="1106"/>
      <c r="BQ61" s="167"/>
      <c r="BR61" s="167"/>
      <c r="BS61" s="912" t="s">
        <v>1180</v>
      </c>
    </row>
    <row r="62" spans="1:71" s="1057" customFormat="1" ht="14.25" customHeight="1">
      <c r="A62" s="165"/>
      <c r="B62" s="718"/>
      <c r="C62" s="165"/>
      <c r="D62" s="165"/>
      <c r="E62" s="623">
        <v>15</v>
      </c>
      <c r="F62" s="714" t="str">
        <f t="shared" ca="1" si="24"/>
        <v>1</v>
      </c>
      <c r="G62" s="130" t="s">
        <v>1078</v>
      </c>
      <c r="H62" s="167"/>
      <c r="I62" s="167"/>
      <c r="J62" s="167"/>
      <c r="K62" s="167"/>
      <c r="L62" s="167"/>
      <c r="M62" s="167"/>
      <c r="N62" s="167"/>
      <c r="O62" s="167"/>
      <c r="P62" s="167"/>
      <c r="Q62" s="130"/>
      <c r="R62" s="130"/>
      <c r="S62" s="167"/>
      <c r="T62" s="634" t="b">
        <f t="shared" si="39"/>
        <v>1</v>
      </c>
      <c r="U62" s="1012"/>
      <c r="V62" s="1012"/>
      <c r="W62" s="1012"/>
      <c r="X62" s="1405"/>
      <c r="Y62" s="1012"/>
      <c r="Z62" s="1405"/>
      <c r="AA62" s="167"/>
      <c r="AB62" s="99" t="s">
        <v>343</v>
      </c>
      <c r="AC62" s="105" t="s">
        <v>1181</v>
      </c>
      <c r="AD62" s="99" t="s">
        <v>648</v>
      </c>
      <c r="AE62" s="469">
        <f ca="1">SUMIFS(Налоги!AE$26:AE$55,Налоги!$F$26:$F$55,$F62,Налоги!$G$26:$G$55,$G62)</f>
        <v>0</v>
      </c>
      <c r="AF62" s="469">
        <f ca="1">SUMIFS(Налоги!AF$26:AF$55,Налоги!$F$26:$F$55,$F62,Налоги!$G$26:$G$55,$G62)</f>
        <v>0</v>
      </c>
      <c r="AG62" s="1185">
        <f ca="1">SUMIFS(Налоги!AG$26:AG$55,Налоги!$F$26:$F$55,$F62,Налоги!$G$26:$G$55,$G62)</f>
        <v>0</v>
      </c>
      <c r="AH62" s="293">
        <f t="shared" ca="1" si="27"/>
        <v>0</v>
      </c>
      <c r="AI62" s="469">
        <f ca="1">SUMIFS(Налоги!AH$26:AH$55,Налоги!$F$26:$F$55,$F62,Налоги!$G$26:$G$55,$G62)</f>
        <v>0</v>
      </c>
      <c r="AJ62" s="469">
        <f ca="1">SUMIFS(Налоги!AI$26:AI$55,Налоги!$F$26:$F$55,$F62,Налоги!$G$26:$G$55,$G62)</f>
        <v>0</v>
      </c>
      <c r="AK62" s="469">
        <f ca="1">SUMIFS(Налоги!AJ$26:AJ$55,Налоги!$F$26:$F$55,$F62,Налоги!$G$26:$G$55,$G62)</f>
        <v>0</v>
      </c>
      <c r="AL62" s="469">
        <f ca="1">SUMIFS(Налоги!AK$26:AK$55,Налоги!$F$26:$F$55,$F62,Налоги!$G$26:$G$55,$G62)</f>
        <v>0</v>
      </c>
      <c r="AM62" s="469">
        <f ca="1">SUMIFS(Налоги!AL$26:AL$55,Налоги!$F$26:$F$55,$F62,Налоги!$G$26:$G$55,$G62)</f>
        <v>0</v>
      </c>
      <c r="AN62" s="469">
        <f ca="1">SUMIFS(Налоги!AM$26:AM$55,Налоги!$F$26:$F$55,$F62,Налоги!$G$26:$G$55,$G62)</f>
        <v>0</v>
      </c>
      <c r="AO62" s="469">
        <f ca="1">SUMIFS(Налоги!AN$26:AN$55,Налоги!$F$26:$F$55,$F62,Налоги!$G$26:$G$55,$G62)</f>
        <v>0</v>
      </c>
      <c r="AP62" s="469">
        <f ca="1">SUMIFS(Налоги!AO$26:AO$55,Налоги!$F$26:$F$55,$F62,Налоги!$G$26:$G$55,$G62)</f>
        <v>0</v>
      </c>
      <c r="AQ62" s="469">
        <f ca="1">SUMIFS(Налоги!AP$26:AP$55,Налоги!$F$26:$F$55,$F62,Налоги!$G$26:$G$55,$G62)</f>
        <v>0</v>
      </c>
      <c r="AR62" s="469">
        <f ca="1">SUMIFS(Налоги!AQ$26:AQ$55,Налоги!$F$26:$F$55,$F62,Налоги!$G$26:$G$55,$G62)</f>
        <v>0</v>
      </c>
      <c r="AS62" s="469">
        <f ca="1">SUMIFS(Налоги!AR$26:AR$55,Налоги!$F$26:$F$55,$F62,Налоги!$G$26:$G$55,$G62)</f>
        <v>0</v>
      </c>
      <c r="AT62" s="469">
        <f ca="1">SUMIFS(Налоги!AS$26:AS$55,Налоги!$F$26:$F$55,$F62,Налоги!$G$26:$G$55,$G62)</f>
        <v>0</v>
      </c>
      <c r="AU62" s="469">
        <f ca="1">SUMIFS(Налоги!AT$26:AT$55,Налоги!$F$26:$F$55,$F62,Налоги!$G$26:$G$55,$G62)</f>
        <v>0</v>
      </c>
      <c r="AV62" s="469">
        <f ca="1">SUMIFS(Налоги!AU$26:AU$55,Налоги!$F$26:$F$55,$F62,Налоги!$G$26:$G$55,$G62)</f>
        <v>0</v>
      </c>
      <c r="AW62" s="469">
        <f ca="1">SUMIFS(Налоги!AV$26:AV$55,Налоги!$F$26:$F$55,$F62,Налоги!$G$26:$G$55,$G62)</f>
        <v>0</v>
      </c>
      <c r="AX62" s="469">
        <f ca="1">SUMIFS(Налоги!AW$26:AW$55,Налоги!$F$26:$F$55,$F62,Налоги!$G$26:$G$55,$G62)</f>
        <v>0</v>
      </c>
      <c r="AY62" s="469">
        <f ca="1">SUMIFS(Налоги!AX$26:AX$55,Налоги!$F$26:$F$55,$F62,Налоги!$G$26:$G$55,$G62)</f>
        <v>0</v>
      </c>
      <c r="AZ62" s="469">
        <f ca="1">SUMIFS(Налоги!AY$26:AY$55,Налоги!$F$26:$F$55,$F62,Налоги!$G$26:$G$55,$G62)</f>
        <v>0</v>
      </c>
      <c r="BA62" s="469">
        <f ca="1">SUMIFS(Налоги!AZ$26:AZ$55,Налоги!$F$26:$F$55,$F62,Налоги!$G$26:$G$55,$G62)</f>
        <v>0</v>
      </c>
      <c r="BB62" s="469">
        <f ca="1">SUMIFS(Налоги!BA$26:BA$55,Налоги!$F$26:$F$55,$F62,Налоги!$G$26:$G$55,$G62)</f>
        <v>0</v>
      </c>
      <c r="BC62" s="469">
        <f ca="1">SUMIFS(Налоги!BB$26:BB$55,Налоги!$F$26:$F$55,$F62,Налоги!$G$26:$G$55,$G62)</f>
        <v>0</v>
      </c>
      <c r="BD62" s="293">
        <f t="shared" ca="1" si="28"/>
        <v>0</v>
      </c>
      <c r="BE62" s="293">
        <f t="shared" ca="1" si="29"/>
        <v>0</v>
      </c>
      <c r="BF62" s="293">
        <f t="shared" ca="1" si="30"/>
        <v>0</v>
      </c>
      <c r="BG62" s="293">
        <f t="shared" ca="1" si="31"/>
        <v>0</v>
      </c>
      <c r="BH62" s="293">
        <f t="shared" ca="1" si="32"/>
        <v>0</v>
      </c>
      <c r="BI62" s="293">
        <f t="shared" ca="1" si="33"/>
        <v>0</v>
      </c>
      <c r="BJ62" s="293">
        <f t="shared" ca="1" si="34"/>
        <v>0</v>
      </c>
      <c r="BK62" s="293">
        <f t="shared" ca="1" si="35"/>
        <v>0</v>
      </c>
      <c r="BL62" s="293">
        <f t="shared" ca="1" si="36"/>
        <v>0</v>
      </c>
      <c r="BM62" s="293">
        <f t="shared" ca="1" si="37"/>
        <v>0</v>
      </c>
      <c r="BN62" s="1106"/>
      <c r="BO62" s="1106"/>
      <c r="BP62" s="1106"/>
      <c r="BQ62" s="167"/>
      <c r="BR62" s="167"/>
      <c r="BS62" s="912" t="s">
        <v>469</v>
      </c>
    </row>
    <row r="63" spans="1:71" s="1057" customFormat="1" ht="27" customHeight="1">
      <c r="A63" s="165"/>
      <c r="B63" s="718"/>
      <c r="C63" s="165"/>
      <c r="D63" s="165"/>
      <c r="E63" s="623">
        <v>27.8</v>
      </c>
      <c r="F63" s="714" t="str">
        <f t="shared" ca="1" si="24"/>
        <v>1</v>
      </c>
      <c r="G63" s="130" t="s">
        <v>1182</v>
      </c>
      <c r="H63" s="167"/>
      <c r="I63" s="167"/>
      <c r="J63" s="167"/>
      <c r="K63" s="167"/>
      <c r="L63" s="167"/>
      <c r="M63" s="167"/>
      <c r="N63" s="167"/>
      <c r="O63" s="167"/>
      <c r="P63" s="167"/>
      <c r="Q63" s="130"/>
      <c r="R63" s="130"/>
      <c r="S63" s="167"/>
      <c r="T63" s="634" t="b">
        <f t="shared" si="39"/>
        <v>1</v>
      </c>
      <c r="U63" s="1012"/>
      <c r="V63" s="1012"/>
      <c r="W63" s="1012"/>
      <c r="X63" s="1405"/>
      <c r="Y63" s="1012"/>
      <c r="Z63" s="1405"/>
      <c r="AA63" s="167"/>
      <c r="AB63" s="99" t="s">
        <v>520</v>
      </c>
      <c r="AC63" s="105" t="s">
        <v>1183</v>
      </c>
      <c r="AD63" s="99" t="s">
        <v>648</v>
      </c>
      <c r="AE63" s="1185"/>
      <c r="AF63" s="1185"/>
      <c r="AG63" s="1185"/>
      <c r="AH63" s="293">
        <f t="shared" si="27"/>
        <v>0</v>
      </c>
      <c r="AI63" s="1185"/>
      <c r="AJ63" s="471"/>
      <c r="AK63" s="1181"/>
      <c r="AL63" s="1181"/>
      <c r="AM63" s="1185"/>
      <c r="AN63" s="1185"/>
      <c r="AO63" s="1185"/>
      <c r="AP63" s="1185"/>
      <c r="AQ63" s="1185"/>
      <c r="AR63" s="1185"/>
      <c r="AS63" s="1185"/>
      <c r="AT63" s="471"/>
      <c r="AU63" s="1181"/>
      <c r="AV63" s="1181"/>
      <c r="AW63" s="1185"/>
      <c r="AX63" s="1185"/>
      <c r="AY63" s="1185"/>
      <c r="AZ63" s="1185"/>
      <c r="BA63" s="1185"/>
      <c r="BB63" s="1185"/>
      <c r="BC63" s="1185"/>
      <c r="BD63" s="293">
        <f t="shared" si="28"/>
        <v>0</v>
      </c>
      <c r="BE63" s="293">
        <f t="shared" si="29"/>
        <v>0</v>
      </c>
      <c r="BF63" s="293">
        <f t="shared" si="30"/>
        <v>0</v>
      </c>
      <c r="BG63" s="293">
        <f t="shared" si="31"/>
        <v>0</v>
      </c>
      <c r="BH63" s="293">
        <f t="shared" si="32"/>
        <v>0</v>
      </c>
      <c r="BI63" s="293">
        <f t="shared" si="33"/>
        <v>0</v>
      </c>
      <c r="BJ63" s="293">
        <f t="shared" si="34"/>
        <v>0</v>
      </c>
      <c r="BK63" s="293">
        <f t="shared" si="35"/>
        <v>0</v>
      </c>
      <c r="BL63" s="293">
        <f t="shared" si="36"/>
        <v>0</v>
      </c>
      <c r="BM63" s="293">
        <f t="shared" si="37"/>
        <v>0</v>
      </c>
      <c r="BN63" s="1106"/>
      <c r="BO63" s="1106"/>
      <c r="BP63" s="1106"/>
      <c r="BQ63" s="167"/>
      <c r="BR63" s="167"/>
      <c r="BS63" s="912" t="s">
        <v>1184</v>
      </c>
    </row>
    <row r="64" spans="1:71" s="1189" customFormat="1" ht="14.25" customHeight="1">
      <c r="A64" s="172"/>
      <c r="B64" s="172"/>
      <c r="C64" s="172"/>
      <c r="D64" s="172"/>
      <c r="E64" s="623">
        <v>15</v>
      </c>
      <c r="F64" s="714" t="str">
        <f t="shared" ca="1" si="24"/>
        <v>1</v>
      </c>
      <c r="G64" s="172"/>
      <c r="H64" s="172"/>
      <c r="I64" s="172"/>
      <c r="J64" s="172"/>
      <c r="K64" s="172"/>
      <c r="L64" s="172"/>
      <c r="M64" s="172"/>
      <c r="N64" s="172"/>
      <c r="O64" s="172"/>
      <c r="P64" s="172"/>
      <c r="Q64" s="172"/>
      <c r="R64" s="172"/>
      <c r="S64" s="172"/>
      <c r="T64" s="634" t="b">
        <f t="shared" si="39"/>
        <v>1</v>
      </c>
      <c r="U64" s="172"/>
      <c r="V64" s="172"/>
      <c r="W64" s="172"/>
      <c r="X64" s="1499"/>
      <c r="Y64" s="172"/>
      <c r="Z64" s="1499"/>
      <c r="AA64" s="172"/>
      <c r="AB64" s="100" t="s">
        <v>527</v>
      </c>
      <c r="AC64" s="101" t="s">
        <v>1155</v>
      </c>
      <c r="AD64" s="100" t="s">
        <v>648</v>
      </c>
      <c r="AE64" s="472">
        <f ca="1">AE61+AE62+AE63</f>
        <v>0</v>
      </c>
      <c r="AF64" s="472">
        <f ca="1">AF61+AF62+AF63</f>
        <v>0</v>
      </c>
      <c r="AG64" s="1190">
        <f ca="1">AG61+AG62+AG63</f>
        <v>0</v>
      </c>
      <c r="AH64" s="293">
        <f t="shared" ca="1" si="27"/>
        <v>0</v>
      </c>
      <c r="AI64" s="472">
        <f t="shared" ref="AI64:BC64" ca="1" si="41">AI61+AI62+AI63</f>
        <v>0</v>
      </c>
      <c r="AJ64" s="472">
        <f t="shared" ca="1" si="41"/>
        <v>0</v>
      </c>
      <c r="AK64" s="472">
        <f t="shared" ca="1" si="41"/>
        <v>0</v>
      </c>
      <c r="AL64" s="472">
        <f t="shared" ca="1" si="41"/>
        <v>0</v>
      </c>
      <c r="AM64" s="472">
        <f t="shared" ca="1" si="41"/>
        <v>0</v>
      </c>
      <c r="AN64" s="472">
        <f t="shared" ca="1" si="41"/>
        <v>0</v>
      </c>
      <c r="AO64" s="472">
        <f t="shared" ca="1" si="41"/>
        <v>0</v>
      </c>
      <c r="AP64" s="472">
        <f t="shared" ca="1" si="41"/>
        <v>0</v>
      </c>
      <c r="AQ64" s="472">
        <f t="shared" ca="1" si="41"/>
        <v>0</v>
      </c>
      <c r="AR64" s="472">
        <f t="shared" ca="1" si="41"/>
        <v>0</v>
      </c>
      <c r="AS64" s="472">
        <f t="shared" ca="1" si="41"/>
        <v>0</v>
      </c>
      <c r="AT64" s="472">
        <f t="shared" ca="1" si="41"/>
        <v>0</v>
      </c>
      <c r="AU64" s="472">
        <f t="shared" ca="1" si="41"/>
        <v>0</v>
      </c>
      <c r="AV64" s="472">
        <f t="shared" ca="1" si="41"/>
        <v>0</v>
      </c>
      <c r="AW64" s="472">
        <f t="shared" ca="1" si="41"/>
        <v>0</v>
      </c>
      <c r="AX64" s="472">
        <f t="shared" ca="1" si="41"/>
        <v>0</v>
      </c>
      <c r="AY64" s="472">
        <f t="shared" ca="1" si="41"/>
        <v>0</v>
      </c>
      <c r="AZ64" s="472">
        <f t="shared" ca="1" si="41"/>
        <v>0</v>
      </c>
      <c r="BA64" s="472">
        <f t="shared" ca="1" si="41"/>
        <v>0</v>
      </c>
      <c r="BB64" s="472">
        <f t="shared" ca="1" si="41"/>
        <v>0</v>
      </c>
      <c r="BC64" s="472">
        <f t="shared" ca="1" si="41"/>
        <v>0</v>
      </c>
      <c r="BD64" s="292">
        <f t="shared" ca="1" si="28"/>
        <v>0</v>
      </c>
      <c r="BE64" s="292">
        <f t="shared" ca="1" si="29"/>
        <v>0</v>
      </c>
      <c r="BF64" s="292">
        <f t="shared" ca="1" si="30"/>
        <v>0</v>
      </c>
      <c r="BG64" s="292">
        <f t="shared" ca="1" si="31"/>
        <v>0</v>
      </c>
      <c r="BH64" s="292">
        <f t="shared" ca="1" si="32"/>
        <v>0</v>
      </c>
      <c r="BI64" s="292">
        <f t="shared" ca="1" si="33"/>
        <v>0</v>
      </c>
      <c r="BJ64" s="292">
        <f t="shared" ca="1" si="34"/>
        <v>0</v>
      </c>
      <c r="BK64" s="292">
        <f t="shared" ca="1" si="35"/>
        <v>0</v>
      </c>
      <c r="BL64" s="292">
        <f t="shared" ca="1" si="36"/>
        <v>0</v>
      </c>
      <c r="BM64" s="292">
        <f t="shared" ca="1" si="37"/>
        <v>0</v>
      </c>
      <c r="BN64" s="1106"/>
      <c r="BO64" s="1106"/>
      <c r="BP64" s="1106"/>
      <c r="BQ64" s="172"/>
      <c r="BR64" s="172"/>
      <c r="BS64" s="912" t="s">
        <v>1185</v>
      </c>
    </row>
    <row r="65" spans="5:68" ht="9.9499999999999993" customHeight="1">
      <c r="E65" s="623">
        <v>10.199999999999999</v>
      </c>
      <c r="U65" s="116" t="s">
        <v>172</v>
      </c>
      <c r="V65" s="109" t="s">
        <v>1186</v>
      </c>
    </row>
    <row r="66" spans="5:68" ht="11.25" hidden="1" customHeight="1">
      <c r="E66" s="623">
        <v>0</v>
      </c>
    </row>
    <row r="67" spans="5:68" ht="14.65" customHeight="1">
      <c r="E67" s="623">
        <v>15</v>
      </c>
      <c r="AB67" s="1476" t="s">
        <v>557</v>
      </c>
      <c r="AC67" s="1476"/>
      <c r="AD67" s="1476"/>
      <c r="AE67" s="1476"/>
      <c r="AF67" s="1476"/>
      <c r="AG67" s="1476"/>
      <c r="AH67" s="1476"/>
      <c r="AI67" s="1476"/>
      <c r="AJ67" s="1476"/>
      <c r="AK67" s="1476"/>
      <c r="AL67" s="1476"/>
      <c r="AM67" s="1476"/>
      <c r="AN67" s="1476"/>
      <c r="AO67" s="1476"/>
      <c r="AP67" s="1476"/>
      <c r="AQ67" s="1476"/>
      <c r="AR67" s="1476"/>
      <c r="AS67" s="1476"/>
      <c r="AT67" s="1476"/>
      <c r="AU67" s="1476"/>
      <c r="AV67" s="1476"/>
      <c r="AW67" s="1476"/>
      <c r="AX67" s="1476"/>
      <c r="AY67" s="1476"/>
      <c r="AZ67" s="1476"/>
      <c r="BA67" s="1476"/>
      <c r="BB67" s="1476"/>
      <c r="BC67" s="1476"/>
      <c r="BD67" s="1476"/>
      <c r="BE67" s="1476"/>
      <c r="BF67" s="1476"/>
      <c r="BG67" s="1476"/>
      <c r="BH67" s="1476"/>
      <c r="BI67" s="1476"/>
      <c r="BJ67" s="1476"/>
      <c r="BK67" s="1476"/>
      <c r="BL67" s="1476"/>
      <c r="BM67" s="1476"/>
      <c r="BN67" s="1476"/>
      <c r="BO67" s="1476"/>
      <c r="BP67" s="1476"/>
    </row>
    <row r="68" spans="5:68" ht="14.65" customHeight="1">
      <c r="E68" s="623">
        <v>15</v>
      </c>
      <c r="AA68" s="713"/>
      <c r="AB68" s="1500"/>
      <c r="AC68" s="1495"/>
      <c r="AD68" s="1495"/>
      <c r="AE68" s="1495"/>
      <c r="AF68" s="1495"/>
      <c r="AG68" s="1495"/>
      <c r="AH68" s="1495"/>
      <c r="AI68" s="1495"/>
      <c r="AJ68" s="1495"/>
      <c r="AK68" s="1495"/>
      <c r="AL68" s="1495"/>
      <c r="AM68" s="1495"/>
      <c r="AN68" s="1495"/>
      <c r="AO68" s="1495"/>
      <c r="AP68" s="1495"/>
      <c r="AQ68" s="1495"/>
      <c r="AR68" s="1495"/>
      <c r="AS68" s="1495"/>
      <c r="AT68" s="1495"/>
      <c r="AU68" s="1495"/>
      <c r="AV68" s="1495"/>
      <c r="AW68" s="1495"/>
      <c r="AX68" s="1495"/>
      <c r="AY68" s="1495"/>
      <c r="AZ68" s="1495"/>
      <c r="BA68" s="1495"/>
      <c r="BB68" s="1495"/>
      <c r="BC68" s="1495"/>
      <c r="BD68" s="1495"/>
      <c r="BE68" s="1495"/>
      <c r="BF68" s="1495"/>
      <c r="BG68" s="1495"/>
      <c r="BH68" s="1495"/>
      <c r="BI68" s="1495"/>
      <c r="BJ68" s="1495"/>
      <c r="BK68" s="1495"/>
      <c r="BL68" s="1495"/>
      <c r="BM68" s="1495"/>
      <c r="BN68" s="1495"/>
      <c r="BO68" s="1495"/>
      <c r="BP68" s="1495"/>
    </row>
    <row r="69" spans="5:68" ht="14.65" hidden="1" customHeight="1">
      <c r="E69" s="623">
        <v>15</v>
      </c>
      <c r="T69" s="634" t="b">
        <f>ROW(W69)&gt;ROW(W$69)</f>
        <v>0</v>
      </c>
      <c r="W69" s="113" t="s">
        <v>170</v>
      </c>
      <c r="AA69" s="709" t="s">
        <v>157</v>
      </c>
      <c r="AB69" s="1494"/>
      <c r="AC69" s="1495"/>
      <c r="AD69" s="1495"/>
      <c r="AE69" s="1495"/>
      <c r="AF69" s="1495"/>
      <c r="AG69" s="1495"/>
      <c r="AH69" s="1495"/>
      <c r="AI69" s="1495"/>
      <c r="AJ69" s="1495"/>
      <c r="AK69" s="1495"/>
      <c r="AL69" s="1495"/>
      <c r="AM69" s="1495"/>
      <c r="AN69" s="1495"/>
      <c r="AO69" s="1495"/>
      <c r="AP69" s="1495"/>
      <c r="AQ69" s="1495"/>
      <c r="AR69" s="1495"/>
      <c r="AS69" s="1495"/>
      <c r="AT69" s="1495"/>
      <c r="AU69" s="1495"/>
      <c r="AV69" s="1495"/>
      <c r="AW69" s="1495"/>
      <c r="AX69" s="1495"/>
      <c r="AY69" s="1495"/>
      <c r="AZ69" s="1495"/>
      <c r="BA69" s="1495"/>
      <c r="BB69" s="1495"/>
      <c r="BC69" s="1495"/>
      <c r="BD69" s="1495"/>
      <c r="BE69" s="1495"/>
      <c r="BF69" s="1495"/>
      <c r="BG69" s="1495"/>
      <c r="BH69" s="1495"/>
      <c r="BI69" s="1495"/>
      <c r="BJ69" s="1495"/>
      <c r="BK69" s="1495"/>
      <c r="BL69" s="1495"/>
      <c r="BM69" s="1495"/>
      <c r="BN69" s="1495"/>
      <c r="BO69" s="1495"/>
      <c r="BP69" s="1495"/>
    </row>
    <row r="70" spans="5:68" ht="14.65" customHeight="1">
      <c r="E70" s="623">
        <v>15</v>
      </c>
      <c r="W70" s="109" t="s">
        <v>171</v>
      </c>
      <c r="AA70" s="150"/>
      <c r="AB70" s="1420" t="s">
        <v>558</v>
      </c>
      <c r="AC70" s="1421"/>
      <c r="AD70" s="299"/>
      <c r="AE70" s="299"/>
      <c r="AF70" s="299"/>
      <c r="AG70" s="299"/>
      <c r="AH70" s="299"/>
      <c r="AI70" s="299"/>
      <c r="AJ70" s="299"/>
      <c r="AK70" s="299"/>
      <c r="AL70" s="299"/>
      <c r="AM70" s="299"/>
      <c r="AN70" s="299"/>
      <c r="AO70" s="299"/>
      <c r="AP70" s="299"/>
      <c r="AQ70" s="299"/>
      <c r="AR70" s="299"/>
      <c r="AS70" s="299"/>
      <c r="AT70" s="299"/>
      <c r="AU70" s="299"/>
      <c r="AV70" s="299"/>
      <c r="AW70" s="299"/>
      <c r="AX70" s="299"/>
      <c r="AY70" s="299"/>
      <c r="AZ70" s="299"/>
      <c r="BA70" s="299"/>
      <c r="BB70" s="299"/>
      <c r="BC70" s="299"/>
      <c r="BD70" s="299"/>
      <c r="BE70" s="299"/>
      <c r="BF70" s="299"/>
      <c r="BG70" s="299"/>
      <c r="BH70" s="299"/>
      <c r="BI70" s="299"/>
      <c r="BJ70" s="299"/>
      <c r="BK70" s="299"/>
      <c r="BL70" s="299"/>
      <c r="BM70" s="299"/>
      <c r="BN70" s="299"/>
      <c r="BO70" s="299"/>
      <c r="BP70" s="271"/>
    </row>
  </sheetData>
  <sheetProtection formatColumns="0" formatRows="0" insertRows="0" deleteColumns="0" deleteRows="0" sort="0" autoFilter="0"/>
  <mergeCells count="17">
    <mergeCell ref="Z27:Z45"/>
    <mergeCell ref="X27:X45"/>
    <mergeCell ref="AB69:BP69"/>
    <mergeCell ref="AB67:BP67"/>
    <mergeCell ref="AB68:BP68"/>
    <mergeCell ref="AB47:AC47"/>
    <mergeCell ref="Z46:Z64"/>
    <mergeCell ref="X46:X64"/>
    <mergeCell ref="BO24:BO25"/>
    <mergeCell ref="BP24:BP25"/>
    <mergeCell ref="BD25:BM25"/>
    <mergeCell ref="AB28:AC28"/>
    <mergeCell ref="AB70:AC70"/>
    <mergeCell ref="AB24:AB25"/>
    <mergeCell ref="AC24:AC25"/>
    <mergeCell ref="AD24:AD25"/>
    <mergeCell ref="BN24:BN25"/>
  </mergeCell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pageSetUpPr fitToPage="1"/>
  </sheetPr>
  <dimension ref="A1:BS52"/>
  <sheetViews>
    <sheetView showGridLines="0" workbookViewId="0">
      <pane xSplit="30" ySplit="25" topLeftCell="AE37" activePane="bottomRight" state="frozen"/>
      <selection pane="topRight" activeCell="AE1" sqref="AE1"/>
      <selection pane="bottomLeft" activeCell="A26" sqref="A26"/>
      <selection pane="bottomRight" activeCell="AA21" sqref="AA21"/>
    </sheetView>
  </sheetViews>
  <sheetFormatPr defaultColWidth="9.140625" defaultRowHeight="11.25" customHeight="1"/>
  <cols>
    <col min="1" max="1" width="3.5703125" style="165" hidden="1" customWidth="1"/>
    <col min="2" max="2" width="8.5703125" style="718" hidden="1" customWidth="1"/>
    <col min="3" max="4" width="3.5703125" style="165" hidden="1" customWidth="1"/>
    <col min="5" max="5" width="8.42578125" style="717" hidden="1" customWidth="1"/>
    <col min="6" max="6" width="3.5703125" style="165" hidden="1" customWidth="1"/>
    <col min="7" max="11" width="3.5703125" style="167" hidden="1" customWidth="1"/>
    <col min="12" max="12" width="7" style="167" hidden="1" customWidth="1"/>
    <col min="13" max="16" width="3.5703125" style="167" hidden="1" customWidth="1"/>
    <col min="17" max="17" width="3.5703125" style="130" hidden="1" customWidth="1"/>
    <col min="18" max="18" width="12.7109375" style="130" hidden="1" customWidth="1"/>
    <col min="19" max="19" width="3.5703125" style="167" hidden="1" customWidth="1"/>
    <col min="20" max="20" width="8.7109375" style="165" hidden="1" customWidth="1"/>
    <col min="21" max="21" width="6" style="165" hidden="1" customWidth="1"/>
    <col min="22" max="23" width="6.28515625" style="165" hidden="1" customWidth="1"/>
    <col min="24" max="25" width="5.7109375" style="165" hidden="1" customWidth="1"/>
    <col min="26" max="26" width="5.42578125" style="165" hidden="1" customWidth="1"/>
    <col min="27" max="27" width="3" style="167" customWidth="1"/>
    <col min="28" max="28" width="8.140625" style="165" customWidth="1"/>
    <col min="29" max="29" width="70.140625" style="166" customWidth="1"/>
    <col min="30" max="30" width="14.42578125" style="165" customWidth="1"/>
    <col min="31" max="33" width="12.5703125" style="167" customWidth="1"/>
    <col min="34" max="34" width="19.140625" style="167" customWidth="1"/>
    <col min="35" max="36" width="12.5703125" style="167" customWidth="1"/>
    <col min="37" max="45" width="12.5703125" style="167" hidden="1" customWidth="1"/>
    <col min="46" max="46" width="12.5703125" style="167" customWidth="1"/>
    <col min="47" max="55" width="12.5703125" style="167" hidden="1" customWidth="1"/>
    <col min="56" max="56" width="12.5703125" style="167" customWidth="1"/>
    <col min="57" max="65" width="12.5703125" style="167" hidden="1" customWidth="1"/>
    <col min="66" max="66" width="19" style="167" customWidth="1"/>
    <col min="67" max="67" width="17.28515625" style="167" customWidth="1"/>
    <col min="68" max="68" width="31.28515625" style="167" customWidth="1"/>
    <col min="69" max="69" width="3" style="167" customWidth="1"/>
    <col min="70" max="70" width="9.140625" style="167" hidden="1"/>
    <col min="71" max="71" width="9.140625" style="943" hidden="1"/>
  </cols>
  <sheetData>
    <row r="1" spans="1:71" s="1012" customFormat="1" ht="12" hidden="1" customHeight="1">
      <c r="B1" s="614"/>
      <c r="E1" s="614"/>
      <c r="F1" s="634" t="s">
        <v>77</v>
      </c>
      <c r="G1" s="150"/>
      <c r="H1" s="150"/>
      <c r="I1" s="150"/>
      <c r="J1" s="150"/>
      <c r="K1" s="150"/>
      <c r="L1" s="150"/>
      <c r="M1" s="150"/>
      <c r="N1" s="150"/>
      <c r="O1" s="150"/>
      <c r="P1" s="150"/>
      <c r="Q1" s="566"/>
      <c r="R1" s="566"/>
      <c r="S1" s="150"/>
      <c r="T1" s="634" t="s">
        <v>78</v>
      </c>
      <c r="U1" s="634" t="s">
        <v>83</v>
      </c>
      <c r="V1" s="634" t="s">
        <v>79</v>
      </c>
      <c r="W1" s="634" t="s">
        <v>80</v>
      </c>
      <c r="X1" s="634" t="s">
        <v>81</v>
      </c>
      <c r="Y1" s="735" t="s">
        <v>274</v>
      </c>
      <c r="Z1" s="634" t="s">
        <v>85</v>
      </c>
      <c r="AA1" s="735" t="s">
        <v>82</v>
      </c>
      <c r="AB1" s="735" t="s">
        <v>84</v>
      </c>
      <c r="AC1" s="109"/>
      <c r="BS1" s="891" t="s">
        <v>275</v>
      </c>
    </row>
    <row r="2" spans="1:71" s="718" customFormat="1" ht="12" hidden="1" customHeight="1">
      <c r="B2" s="703" t="s">
        <v>15</v>
      </c>
      <c r="G2" s="721"/>
      <c r="H2" s="721"/>
      <c r="I2" s="721"/>
      <c r="J2" s="721"/>
      <c r="K2" s="721"/>
      <c r="L2" s="721"/>
      <c r="M2" s="721"/>
      <c r="N2" s="721"/>
      <c r="O2" s="721"/>
      <c r="P2" s="721"/>
      <c r="Q2" s="721"/>
      <c r="R2" s="721"/>
      <c r="S2" s="721"/>
      <c r="AC2" s="618"/>
      <c r="AJ2" s="635" t="b">
        <f t="shared" ref="AJ2:BM2" si="0">AJ6&lt;=last_year_vis</f>
        <v>1</v>
      </c>
      <c r="AK2" s="635" t="b">
        <f t="shared" si="0"/>
        <v>0</v>
      </c>
      <c r="AL2" s="635" t="b">
        <f t="shared" si="0"/>
        <v>0</v>
      </c>
      <c r="AM2" s="635" t="b">
        <f t="shared" si="0"/>
        <v>0</v>
      </c>
      <c r="AN2" s="635" t="b">
        <f t="shared" si="0"/>
        <v>0</v>
      </c>
      <c r="AO2" s="635" t="b">
        <f t="shared" si="0"/>
        <v>0</v>
      </c>
      <c r="AP2" s="635" t="b">
        <f t="shared" si="0"/>
        <v>0</v>
      </c>
      <c r="AQ2" s="635" t="b">
        <f t="shared" si="0"/>
        <v>0</v>
      </c>
      <c r="AR2" s="635" t="b">
        <f t="shared" si="0"/>
        <v>0</v>
      </c>
      <c r="AS2" s="635" t="b">
        <f t="shared" si="0"/>
        <v>0</v>
      </c>
      <c r="AT2" s="635" t="b">
        <f t="shared" si="0"/>
        <v>1</v>
      </c>
      <c r="AU2" s="635" t="b">
        <f t="shared" si="0"/>
        <v>0</v>
      </c>
      <c r="AV2" s="635" t="b">
        <f t="shared" si="0"/>
        <v>0</v>
      </c>
      <c r="AW2" s="635" t="b">
        <f t="shared" si="0"/>
        <v>0</v>
      </c>
      <c r="AX2" s="635" t="b">
        <f t="shared" si="0"/>
        <v>0</v>
      </c>
      <c r="AY2" s="635" t="b">
        <f t="shared" si="0"/>
        <v>0</v>
      </c>
      <c r="AZ2" s="635" t="b">
        <f t="shared" si="0"/>
        <v>0</v>
      </c>
      <c r="BA2" s="635" t="b">
        <f t="shared" si="0"/>
        <v>0</v>
      </c>
      <c r="BB2" s="635" t="b">
        <f t="shared" si="0"/>
        <v>0</v>
      </c>
      <c r="BC2" s="635" t="b">
        <f t="shared" si="0"/>
        <v>0</v>
      </c>
      <c r="BD2" s="635" t="b">
        <f t="shared" si="0"/>
        <v>1</v>
      </c>
      <c r="BE2" s="635" t="b">
        <f t="shared" si="0"/>
        <v>0</v>
      </c>
      <c r="BF2" s="635" t="b">
        <f t="shared" si="0"/>
        <v>0</v>
      </c>
      <c r="BG2" s="635" t="b">
        <f t="shared" si="0"/>
        <v>0</v>
      </c>
      <c r="BH2" s="635" t="b">
        <f t="shared" si="0"/>
        <v>0</v>
      </c>
      <c r="BI2" s="635" t="b">
        <f t="shared" si="0"/>
        <v>0</v>
      </c>
      <c r="BJ2" s="635" t="b">
        <f t="shared" si="0"/>
        <v>0</v>
      </c>
      <c r="BK2" s="635" t="b">
        <f t="shared" si="0"/>
        <v>0</v>
      </c>
      <c r="BL2" s="635" t="b">
        <f t="shared" si="0"/>
        <v>0</v>
      </c>
      <c r="BM2" s="635" t="b">
        <f t="shared" si="0"/>
        <v>0</v>
      </c>
      <c r="BS2" s="878"/>
    </row>
    <row r="3" spans="1:71" s="165" customFormat="1" ht="12" hidden="1" customHeight="1">
      <c r="B3" s="614"/>
      <c r="E3" s="614"/>
      <c r="G3" s="167"/>
      <c r="H3" s="167"/>
      <c r="I3" s="167"/>
      <c r="J3" s="167"/>
      <c r="K3" s="167"/>
      <c r="L3" s="167"/>
      <c r="M3" s="167"/>
      <c r="N3" s="167"/>
      <c r="O3" s="167"/>
      <c r="P3" s="167"/>
      <c r="Q3" s="130"/>
      <c r="R3" s="130"/>
      <c r="S3" s="167"/>
      <c r="AC3" s="169"/>
      <c r="BS3" s="943"/>
    </row>
    <row r="4" spans="1:71" s="165" customFormat="1" ht="12" hidden="1" customHeight="1">
      <c r="B4" s="614"/>
      <c r="E4" s="614"/>
      <c r="G4" s="167"/>
      <c r="H4" s="167"/>
      <c r="I4" s="167"/>
      <c r="J4" s="167"/>
      <c r="K4" s="167"/>
      <c r="L4" s="167"/>
      <c r="M4" s="167"/>
      <c r="N4" s="167"/>
      <c r="O4" s="167"/>
      <c r="P4" s="167"/>
      <c r="Q4" s="130"/>
      <c r="R4" s="130"/>
      <c r="S4" s="167"/>
      <c r="AC4" s="169"/>
      <c r="BS4" s="943"/>
    </row>
    <row r="5" spans="1:71" s="717" customFormat="1" ht="12" hidden="1" customHeight="1">
      <c r="A5" s="614"/>
      <c r="B5" s="614"/>
      <c r="C5" s="614"/>
      <c r="D5" s="614"/>
      <c r="E5" s="623" t="s">
        <v>16</v>
      </c>
      <c r="G5" s="722"/>
      <c r="H5" s="722"/>
      <c r="I5" s="722"/>
      <c r="J5" s="722"/>
      <c r="K5" s="722"/>
      <c r="L5" s="722"/>
      <c r="M5" s="722"/>
      <c r="N5" s="722"/>
      <c r="O5" s="722"/>
      <c r="P5" s="722"/>
      <c r="Q5" s="722"/>
      <c r="R5" s="722"/>
      <c r="S5" s="722"/>
      <c r="AA5" s="623">
        <v>3</v>
      </c>
      <c r="AB5" s="623">
        <v>8.1300000000000008</v>
      </c>
      <c r="AC5" s="629">
        <v>70.13</v>
      </c>
      <c r="AD5" s="623">
        <v>14.38</v>
      </c>
      <c r="AE5" s="623">
        <v>12.63</v>
      </c>
      <c r="AF5" s="623">
        <v>12.63</v>
      </c>
      <c r="AG5" s="623">
        <v>12.63</v>
      </c>
      <c r="AH5" s="623">
        <v>19.13</v>
      </c>
      <c r="AI5" s="623">
        <v>12.63</v>
      </c>
      <c r="AJ5" s="623">
        <v>12.63</v>
      </c>
      <c r="AK5" s="623">
        <v>12.63</v>
      </c>
      <c r="AL5" s="623">
        <v>12.63</v>
      </c>
      <c r="AM5" s="623">
        <v>12.63</v>
      </c>
      <c r="AN5" s="623">
        <v>12.63</v>
      </c>
      <c r="AO5" s="623">
        <v>12.63</v>
      </c>
      <c r="AP5" s="623">
        <v>12.63</v>
      </c>
      <c r="AQ5" s="623">
        <v>12.63</v>
      </c>
      <c r="AR5" s="623">
        <v>12.63</v>
      </c>
      <c r="AS5" s="623">
        <v>12.63</v>
      </c>
      <c r="AT5" s="623">
        <v>12.63</v>
      </c>
      <c r="AU5" s="623">
        <v>12.63</v>
      </c>
      <c r="AV5" s="623">
        <v>12.63</v>
      </c>
      <c r="AW5" s="623">
        <v>12.63</v>
      </c>
      <c r="AX5" s="623">
        <v>12.63</v>
      </c>
      <c r="AY5" s="623">
        <v>12.63</v>
      </c>
      <c r="AZ5" s="623">
        <v>12.63</v>
      </c>
      <c r="BA5" s="623">
        <v>12.63</v>
      </c>
      <c r="BB5" s="623">
        <v>12.63</v>
      </c>
      <c r="BC5" s="623">
        <v>12.63</v>
      </c>
      <c r="BD5" s="623">
        <v>12.63</v>
      </c>
      <c r="BE5" s="623">
        <v>12.63</v>
      </c>
      <c r="BF5" s="623">
        <v>12.63</v>
      </c>
      <c r="BG5" s="623">
        <v>12.63</v>
      </c>
      <c r="BH5" s="623">
        <v>12.63</v>
      </c>
      <c r="BI5" s="623">
        <v>12.63</v>
      </c>
      <c r="BJ5" s="623">
        <v>12.63</v>
      </c>
      <c r="BK5" s="623">
        <v>12.63</v>
      </c>
      <c r="BL5" s="623">
        <v>12.63</v>
      </c>
      <c r="BM5" s="623">
        <v>12.63</v>
      </c>
      <c r="BN5" s="623">
        <v>19</v>
      </c>
      <c r="BO5" s="623">
        <v>17.25</v>
      </c>
      <c r="BP5" s="623">
        <v>31.25</v>
      </c>
      <c r="BQ5" s="623">
        <v>3</v>
      </c>
      <c r="BS5" s="878"/>
    </row>
    <row r="6" spans="1:71" s="165" customFormat="1" ht="12" hidden="1" customHeight="1">
      <c r="B6" s="614"/>
      <c r="E6" s="623"/>
      <c r="G6" s="167"/>
      <c r="H6" s="167"/>
      <c r="I6" s="167"/>
      <c r="J6" s="167"/>
      <c r="K6" s="167"/>
      <c r="L6" s="167"/>
      <c r="M6" s="167"/>
      <c r="N6" s="167"/>
      <c r="O6" s="167"/>
      <c r="P6" s="167"/>
      <c r="Q6" s="130"/>
      <c r="R6" s="130"/>
      <c r="S6" s="167"/>
      <c r="AC6" s="169"/>
      <c r="AE6" s="165">
        <f>god-2</f>
        <v>2024</v>
      </c>
      <c r="AF6" s="165">
        <f>god-2</f>
        <v>2024</v>
      </c>
      <c r="AG6" s="165">
        <f>god-2</f>
        <v>2024</v>
      </c>
      <c r="AH6" s="165">
        <f>god-2</f>
        <v>2024</v>
      </c>
      <c r="AI6" s="113">
        <f>god-1</f>
        <v>2025</v>
      </c>
      <c r="AJ6" s="113">
        <f>god</f>
        <v>2026</v>
      </c>
      <c r="AK6" s="113">
        <f>god+1</f>
        <v>2027</v>
      </c>
      <c r="AL6" s="113">
        <f>god+2</f>
        <v>2028</v>
      </c>
      <c r="AM6" s="113">
        <f>god+3</f>
        <v>2029</v>
      </c>
      <c r="AN6" s="113">
        <f>god+4</f>
        <v>2030</v>
      </c>
      <c r="AO6" s="113">
        <f>god+5</f>
        <v>2031</v>
      </c>
      <c r="AP6" s="113">
        <f>god+6</f>
        <v>2032</v>
      </c>
      <c r="AQ6" s="113">
        <f>god+7</f>
        <v>2033</v>
      </c>
      <c r="AR6" s="113">
        <f>god+8</f>
        <v>2034</v>
      </c>
      <c r="AS6" s="113">
        <f>god+9</f>
        <v>2035</v>
      </c>
      <c r="AT6" s="113">
        <f>god</f>
        <v>2026</v>
      </c>
      <c r="AU6" s="113">
        <f>god+1</f>
        <v>2027</v>
      </c>
      <c r="AV6" s="113">
        <f>god+2</f>
        <v>2028</v>
      </c>
      <c r="AW6" s="113">
        <f>god+3</f>
        <v>2029</v>
      </c>
      <c r="AX6" s="113">
        <f>god+4</f>
        <v>2030</v>
      </c>
      <c r="AY6" s="113">
        <f>god+5</f>
        <v>2031</v>
      </c>
      <c r="AZ6" s="113">
        <f>god+6</f>
        <v>2032</v>
      </c>
      <c r="BA6" s="113">
        <f>god+7</f>
        <v>2033</v>
      </c>
      <c r="BB6" s="113">
        <f>god+8</f>
        <v>2034</v>
      </c>
      <c r="BC6" s="113">
        <f>god+9</f>
        <v>2035</v>
      </c>
      <c r="BD6" s="113">
        <f>god</f>
        <v>2026</v>
      </c>
      <c r="BE6" s="113">
        <f>god+1</f>
        <v>2027</v>
      </c>
      <c r="BF6" s="113">
        <f>god+2</f>
        <v>2028</v>
      </c>
      <c r="BG6" s="113">
        <f>god+3</f>
        <v>2029</v>
      </c>
      <c r="BH6" s="113">
        <f>god+4</f>
        <v>2030</v>
      </c>
      <c r="BI6" s="113">
        <f>god+5</f>
        <v>2031</v>
      </c>
      <c r="BJ6" s="113">
        <f>god+6</f>
        <v>2032</v>
      </c>
      <c r="BK6" s="113">
        <f>god+7</f>
        <v>2033</v>
      </c>
      <c r="BL6" s="113">
        <f>god+8</f>
        <v>2034</v>
      </c>
      <c r="BM6" s="113">
        <f>god+9</f>
        <v>2035</v>
      </c>
      <c r="BS6" s="943"/>
    </row>
    <row r="7" spans="1:71" ht="12" hidden="1" customHeight="1">
      <c r="F7" s="167"/>
      <c r="T7" s="167"/>
      <c r="U7" s="167"/>
      <c r="V7" s="167"/>
      <c r="W7" s="167"/>
      <c r="X7" s="167"/>
      <c r="Y7" s="167"/>
      <c r="Z7" s="167"/>
      <c r="AB7" s="167"/>
      <c r="AD7" s="167"/>
      <c r="AE7" s="150" t="str">
        <f>AE25</f>
        <v>Принято органом регулирования</v>
      </c>
      <c r="AF7" s="150" t="str">
        <f>AF25</f>
        <v>Факт по данным организации</v>
      </c>
      <c r="AG7" s="150" t="str">
        <f>AG25</f>
        <v>Факт, принятый органом регулирования</v>
      </c>
      <c r="AH7" s="150" t="str">
        <f>AH25</f>
        <v>отклонение факта по данным организации к факту принятому органом регулирования</v>
      </c>
      <c r="AI7" s="150" t="str">
        <f>AI25</f>
        <v>Принято органом регулирования</v>
      </c>
      <c r="AJ7" s="150" t="str">
        <f t="shared" ref="AJ7:AS7" si="1">$AJ$25</f>
        <v>Предложение организации</v>
      </c>
      <c r="AK7" s="150" t="str">
        <f t="shared" si="1"/>
        <v>Предложение организации</v>
      </c>
      <c r="AL7" s="150" t="str">
        <f t="shared" si="1"/>
        <v>Предложение организации</v>
      </c>
      <c r="AM7" s="150" t="str">
        <f t="shared" si="1"/>
        <v>Предложение организации</v>
      </c>
      <c r="AN7" s="150" t="str">
        <f t="shared" si="1"/>
        <v>Предложение организации</v>
      </c>
      <c r="AO7" s="150" t="str">
        <f t="shared" si="1"/>
        <v>Предложение организации</v>
      </c>
      <c r="AP7" s="150" t="str">
        <f t="shared" si="1"/>
        <v>Предложение организации</v>
      </c>
      <c r="AQ7" s="150" t="str">
        <f t="shared" si="1"/>
        <v>Предложение организации</v>
      </c>
      <c r="AR7" s="150" t="str">
        <f t="shared" si="1"/>
        <v>Предложение организации</v>
      </c>
      <c r="AS7" s="150" t="str">
        <f t="shared" si="1"/>
        <v>Предложение организации</v>
      </c>
      <c r="AT7" s="150" t="str">
        <f t="shared" ref="AT7:BC7" si="2">$AT$25</f>
        <v>Принято органом регулирования</v>
      </c>
      <c r="AU7" s="150" t="str">
        <f t="shared" si="2"/>
        <v>Принято органом регулирования</v>
      </c>
      <c r="AV7" s="150" t="str">
        <f t="shared" si="2"/>
        <v>Принято органом регулирования</v>
      </c>
      <c r="AW7" s="150" t="str">
        <f t="shared" si="2"/>
        <v>Принято органом регулирования</v>
      </c>
      <c r="AX7" s="150" t="str">
        <f t="shared" si="2"/>
        <v>Принято органом регулирования</v>
      </c>
      <c r="AY7" s="150" t="str">
        <f t="shared" si="2"/>
        <v>Принято органом регулирования</v>
      </c>
      <c r="AZ7" s="150" t="str">
        <f t="shared" si="2"/>
        <v>Принято органом регулирования</v>
      </c>
      <c r="BA7" s="150" t="str">
        <f t="shared" si="2"/>
        <v>Принято органом регулирования</v>
      </c>
      <c r="BB7" s="150" t="str">
        <f t="shared" si="2"/>
        <v>Принято органом регулирования</v>
      </c>
      <c r="BC7" s="150" t="str">
        <f t="shared" si="2"/>
        <v>Принято органом регулирования</v>
      </c>
      <c r="BD7" s="150"/>
      <c r="BE7" s="150"/>
      <c r="BF7" s="150"/>
      <c r="BG7" s="150"/>
      <c r="BH7" s="150"/>
      <c r="BI7" s="150"/>
      <c r="BJ7" s="150"/>
      <c r="BK7" s="150"/>
      <c r="BL7" s="150"/>
      <c r="BM7" s="150"/>
    </row>
    <row r="8" spans="1:71" ht="12" hidden="1" customHeight="1">
      <c r="F8" s="167"/>
      <c r="T8" s="167"/>
      <c r="U8" s="167"/>
      <c r="V8" s="167"/>
      <c r="W8" s="167"/>
      <c r="X8" s="167"/>
      <c r="Y8" s="167"/>
      <c r="Z8" s="167"/>
      <c r="AB8" s="167"/>
      <c r="AD8" s="167"/>
      <c r="AE8" s="150" t="str">
        <f t="shared" ref="AE8:BC8" si="3">AE6&amp;AE7</f>
        <v>2024Принято органом регулирования</v>
      </c>
      <c r="AF8" s="150" t="str">
        <f t="shared" si="3"/>
        <v>2024Факт по данным организации</v>
      </c>
      <c r="AG8" s="150" t="str">
        <f t="shared" si="3"/>
        <v>2024Факт, принятый органом регулирования</v>
      </c>
      <c r="AH8" s="150" t="str">
        <f t="shared" si="3"/>
        <v>2024отклонение факта по данным организации к факту принятому органом регулирования</v>
      </c>
      <c r="AI8" s="150" t="str">
        <f t="shared" si="3"/>
        <v>2025Принято органом регулирования</v>
      </c>
      <c r="AJ8" s="150" t="str">
        <f t="shared" si="3"/>
        <v>2026Предложение организации</v>
      </c>
      <c r="AK8" s="150" t="str">
        <f t="shared" si="3"/>
        <v>2027Предложение организации</v>
      </c>
      <c r="AL8" s="150" t="str">
        <f t="shared" si="3"/>
        <v>2028Предложение организации</v>
      </c>
      <c r="AM8" s="150" t="str">
        <f t="shared" si="3"/>
        <v>2029Предложение организации</v>
      </c>
      <c r="AN8" s="150" t="str">
        <f t="shared" si="3"/>
        <v>2030Предложение организации</v>
      </c>
      <c r="AO8" s="150" t="str">
        <f t="shared" si="3"/>
        <v>2031Предложение организации</v>
      </c>
      <c r="AP8" s="150" t="str">
        <f t="shared" si="3"/>
        <v>2032Предложение организации</v>
      </c>
      <c r="AQ8" s="150" t="str">
        <f t="shared" si="3"/>
        <v>2033Предложение организации</v>
      </c>
      <c r="AR8" s="150" t="str">
        <f t="shared" si="3"/>
        <v>2034Предложение организации</v>
      </c>
      <c r="AS8" s="150" t="str">
        <f t="shared" si="3"/>
        <v>2035Предложение организации</v>
      </c>
      <c r="AT8" s="150" t="str">
        <f t="shared" si="3"/>
        <v>2026Принято органом регулирования</v>
      </c>
      <c r="AU8" s="150" t="str">
        <f t="shared" si="3"/>
        <v>2027Принято органом регулирования</v>
      </c>
      <c r="AV8" s="150" t="str">
        <f t="shared" si="3"/>
        <v>2028Принято органом регулирования</v>
      </c>
      <c r="AW8" s="150" t="str">
        <f t="shared" si="3"/>
        <v>2029Принято органом регулирования</v>
      </c>
      <c r="AX8" s="150" t="str">
        <f t="shared" si="3"/>
        <v>2030Принято органом регулирования</v>
      </c>
      <c r="AY8" s="150" t="str">
        <f t="shared" si="3"/>
        <v>2031Принято органом регулирования</v>
      </c>
      <c r="AZ8" s="150" t="str">
        <f t="shared" si="3"/>
        <v>2032Принято органом регулирования</v>
      </c>
      <c r="BA8" s="150" t="str">
        <f t="shared" si="3"/>
        <v>2033Принято органом регулирования</v>
      </c>
      <c r="BB8" s="150" t="str">
        <f t="shared" si="3"/>
        <v>2034Принято органом регулирования</v>
      </c>
      <c r="BC8" s="150" t="str">
        <f t="shared" si="3"/>
        <v>2035Принято органом регулирования</v>
      </c>
      <c r="BD8" s="150"/>
      <c r="BE8" s="150"/>
      <c r="BF8" s="150"/>
      <c r="BG8" s="150"/>
      <c r="BH8" s="150"/>
      <c r="BI8" s="150"/>
      <c r="BJ8" s="150"/>
      <c r="BK8" s="150"/>
      <c r="BL8" s="150"/>
      <c r="BM8" s="150"/>
    </row>
    <row r="9" spans="1:71" s="943" customFormat="1" ht="12" hidden="1" customHeight="1">
      <c r="A9" s="913" t="s">
        <v>327</v>
      </c>
      <c r="B9" s="878"/>
      <c r="E9" s="878"/>
      <c r="Q9" s="923"/>
      <c r="R9" s="923"/>
      <c r="AE9" s="943">
        <f>god-2</f>
        <v>2024</v>
      </c>
      <c r="AF9" s="943">
        <f>god-2</f>
        <v>2024</v>
      </c>
      <c r="AG9" s="943">
        <f>god-2</f>
        <v>2024</v>
      </c>
      <c r="AH9" s="943">
        <f>god-2</f>
        <v>2024</v>
      </c>
      <c r="AI9" s="943">
        <f>god-1</f>
        <v>2025</v>
      </c>
      <c r="AJ9" s="943">
        <f>god</f>
        <v>2026</v>
      </c>
      <c r="AK9" s="943">
        <f>god+1</f>
        <v>2027</v>
      </c>
      <c r="AL9" s="943">
        <f>god+2</f>
        <v>2028</v>
      </c>
      <c r="AM9" s="943">
        <f>god+3</f>
        <v>2029</v>
      </c>
      <c r="AN9" s="943">
        <f>god+4</f>
        <v>2030</v>
      </c>
      <c r="AO9" s="943">
        <f>god+5</f>
        <v>2031</v>
      </c>
      <c r="AP9" s="943">
        <f>god+6</f>
        <v>2032</v>
      </c>
      <c r="AQ9" s="943">
        <f>god+7</f>
        <v>2033</v>
      </c>
      <c r="AR9" s="943">
        <f>god+8</f>
        <v>2034</v>
      </c>
      <c r="AS9" s="943">
        <f>god+9</f>
        <v>2035</v>
      </c>
      <c r="AT9" s="943">
        <f>god</f>
        <v>2026</v>
      </c>
      <c r="AU9" s="943">
        <f>god+1</f>
        <v>2027</v>
      </c>
      <c r="AV9" s="943">
        <f>god+2</f>
        <v>2028</v>
      </c>
      <c r="AW9" s="943">
        <f>god+3</f>
        <v>2029</v>
      </c>
      <c r="AX9" s="943">
        <f>god+4</f>
        <v>2030</v>
      </c>
      <c r="AY9" s="943">
        <f>god+5</f>
        <v>2031</v>
      </c>
      <c r="AZ9" s="943">
        <f>god+6</f>
        <v>2032</v>
      </c>
      <c r="BA9" s="943">
        <f>god+7</f>
        <v>2033</v>
      </c>
      <c r="BB9" s="943">
        <f>god+8</f>
        <v>2034</v>
      </c>
      <c r="BC9" s="943">
        <f>god+9</f>
        <v>2035</v>
      </c>
      <c r="BD9" s="943">
        <f>god</f>
        <v>2026</v>
      </c>
      <c r="BE9" s="943">
        <f>god+1</f>
        <v>2027</v>
      </c>
      <c r="BF9" s="943">
        <f>god+2</f>
        <v>2028</v>
      </c>
      <c r="BG9" s="943">
        <f>god+3</f>
        <v>2029</v>
      </c>
      <c r="BH9" s="943">
        <f>god+4</f>
        <v>2030</v>
      </c>
      <c r="BI9" s="943">
        <f>god+5</f>
        <v>2031</v>
      </c>
      <c r="BJ9" s="943">
        <f>god+6</f>
        <v>2032</v>
      </c>
      <c r="BK9" s="943">
        <f>god+7</f>
        <v>2033</v>
      </c>
      <c r="BL9" s="943">
        <f>god+8</f>
        <v>2034</v>
      </c>
      <c r="BM9" s="943">
        <f>god+9</f>
        <v>2035</v>
      </c>
    </row>
    <row r="10" spans="1:71" s="943" customFormat="1" ht="12" hidden="1" customHeight="1">
      <c r="A10" s="913" t="s">
        <v>328</v>
      </c>
      <c r="B10" s="878"/>
      <c r="E10" s="878"/>
      <c r="Q10" s="923"/>
      <c r="R10" s="923"/>
      <c r="AE10" s="943" t="str">
        <f t="shared" ref="AE10:BD10" si="4">AE25</f>
        <v>Принято органом регулирования</v>
      </c>
      <c r="AF10" s="943" t="str">
        <f t="shared" si="4"/>
        <v>Факт по данным организации</v>
      </c>
      <c r="AG10" s="943" t="str">
        <f t="shared" si="4"/>
        <v>Факт, принятый органом регулирования</v>
      </c>
      <c r="AH10" s="943" t="str">
        <f t="shared" si="4"/>
        <v>отклонение факта по данным организации к факту принятому органом регулирования</v>
      </c>
      <c r="AI10" s="943" t="str">
        <f t="shared" si="4"/>
        <v>Принято органом регулирования</v>
      </c>
      <c r="AJ10" s="943" t="str">
        <f t="shared" si="4"/>
        <v>Предложение организации</v>
      </c>
      <c r="AK10" s="943" t="str">
        <f t="shared" si="4"/>
        <v>Предложение организации</v>
      </c>
      <c r="AL10" s="943" t="str">
        <f t="shared" si="4"/>
        <v>Предложение организации</v>
      </c>
      <c r="AM10" s="943" t="str">
        <f t="shared" si="4"/>
        <v>Предложение организации</v>
      </c>
      <c r="AN10" s="943" t="str">
        <f t="shared" si="4"/>
        <v>Предложение организации</v>
      </c>
      <c r="AO10" s="943" t="str">
        <f t="shared" si="4"/>
        <v>Предложение организации</v>
      </c>
      <c r="AP10" s="943" t="str">
        <f t="shared" si="4"/>
        <v>Предложение организации</v>
      </c>
      <c r="AQ10" s="943" t="str">
        <f t="shared" si="4"/>
        <v>Предложение организации</v>
      </c>
      <c r="AR10" s="943" t="str">
        <f t="shared" si="4"/>
        <v>Предложение организации</v>
      </c>
      <c r="AS10" s="943" t="str">
        <f t="shared" si="4"/>
        <v>Предложение организации</v>
      </c>
      <c r="AT10" s="943" t="str">
        <f t="shared" si="4"/>
        <v>Принято органом регулирования</v>
      </c>
      <c r="AU10" s="943" t="str">
        <f t="shared" si="4"/>
        <v>Принято органом регулирования</v>
      </c>
      <c r="AV10" s="943" t="str">
        <f t="shared" si="4"/>
        <v>Принято органом регулирования</v>
      </c>
      <c r="AW10" s="943" t="str">
        <f t="shared" si="4"/>
        <v>Принято органом регулирования</v>
      </c>
      <c r="AX10" s="943" t="str">
        <f t="shared" si="4"/>
        <v>Принято органом регулирования</v>
      </c>
      <c r="AY10" s="943" t="str">
        <f t="shared" si="4"/>
        <v>Принято органом регулирования</v>
      </c>
      <c r="AZ10" s="943" t="str">
        <f t="shared" si="4"/>
        <v>Принято органом регулирования</v>
      </c>
      <c r="BA10" s="943" t="str">
        <f t="shared" si="4"/>
        <v>Принято органом регулирования</v>
      </c>
      <c r="BB10" s="943" t="str">
        <f t="shared" si="4"/>
        <v>Принято органом регулирования</v>
      </c>
      <c r="BC10" s="943" t="str">
        <f t="shared" si="4"/>
        <v>Принято органом регулирования</v>
      </c>
      <c r="BD10" s="943" t="str">
        <f t="shared" si="4"/>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943" t="str">
        <f t="shared" ref="BE10:BM10" si="5">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row>
    <row r="11" spans="1:71" s="943" customFormat="1" ht="12" hidden="1" customHeight="1">
      <c r="A11" s="913" t="s">
        <v>329</v>
      </c>
      <c r="B11" s="878"/>
      <c r="E11" s="878"/>
      <c r="G11" s="946"/>
      <c r="H11" s="946"/>
      <c r="I11" s="946"/>
      <c r="J11" s="946"/>
      <c r="K11" s="946"/>
      <c r="L11" s="946"/>
      <c r="M11" s="946"/>
      <c r="N11" s="946"/>
      <c r="O11" s="946"/>
      <c r="P11" s="946"/>
      <c r="Q11" s="925"/>
      <c r="R11" s="925"/>
      <c r="S11" s="946"/>
      <c r="AC11" s="947"/>
      <c r="BN11" s="943" t="str">
        <f>BN24</f>
        <v>Указание на подтверждающие документы / URL-ссылка на копии подтверждающих документов</v>
      </c>
      <c r="BO11" s="943" t="str">
        <f>BO24</f>
        <v>Ссылка на правовую норму (основание для принятия показателя в расчет тарифа)</v>
      </c>
      <c r="BP11" s="943"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r="12" spans="1:71" s="165" customFormat="1" ht="12" hidden="1" customHeight="1">
      <c r="B12" s="614"/>
      <c r="E12" s="623"/>
      <c r="G12" s="167"/>
      <c r="H12" s="167"/>
      <c r="I12" s="167"/>
      <c r="J12" s="167"/>
      <c r="K12" s="167"/>
      <c r="L12" s="167"/>
      <c r="M12" s="167"/>
      <c r="N12" s="167"/>
      <c r="O12" s="167"/>
      <c r="P12" s="167"/>
      <c r="Q12" s="130"/>
      <c r="R12" s="130"/>
      <c r="S12" s="167"/>
      <c r="AC12" s="169"/>
      <c r="BS12" s="943"/>
    </row>
    <row r="13" spans="1:71" s="165" customFormat="1" ht="12" hidden="1" customHeight="1">
      <c r="B13" s="614"/>
      <c r="E13" s="623"/>
      <c r="G13" s="167"/>
      <c r="H13" s="167"/>
      <c r="I13" s="167"/>
      <c r="J13" s="167"/>
      <c r="K13" s="167"/>
      <c r="L13" s="167"/>
      <c r="M13" s="167"/>
      <c r="N13" s="167"/>
      <c r="O13" s="167"/>
      <c r="P13" s="167"/>
      <c r="Q13" s="130"/>
      <c r="R13" s="130"/>
      <c r="S13" s="167"/>
      <c r="AC13" s="169"/>
      <c r="BS13" s="943"/>
    </row>
    <row r="14" spans="1:71" s="165" customFormat="1" ht="12" hidden="1" customHeight="1">
      <c r="B14" s="614"/>
      <c r="E14" s="623"/>
      <c r="G14" s="167"/>
      <c r="H14" s="167"/>
      <c r="I14" s="167"/>
      <c r="J14" s="167"/>
      <c r="K14" s="167"/>
      <c r="L14" s="167"/>
      <c r="M14" s="167"/>
      <c r="N14" s="167"/>
      <c r="O14" s="167"/>
      <c r="P14" s="167"/>
      <c r="Q14" s="130"/>
      <c r="R14" s="130"/>
      <c r="S14" s="167"/>
      <c r="AC14" s="169"/>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S14" s="943"/>
    </row>
    <row r="15" spans="1:71" s="165" customFormat="1" ht="12" hidden="1" customHeight="1">
      <c r="B15" s="614"/>
      <c r="E15" s="623"/>
      <c r="G15" s="167"/>
      <c r="H15" s="167"/>
      <c r="I15" s="167"/>
      <c r="J15" s="167"/>
      <c r="K15" s="167"/>
      <c r="L15" s="167"/>
      <c r="M15" s="167"/>
      <c r="N15" s="167"/>
      <c r="O15" s="167"/>
      <c r="P15" s="167"/>
      <c r="Q15" s="130"/>
      <c r="R15" s="130"/>
      <c r="S15" s="167"/>
      <c r="AC15" s="169"/>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S15" s="943"/>
    </row>
    <row r="16" spans="1:71" s="165" customFormat="1" ht="12" hidden="1" customHeight="1">
      <c r="B16" s="614"/>
      <c r="E16" s="623"/>
      <c r="G16" s="167"/>
      <c r="H16" s="167"/>
      <c r="I16" s="167"/>
      <c r="J16" s="167"/>
      <c r="K16" s="167"/>
      <c r="L16" s="167"/>
      <c r="M16" s="167"/>
      <c r="N16" s="167"/>
      <c r="O16" s="167"/>
      <c r="P16" s="167"/>
      <c r="Q16" s="130"/>
      <c r="R16" s="130"/>
      <c r="S16" s="167"/>
      <c r="AC16" s="169"/>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S16" s="943"/>
    </row>
    <row r="17" spans="1:71" s="165" customFormat="1" ht="12" hidden="1" customHeight="1">
      <c r="B17" s="614"/>
      <c r="E17" s="623"/>
      <c r="G17" s="167"/>
      <c r="H17" s="167"/>
      <c r="I17" s="167"/>
      <c r="J17" s="167"/>
      <c r="K17" s="167"/>
      <c r="L17" s="167"/>
      <c r="M17" s="167"/>
      <c r="N17" s="167"/>
      <c r="O17" s="167"/>
      <c r="P17" s="167"/>
      <c r="Q17" s="130"/>
      <c r="R17" s="130"/>
      <c r="S17" s="167"/>
      <c r="AC17" s="169"/>
      <c r="BS17" s="943"/>
    </row>
    <row r="18" spans="1:71" s="165" customFormat="1" ht="12" hidden="1" customHeight="1">
      <c r="B18" s="614"/>
      <c r="E18" s="623"/>
      <c r="G18" s="167"/>
      <c r="H18" s="167"/>
      <c r="I18" s="167"/>
      <c r="J18" s="167"/>
      <c r="K18" s="167"/>
      <c r="L18" s="167"/>
      <c r="M18" s="167"/>
      <c r="N18" s="167"/>
      <c r="O18" s="167"/>
      <c r="P18" s="167"/>
      <c r="Q18" s="130"/>
      <c r="R18" s="130"/>
      <c r="S18" s="167"/>
      <c r="AC18" s="169"/>
      <c r="BS18" s="943"/>
    </row>
    <row r="19" spans="1:71" s="165" customFormat="1" ht="12" hidden="1" customHeight="1">
      <c r="B19" s="614"/>
      <c r="E19" s="623"/>
      <c r="G19" s="167"/>
      <c r="H19" s="167"/>
      <c r="I19" s="167"/>
      <c r="J19" s="167"/>
      <c r="K19" s="167"/>
      <c r="L19" s="167"/>
      <c r="M19" s="167"/>
      <c r="N19" s="167"/>
      <c r="O19" s="167"/>
      <c r="P19" s="167"/>
      <c r="Q19" s="130"/>
      <c r="R19" s="130"/>
      <c r="S19" s="167"/>
      <c r="AC19" s="169"/>
      <c r="BS19" s="943"/>
    </row>
    <row r="20" spans="1:71" s="165" customFormat="1" ht="12" hidden="1" customHeight="1">
      <c r="B20" s="614"/>
      <c r="E20" s="623"/>
      <c r="G20" s="167"/>
      <c r="H20" s="167"/>
      <c r="I20" s="167"/>
      <c r="J20" s="167"/>
      <c r="K20" s="167"/>
      <c r="L20" s="167"/>
      <c r="M20" s="167"/>
      <c r="N20" s="167"/>
      <c r="O20" s="167"/>
      <c r="P20" s="167"/>
      <c r="Q20" s="130"/>
      <c r="R20" s="130"/>
      <c r="S20" s="167"/>
      <c r="AC20" s="169"/>
      <c r="BS20" s="943"/>
    </row>
    <row r="21" spans="1:71" ht="14.65" customHeight="1">
      <c r="E21" s="623">
        <v>15</v>
      </c>
      <c r="AA21" s="646"/>
      <c r="AB21" s="167"/>
      <c r="AC21" s="315" t="str">
        <f>tpl_title</f>
        <v>Кемеровская область / 2026 / АО "СУЭК-Кузбасс" (ИНН:4212024138, КПП:421201001) / ДПР: 2024-2028</v>
      </c>
      <c r="AD21" s="167"/>
    </row>
    <row r="22" spans="1:71" s="1018" customFormat="1" ht="19.5" customHeight="1">
      <c r="A22" s="120"/>
      <c r="B22" s="614"/>
      <c r="C22" s="120"/>
      <c r="D22" s="120"/>
      <c r="E22" s="623">
        <v>20.100000000000001</v>
      </c>
      <c r="F22" s="120"/>
      <c r="Q22" s="130"/>
      <c r="R22" s="130"/>
      <c r="T22" s="120"/>
      <c r="U22" s="120"/>
      <c r="V22" s="120"/>
      <c r="W22" s="120"/>
      <c r="X22" s="120"/>
      <c r="Y22" s="120"/>
      <c r="Z22" s="120"/>
      <c r="AB22" s="306" t="s">
        <v>57</v>
      </c>
      <c r="AC22" s="251"/>
      <c r="AD22" s="251"/>
      <c r="AE22" s="251"/>
      <c r="AF22" s="251"/>
      <c r="AG22" s="251"/>
      <c r="AH22" s="251"/>
      <c r="AI22" s="251"/>
      <c r="AJ22" s="251"/>
      <c r="AK22" s="251"/>
      <c r="AL22" s="251"/>
      <c r="AM22" s="251"/>
      <c r="AN22" s="251"/>
      <c r="AO22" s="251"/>
      <c r="AP22" s="251"/>
      <c r="AQ22" s="251"/>
      <c r="AR22" s="251"/>
      <c r="AS22" s="251"/>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S22" s="922"/>
    </row>
    <row r="23" spans="1:71" s="1018" customFormat="1" ht="9.9499999999999993" customHeight="1">
      <c r="A23" s="120"/>
      <c r="B23" s="614"/>
      <c r="C23" s="120"/>
      <c r="D23" s="120"/>
      <c r="E23" s="623">
        <v>10.199999999999999</v>
      </c>
      <c r="F23" s="120"/>
      <c r="Q23" s="130"/>
      <c r="R23" s="130"/>
      <c r="T23" s="120"/>
      <c r="U23" s="120"/>
      <c r="V23" s="120"/>
      <c r="W23" s="120"/>
      <c r="X23" s="120"/>
      <c r="Y23" s="120"/>
      <c r="Z23" s="120"/>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c r="BP23" s="168"/>
      <c r="BS23" s="922"/>
    </row>
    <row r="24" spans="1:71" s="166" customFormat="1" ht="24.2" customHeight="1">
      <c r="A24" s="169"/>
      <c r="B24" s="618"/>
      <c r="C24" s="169"/>
      <c r="D24" s="169"/>
      <c r="E24" s="629">
        <v>24.8</v>
      </c>
      <c r="F24" s="169"/>
      <c r="Q24" s="723"/>
      <c r="R24" s="723"/>
      <c r="T24" s="169"/>
      <c r="U24" s="169"/>
      <c r="V24" s="169"/>
      <c r="W24" s="169"/>
      <c r="X24" s="169"/>
      <c r="Y24" s="169"/>
      <c r="Z24" s="169"/>
      <c r="AB24" s="1496" t="s">
        <v>288</v>
      </c>
      <c r="AC24" s="1496" t="s">
        <v>330</v>
      </c>
      <c r="AD24" s="1496" t="s">
        <v>331</v>
      </c>
      <c r="AE24" s="198" t="str">
        <f>god-2&amp;" год"</f>
        <v>2024 год</v>
      </c>
      <c r="AF24" s="1007" t="str">
        <f>god-2&amp;" год"</f>
        <v>2024 год</v>
      </c>
      <c r="AG24" s="198" t="str">
        <f>god-2&amp;" год"</f>
        <v>2024 год</v>
      </c>
      <c r="AH24" s="198" t="str">
        <f>god-2&amp;" год"</f>
        <v>2024 год</v>
      </c>
      <c r="AI24" s="107" t="str">
        <f>god-1&amp;" год"</f>
        <v>2025 год</v>
      </c>
      <c r="AJ24" s="1001" t="str">
        <f>god&amp;" год"</f>
        <v>2026 год</v>
      </c>
      <c r="AK24" s="1001" t="str">
        <f>god+1&amp;" год"</f>
        <v>2027 год</v>
      </c>
      <c r="AL24" s="1001" t="str">
        <f>god+2&amp;" год"</f>
        <v>2028 год</v>
      </c>
      <c r="AM24" s="1001" t="str">
        <f>god+3&amp;" год"</f>
        <v>2029 год</v>
      </c>
      <c r="AN24" s="1001" t="str">
        <f>god+4&amp;" год"</f>
        <v>2030 год</v>
      </c>
      <c r="AO24" s="1001" t="str">
        <f>god+5&amp;" год"</f>
        <v>2031 год</v>
      </c>
      <c r="AP24" s="1001" t="str">
        <f>god+6&amp;" год"</f>
        <v>2032 год</v>
      </c>
      <c r="AQ24" s="1001" t="str">
        <f>god+7&amp;" год"</f>
        <v>2033 год</v>
      </c>
      <c r="AR24" s="1001" t="str">
        <f>god+8&amp;" год"</f>
        <v>2034 год</v>
      </c>
      <c r="AS24" s="1001" t="str">
        <f>god+9&amp;" год"</f>
        <v>2035 год</v>
      </c>
      <c r="AT24" s="108" t="str">
        <f>god&amp;" год"</f>
        <v>2026 год</v>
      </c>
      <c r="AU24" s="108" t="str">
        <f>god+1&amp;" год"</f>
        <v>2027 год</v>
      </c>
      <c r="AV24" s="108" t="str">
        <f>god+2&amp;" год"</f>
        <v>2028 год</v>
      </c>
      <c r="AW24" s="108" t="str">
        <f>god+3&amp;" год"</f>
        <v>2029 год</v>
      </c>
      <c r="AX24" s="108" t="str">
        <f>god+4&amp;" год"</f>
        <v>2030 год</v>
      </c>
      <c r="AY24" s="108" t="str">
        <f>god+5&amp;" год"</f>
        <v>2031 год</v>
      </c>
      <c r="AZ24" s="108" t="str">
        <f>god+6&amp;" год"</f>
        <v>2032 год</v>
      </c>
      <c r="BA24" s="108" t="str">
        <f>god+7&amp;" год"</f>
        <v>2033 год</v>
      </c>
      <c r="BB24" s="108" t="str">
        <f>god+8&amp;" год"</f>
        <v>2034 год</v>
      </c>
      <c r="BC24" s="108" t="str">
        <f>god+9&amp;" год"</f>
        <v>2035 год</v>
      </c>
      <c r="BD24" s="108" t="str">
        <f>god&amp;" год"</f>
        <v>2026 год</v>
      </c>
      <c r="BE24" s="108" t="str">
        <f>god+1&amp;" год"</f>
        <v>2027 год</v>
      </c>
      <c r="BF24" s="108" t="str">
        <f>god+2&amp;" год"</f>
        <v>2028 год</v>
      </c>
      <c r="BG24" s="108" t="str">
        <f>god+3&amp;" год"</f>
        <v>2029 год</v>
      </c>
      <c r="BH24" s="108" t="str">
        <f>god+4&amp;" год"</f>
        <v>2030 год</v>
      </c>
      <c r="BI24" s="108" t="str">
        <f>god+5&amp;" год"</f>
        <v>2031 год</v>
      </c>
      <c r="BJ24" s="108" t="str">
        <f>god+6&amp;" год"</f>
        <v>2032 год</v>
      </c>
      <c r="BK24" s="108" t="str">
        <f>god+7&amp;" год"</f>
        <v>2033 год</v>
      </c>
      <c r="BL24" s="108" t="str">
        <f>god+8&amp;" год"</f>
        <v>2034 год</v>
      </c>
      <c r="BM24" s="108" t="str">
        <f>god+9&amp;" год"</f>
        <v>2035 год</v>
      </c>
      <c r="BN24" s="1493" t="s">
        <v>1090</v>
      </c>
      <c r="BO24" s="1493" t="s">
        <v>486</v>
      </c>
      <c r="BP24" s="1493" t="s">
        <v>1091</v>
      </c>
      <c r="BS24" s="943"/>
    </row>
    <row r="25" spans="1:71" s="166" customFormat="1" ht="44.65" customHeight="1">
      <c r="A25" s="169"/>
      <c r="B25" s="618"/>
      <c r="C25" s="169"/>
      <c r="D25" s="169"/>
      <c r="E25" s="629">
        <v>45.8</v>
      </c>
      <c r="F25" s="169"/>
      <c r="Q25" s="723"/>
      <c r="R25" s="723"/>
      <c r="T25" s="169"/>
      <c r="U25" s="169"/>
      <c r="V25" s="169"/>
      <c r="W25" s="169"/>
      <c r="X25" s="169"/>
      <c r="Y25" s="169"/>
      <c r="Z25" s="169"/>
      <c r="AB25" s="1496"/>
      <c r="AC25" s="1496"/>
      <c r="AD25" s="1496"/>
      <c r="AE25" s="107" t="s">
        <v>304</v>
      </c>
      <c r="AF25" s="1003" t="s">
        <v>487</v>
      </c>
      <c r="AG25" s="107" t="s">
        <v>488</v>
      </c>
      <c r="AH25" s="198" t="s">
        <v>1092</v>
      </c>
      <c r="AI25" s="107" t="s">
        <v>304</v>
      </c>
      <c r="AJ25" s="1002" t="s">
        <v>305</v>
      </c>
      <c r="AK25" s="1002" t="s">
        <v>305</v>
      </c>
      <c r="AL25" s="1002" t="s">
        <v>305</v>
      </c>
      <c r="AM25" s="1002" t="s">
        <v>305</v>
      </c>
      <c r="AN25" s="1002" t="s">
        <v>305</v>
      </c>
      <c r="AO25" s="1002" t="s">
        <v>305</v>
      </c>
      <c r="AP25" s="1002" t="s">
        <v>305</v>
      </c>
      <c r="AQ25" s="1002" t="s">
        <v>305</v>
      </c>
      <c r="AR25" s="1002" t="s">
        <v>305</v>
      </c>
      <c r="AS25" s="1002" t="s">
        <v>305</v>
      </c>
      <c r="AT25" s="324" t="s">
        <v>304</v>
      </c>
      <c r="AU25" s="324" t="s">
        <v>304</v>
      </c>
      <c r="AV25" s="324" t="s">
        <v>304</v>
      </c>
      <c r="AW25" s="324" t="s">
        <v>304</v>
      </c>
      <c r="AX25" s="324" t="s">
        <v>304</v>
      </c>
      <c r="AY25" s="324" t="s">
        <v>304</v>
      </c>
      <c r="AZ25" s="324" t="s">
        <v>304</v>
      </c>
      <c r="BA25" s="324" t="s">
        <v>304</v>
      </c>
      <c r="BB25" s="324" t="s">
        <v>304</v>
      </c>
      <c r="BC25" s="324" t="s">
        <v>304</v>
      </c>
      <c r="BD25" s="1493" t="s">
        <v>1093</v>
      </c>
      <c r="BE25" s="1493"/>
      <c r="BF25" s="1493"/>
      <c r="BG25" s="1493"/>
      <c r="BH25" s="1493"/>
      <c r="BI25" s="1493"/>
      <c r="BJ25" s="1493"/>
      <c r="BK25" s="1493"/>
      <c r="BL25" s="1493"/>
      <c r="BM25" s="1493"/>
      <c r="BN25" s="1493"/>
      <c r="BO25" s="1493"/>
      <c r="BP25" s="1493"/>
      <c r="BS25" s="943"/>
    </row>
    <row r="26" spans="1:71" s="166" customFormat="1" ht="12" hidden="1" customHeight="1">
      <c r="A26" s="169"/>
      <c r="B26" s="618"/>
      <c r="C26" s="169"/>
      <c r="D26" s="169"/>
      <c r="E26" s="629">
        <v>0</v>
      </c>
      <c r="F26" s="169"/>
      <c r="Q26" s="723"/>
      <c r="R26" s="723"/>
      <c r="T26" s="169"/>
      <c r="U26" s="169"/>
      <c r="V26" s="169"/>
      <c r="W26" s="169"/>
      <c r="X26" s="169"/>
      <c r="Y26" s="169"/>
      <c r="Z26" s="169"/>
      <c r="AB26" s="544"/>
      <c r="AC26" s="544"/>
      <c r="AD26" s="544"/>
      <c r="AE26" s="109"/>
      <c r="AF26" s="109"/>
      <c r="AG26" s="109"/>
      <c r="AH26" s="16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69"/>
      <c r="BE26" s="169"/>
      <c r="BF26" s="169"/>
      <c r="BG26" s="169"/>
      <c r="BH26" s="169"/>
      <c r="BI26" s="169"/>
      <c r="BJ26" s="169"/>
      <c r="BK26" s="169"/>
      <c r="BL26" s="169"/>
      <c r="BM26" s="169"/>
      <c r="BN26" s="169"/>
      <c r="BO26" s="169"/>
      <c r="BP26" s="169"/>
      <c r="BS26" s="943"/>
    </row>
    <row r="27" spans="1:71" s="157" customFormat="1" ht="16.5" hidden="1" customHeight="1">
      <c r="E27" s="623">
        <v>17</v>
      </c>
      <c r="F27" s="714">
        <f>X27</f>
        <v>0</v>
      </c>
      <c r="G27" s="566" t="str">
        <f>INDEX('Общие сведения'!$AK$169:$AK$202,MATCH($F27,'Общие сведения'!$Z$169:$Z$202,0))</f>
        <v>одноставочный</v>
      </c>
      <c r="I27" s="150" t="str">
        <f>INDEX('Общие сведения'!$AE$169:$AE$202,MATCH($F27,'Общие сведения'!$Z$169:$Z$202,0))</f>
        <v>Теплоснабжение</v>
      </c>
      <c r="J27" s="150" t="str">
        <f>INDEX('Общие сведения'!$AK$169:$AK$202,MATCH($F27,'Общие сведения'!$Z$169:$Z$202,0))</f>
        <v>одноставочный</v>
      </c>
      <c r="K27" s="150" t="str">
        <f>INDEX('Общие сведения'!$AH$169:$AH$202,MATCH($F27,'Общие сведения'!$Z$169:$Z$202,0))</f>
        <v>Производство</v>
      </c>
      <c r="L27" s="150" t="str">
        <f>INDEX('Общие сведения'!$AI$169:$AI$202,MATCH($F27,'Общие сведения'!$Z$169:$Z$202,0))</f>
        <v>Тарифы на теплоноситель</v>
      </c>
      <c r="M27" s="150">
        <f>INDEX('Общие сведения'!$AJ$169:$AJ$202,MATCH($F27,'Общие сведения'!$Z$169:$Z$202,0))</f>
        <v>0</v>
      </c>
      <c r="T27" s="634" t="b">
        <f>X27&gt;0</f>
        <v>0</v>
      </c>
      <c r="V27" s="113" t="s">
        <v>228</v>
      </c>
      <c r="X27" s="1405">
        <v>0</v>
      </c>
      <c r="Z27" s="1403"/>
      <c r="AB27" s="252" t="str">
        <f>INDEX('Общие сведения'!$AG$169:$AG$202,MATCH($F27,'Общие сведения'!$Z$169:$Z$202,0))</f>
        <v>Тариф 0 (Теплоснабжение) - Тарифы на теплоноситель</v>
      </c>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53"/>
      <c r="BB27" s="253"/>
      <c r="BC27" s="253"/>
      <c r="BD27" s="253"/>
      <c r="BE27" s="253"/>
      <c r="BF27" s="253"/>
      <c r="BG27" s="253"/>
      <c r="BH27" s="253"/>
      <c r="BI27" s="253"/>
      <c r="BJ27" s="253"/>
      <c r="BK27" s="253"/>
      <c r="BL27" s="253"/>
      <c r="BM27" s="253"/>
      <c r="BN27" s="253"/>
      <c r="BO27" s="253"/>
      <c r="BP27" s="253"/>
      <c r="BS27" s="883" t="str">
        <f>IF(AND(ISNUMBER(VALUE(TRIM(SUBSTITUTE(AB28,".","")))),TRIM(SUBSTITUTE(AB28,".",""))&lt;&gt;""),"P"&amp;SUBSTITUTE(AB28,".",""),"")</f>
        <v/>
      </c>
    </row>
    <row r="28" spans="1:71" s="157" customFormat="1" ht="16.5" hidden="1" customHeight="1">
      <c r="E28" s="623">
        <v>17</v>
      </c>
      <c r="F28" s="714">
        <f t="shared" ref="F28:F36" ca="1" si="6">OFFSET(G28,-1,-1)</f>
        <v>0</v>
      </c>
      <c r="K28" s="167" t="str">
        <f ca="1">F28&amp;"komm"</f>
        <v>0komm</v>
      </c>
      <c r="L28" s="166">
        <f>BO28</f>
        <v>0</v>
      </c>
      <c r="T28" s="634" t="b">
        <f>T27</f>
        <v>0</v>
      </c>
      <c r="X28" s="1403"/>
      <c r="Z28" s="1403"/>
      <c r="AB28" s="1501" t="s">
        <v>1187</v>
      </c>
      <c r="AC28" s="1502"/>
      <c r="AD28" s="239" t="s">
        <v>648</v>
      </c>
      <c r="AE28" s="292">
        <f t="shared" ref="AE28:BM28" ca="1" si="7">AE35</f>
        <v>0</v>
      </c>
      <c r="AF28" s="292">
        <f t="shared" ca="1" si="7"/>
        <v>0</v>
      </c>
      <c r="AG28" s="292">
        <f t="shared" ca="1" si="7"/>
        <v>0</v>
      </c>
      <c r="AH28" s="292">
        <f t="shared" ca="1" si="7"/>
        <v>0</v>
      </c>
      <c r="AI28" s="292">
        <f t="shared" ca="1" si="7"/>
        <v>0</v>
      </c>
      <c r="AJ28" s="292">
        <f t="shared" ca="1" si="7"/>
        <v>0</v>
      </c>
      <c r="AK28" s="292">
        <f t="shared" ca="1" si="7"/>
        <v>0</v>
      </c>
      <c r="AL28" s="292">
        <f t="shared" ca="1" si="7"/>
        <v>0</v>
      </c>
      <c r="AM28" s="292">
        <f t="shared" ca="1" si="7"/>
        <v>0</v>
      </c>
      <c r="AN28" s="292">
        <f t="shared" ca="1" si="7"/>
        <v>0</v>
      </c>
      <c r="AO28" s="292">
        <f t="shared" ca="1" si="7"/>
        <v>0</v>
      </c>
      <c r="AP28" s="292">
        <f t="shared" ca="1" si="7"/>
        <v>0</v>
      </c>
      <c r="AQ28" s="292">
        <f t="shared" ca="1" si="7"/>
        <v>0</v>
      </c>
      <c r="AR28" s="292">
        <f t="shared" ca="1" si="7"/>
        <v>0</v>
      </c>
      <c r="AS28" s="292">
        <f t="shared" ca="1" si="7"/>
        <v>0</v>
      </c>
      <c r="AT28" s="292">
        <f t="shared" ca="1" si="7"/>
        <v>0</v>
      </c>
      <c r="AU28" s="292">
        <f t="shared" ca="1" si="7"/>
        <v>0</v>
      </c>
      <c r="AV28" s="292">
        <f t="shared" ca="1" si="7"/>
        <v>0</v>
      </c>
      <c r="AW28" s="292">
        <f t="shared" ca="1" si="7"/>
        <v>0</v>
      </c>
      <c r="AX28" s="292">
        <f t="shared" ca="1" si="7"/>
        <v>0</v>
      </c>
      <c r="AY28" s="292">
        <f t="shared" ca="1" si="7"/>
        <v>0</v>
      </c>
      <c r="AZ28" s="292">
        <f t="shared" ca="1" si="7"/>
        <v>0</v>
      </c>
      <c r="BA28" s="292">
        <f t="shared" ca="1" si="7"/>
        <v>0</v>
      </c>
      <c r="BB28" s="292">
        <f t="shared" ca="1" si="7"/>
        <v>0</v>
      </c>
      <c r="BC28" s="292">
        <f t="shared" ca="1" si="7"/>
        <v>0</v>
      </c>
      <c r="BD28" s="292">
        <f t="shared" ca="1" si="7"/>
        <v>0</v>
      </c>
      <c r="BE28" s="292">
        <f t="shared" ca="1" si="7"/>
        <v>0</v>
      </c>
      <c r="BF28" s="292">
        <f t="shared" ca="1" si="7"/>
        <v>0</v>
      </c>
      <c r="BG28" s="292">
        <f t="shared" ca="1" si="7"/>
        <v>0</v>
      </c>
      <c r="BH28" s="292">
        <f t="shared" ca="1" si="7"/>
        <v>0</v>
      </c>
      <c r="BI28" s="292">
        <f t="shared" ca="1" si="7"/>
        <v>0</v>
      </c>
      <c r="BJ28" s="292">
        <f t="shared" ca="1" si="7"/>
        <v>0</v>
      </c>
      <c r="BK28" s="292">
        <f t="shared" ca="1" si="7"/>
        <v>0</v>
      </c>
      <c r="BL28" s="292">
        <f t="shared" ca="1" si="7"/>
        <v>0</v>
      </c>
      <c r="BM28" s="292">
        <f t="shared" ca="1" si="7"/>
        <v>0</v>
      </c>
      <c r="BN28" s="22"/>
      <c r="BO28" s="22"/>
      <c r="BP28" s="22"/>
      <c r="BS28" s="883" t="s">
        <v>1188</v>
      </c>
    </row>
    <row r="29" spans="1:71" ht="16.5" hidden="1" customHeight="1">
      <c r="E29" s="623">
        <v>17</v>
      </c>
      <c r="F29" s="714">
        <f t="shared" ca="1" si="6"/>
        <v>0</v>
      </c>
      <c r="G29" s="130" t="s">
        <v>1189</v>
      </c>
      <c r="T29" s="634" t="b">
        <f>T28</f>
        <v>0</v>
      </c>
      <c r="X29" s="1505"/>
      <c r="Z29" s="1505"/>
      <c r="AB29" s="385" t="s">
        <v>247</v>
      </c>
      <c r="AC29" s="575" t="s">
        <v>1190</v>
      </c>
      <c r="AD29" s="387" t="s">
        <v>837</v>
      </c>
      <c r="AE29" s="293">
        <f ca="1">SUMIFS('Топливо 4.4'!AH$27:AH$250,'Топливо 4.4'!$F$27:$F$250,$F29,'Топливо 4.4'!$G$27:$G$250,$G29)</f>
        <v>0</v>
      </c>
      <c r="AF29" s="293">
        <f ca="1">SUMIFS('Топливо 4.4'!AI$27:AI$250,'Топливо 4.4'!$F$27:$F$250,$F29,'Топливо 4.4'!$G$27:$G$250,$G29)</f>
        <v>0</v>
      </c>
      <c r="AG29" s="293">
        <f ca="1">SUMIFS('Топливо 4.4'!AJ$27:AJ$250,'Топливо 4.4'!$F$27:$F$250,$F29,'Топливо 4.4'!$G$27:$G$250,$G29)</f>
        <v>0</v>
      </c>
      <c r="AH29" s="293">
        <f t="shared" ref="AH29:AH36" ca="1" si="8">AG29-AF29</f>
        <v>0</v>
      </c>
      <c r="AI29" s="293">
        <f ca="1">SUMIFS('Топливо 4.4'!AK$27:AK$250,'Топливо 4.4'!$F$27:$F$250,$F29,'Топливо 4.4'!$G$27:$G$250,$G29)</f>
        <v>0</v>
      </c>
      <c r="AJ29" s="293">
        <f ca="1">SUMIFS('Топливо 4.4'!AL$27:AL$250,'Топливо 4.4'!$F$27:$F$250,$F29,'Топливо 4.4'!$G$27:$G$250,$G29)</f>
        <v>0</v>
      </c>
      <c r="AK29" s="293">
        <f ca="1">SUMIFS('Топливо 4.4'!AO$27:AO$250,'Топливо 4.4'!$F$27:$F$250,$F29,'Топливо 4.4'!$G$27:$G$250,$G29)</f>
        <v>0</v>
      </c>
      <c r="AL29" s="293">
        <f ca="1">SUMIFS('Топливо 4.4'!AR$27:AR$250,'Топливо 4.4'!$F$27:$F$250,$F29,'Топливо 4.4'!$G$27:$G$250,$G29)</f>
        <v>0</v>
      </c>
      <c r="AM29" s="293">
        <f ca="1">SUMIFS('Топливо 4.4'!AU$27:AU$250,'Топливо 4.4'!$F$27:$F$250,$F29,'Топливо 4.4'!$G$27:$G$250,$G29)</f>
        <v>0</v>
      </c>
      <c r="AN29" s="293">
        <f ca="1">SUMIFS('Топливо 4.4'!AX$27:AX$250,'Топливо 4.4'!$F$27:$F$250,$F29,'Топливо 4.4'!$G$27:$G$250,$G29)</f>
        <v>0</v>
      </c>
      <c r="AO29" s="293">
        <f ca="1">SUMIFS('Топливо 4.4'!BA$27:BA$250,'Топливо 4.4'!$F$27:$F$250,$F29,'Топливо 4.4'!$G$27:$G$250,$G29)</f>
        <v>0</v>
      </c>
      <c r="AP29" s="293">
        <f ca="1">SUMIFS('Топливо 4.4'!BD$27:BD$250,'Топливо 4.4'!$F$27:$F$250,$F29,'Топливо 4.4'!$G$27:$G$250,$G29)</f>
        <v>0</v>
      </c>
      <c r="AQ29" s="293">
        <f ca="1">SUMIFS('Топливо 4.4'!BG$27:BG$250,'Топливо 4.4'!$F$27:$F$250,$F29,'Топливо 4.4'!$G$27:$G$250,$G29)</f>
        <v>0</v>
      </c>
      <c r="AR29" s="293">
        <f ca="1">SUMIFS('Топливо 4.4'!BJ$27:BJ$250,'Топливо 4.4'!$F$27:$F$250,$F29,'Топливо 4.4'!$G$27:$G$250,$G29)</f>
        <v>0</v>
      </c>
      <c r="AS29" s="293">
        <f ca="1">SUMIFS('Топливо 4.4'!BM$27:BM$250,'Топливо 4.4'!$F$27:$F$250,$F29,'Топливо 4.4'!$G$27:$G$250,$G29)</f>
        <v>0</v>
      </c>
      <c r="AT29" s="293">
        <f ca="1">SUMIFS('Топливо 4.4'!BP$27:BP$250,'Топливо 4.4'!$F$27:$F$250,$F29,'Топливо 4.4'!$G$27:$G$250,$G29)</f>
        <v>0</v>
      </c>
      <c r="AU29" s="293">
        <f ca="1">SUMIFS('Топливо 4.4'!BS$27:BS$250,'Топливо 4.4'!$F$27:$F$250,$F29,'Топливо 4.4'!$G$27:$G$250,$G29)</f>
        <v>0</v>
      </c>
      <c r="AV29" s="293">
        <f ca="1">SUMIFS('Топливо 4.4'!BV$27:BV$250,'Топливо 4.4'!$F$27:$F$250,$F29,'Топливо 4.4'!$G$27:$G$250,$G29)</f>
        <v>0</v>
      </c>
      <c r="AW29" s="293">
        <f ca="1">SUMIFS('Топливо 4.4'!BY$27:BY$250,'Топливо 4.4'!$F$27:$F$250,$F29,'Топливо 4.4'!$G$27:$G$250,$G29)</f>
        <v>0</v>
      </c>
      <c r="AX29" s="293">
        <f ca="1">SUMIFS('Топливо 4.4'!CB$27:CB$250,'Топливо 4.4'!$F$27:$F$250,$F29,'Топливо 4.4'!$G$27:$G$250,$G29)</f>
        <v>0</v>
      </c>
      <c r="AY29" s="293">
        <f ca="1">SUMIFS('Топливо 4.4'!CE$27:CE$250,'Топливо 4.4'!$F$27:$F$250,$F29,'Топливо 4.4'!$G$27:$G$250,$G29)</f>
        <v>0</v>
      </c>
      <c r="AZ29" s="293">
        <f ca="1">SUMIFS('Топливо 4.4'!CH$27:CH$250,'Топливо 4.4'!$F$27:$F$250,$F29,'Топливо 4.4'!$G$27:$G$250,$G29)</f>
        <v>0</v>
      </c>
      <c r="BA29" s="293">
        <f ca="1">SUMIFS('Топливо 4.4'!CK$27:CK$250,'Топливо 4.4'!$F$27:$F$250,$F29,'Топливо 4.4'!$G$27:$G$250,$G29)</f>
        <v>0</v>
      </c>
      <c r="BB29" s="293">
        <f ca="1">SUMIFS('Топливо 4.4'!CN$27:CN$250,'Топливо 4.4'!$F$27:$F$250,$F29,'Топливо 4.4'!$G$27:$G$250,$G29)</f>
        <v>0</v>
      </c>
      <c r="BC29" s="293">
        <f ca="1">SUMIFS('Топливо 4.4'!CQ$27:CQ$250,'Топливо 4.4'!$F$27:$F$250,$F29,'Топливо 4.4'!$G$27:$G$250,$G29)</f>
        <v>0</v>
      </c>
      <c r="BD29" s="293">
        <f t="shared" ref="BD29:BD36" ca="1" si="9">IF(AI29=0,0,(AT29-AI29)/AI29*100)</f>
        <v>0</v>
      </c>
      <c r="BE29" s="293">
        <f t="shared" ref="BE29:BM36" ca="1" si="10">IF(AT29=0,0,(AU29-AT29)/AT29*100)</f>
        <v>0</v>
      </c>
      <c r="BF29" s="293">
        <f t="shared" ca="1" si="10"/>
        <v>0</v>
      </c>
      <c r="BG29" s="293">
        <f t="shared" ca="1" si="10"/>
        <v>0</v>
      </c>
      <c r="BH29" s="293">
        <f t="shared" ca="1" si="10"/>
        <v>0</v>
      </c>
      <c r="BI29" s="293">
        <f t="shared" ca="1" si="10"/>
        <v>0</v>
      </c>
      <c r="BJ29" s="293">
        <f t="shared" ca="1" si="10"/>
        <v>0</v>
      </c>
      <c r="BK29" s="293">
        <f t="shared" ca="1" si="10"/>
        <v>0</v>
      </c>
      <c r="BL29" s="293">
        <f t="shared" ca="1" si="10"/>
        <v>0</v>
      </c>
      <c r="BM29" s="293">
        <f t="shared" ca="1" si="10"/>
        <v>0</v>
      </c>
      <c r="BN29" s="22"/>
      <c r="BO29" s="22"/>
      <c r="BP29" s="22"/>
      <c r="BS29" s="883" t="s">
        <v>1191</v>
      </c>
    </row>
    <row r="30" spans="1:71" ht="16.5" hidden="1" customHeight="1">
      <c r="E30" s="623">
        <v>17</v>
      </c>
      <c r="F30" s="714">
        <f t="shared" ca="1" si="6"/>
        <v>0</v>
      </c>
      <c r="G30" s="130" t="s">
        <v>742</v>
      </c>
      <c r="T30" s="634" t="b">
        <f>T29</f>
        <v>0</v>
      </c>
      <c r="X30" s="1505"/>
      <c r="Z30" s="1505"/>
      <c r="AB30" s="407" t="s">
        <v>343</v>
      </c>
      <c r="AC30" s="571" t="s">
        <v>744</v>
      </c>
      <c r="AD30" s="393" t="s">
        <v>837</v>
      </c>
      <c r="AE30" s="293">
        <f ca="1">SUMIFS(ЭнергоРесурсы!AE$26:AE$109,ЭнергоРесурсы!$F$26:$F$109,$F30,ЭнергоРесурсы!$G$26:$G$109,$G30)</f>
        <v>0</v>
      </c>
      <c r="AF30" s="293">
        <f ca="1">SUMIFS(ЭнергоРесурсы!AF$26:AF$109,ЭнергоРесурсы!$F$26:$F$109,$F30,ЭнергоРесурсы!$G$26:$G$109,$G30)</f>
        <v>0</v>
      </c>
      <c r="AG30" s="293">
        <f ca="1">SUMIFS(ЭнергоРесурсы!AG$26:AG$109,ЭнергоРесурсы!$F$26:$F$109,$F30,ЭнергоРесурсы!$G$26:$G$109,$G30)</f>
        <v>0</v>
      </c>
      <c r="AH30" s="293">
        <f t="shared" ca="1" si="8"/>
        <v>0</v>
      </c>
      <c r="AI30" s="293">
        <f ca="1">SUMIFS(ЭнергоРесурсы!AH$26:AH$109,ЭнергоРесурсы!$F$26:$F$109,$F30,ЭнергоРесурсы!$G$26:$G$109,$G30)</f>
        <v>0</v>
      </c>
      <c r="AJ30" s="293">
        <f ca="1">SUMIFS(ЭнергоРесурсы!AI$26:AI$109,ЭнергоРесурсы!$F$26:$F$109,$F30,ЭнергоРесурсы!$G$26:$G$109,$G30)</f>
        <v>0</v>
      </c>
      <c r="AK30" s="293">
        <f ca="1">SUMIFS(ЭнергоРесурсы!AJ$26:AJ$109,ЭнергоРесурсы!$F$26:$F$109,$F30,ЭнергоРесурсы!$G$26:$G$109,$G30)</f>
        <v>0</v>
      </c>
      <c r="AL30" s="293">
        <f ca="1">SUMIFS(ЭнергоРесурсы!AK$26:AK$109,ЭнергоРесурсы!$F$26:$F$109,$F30,ЭнергоРесурсы!$G$26:$G$109,$G30)</f>
        <v>0</v>
      </c>
      <c r="AM30" s="293">
        <f ca="1">SUMIFS(ЭнергоРесурсы!AL$26:AL$109,ЭнергоРесурсы!$F$26:$F$109,$F30,ЭнергоРесурсы!$G$26:$G$109,$G30)</f>
        <v>0</v>
      </c>
      <c r="AN30" s="293">
        <f ca="1">SUMIFS(ЭнергоРесурсы!AM$26:AM$109,ЭнергоРесурсы!$F$26:$F$109,$F30,ЭнергоРесурсы!$G$26:$G$109,$G30)</f>
        <v>0</v>
      </c>
      <c r="AO30" s="293">
        <f ca="1">SUMIFS(ЭнергоРесурсы!AN$26:AN$109,ЭнергоРесурсы!$F$26:$F$109,$F30,ЭнергоРесурсы!$G$26:$G$109,$G30)</f>
        <v>0</v>
      </c>
      <c r="AP30" s="293">
        <f ca="1">SUMIFS(ЭнергоРесурсы!AO$26:AO$109,ЭнергоРесурсы!$F$26:$F$109,$F30,ЭнергоРесурсы!$G$26:$G$109,$G30)</f>
        <v>0</v>
      </c>
      <c r="AQ30" s="293">
        <f ca="1">SUMIFS(ЭнергоРесурсы!AP$26:AP$109,ЭнергоРесурсы!$F$26:$F$109,$F30,ЭнергоРесурсы!$G$26:$G$109,$G30)</f>
        <v>0</v>
      </c>
      <c r="AR30" s="293">
        <f ca="1">SUMIFS(ЭнергоРесурсы!AQ$26:AQ$109,ЭнергоРесурсы!$F$26:$F$109,$F30,ЭнергоРесурсы!$G$26:$G$109,$G30)</f>
        <v>0</v>
      </c>
      <c r="AS30" s="293">
        <f ca="1">SUMIFS(ЭнергоРесурсы!AR$26:AR$109,ЭнергоРесурсы!$F$26:$F$109,$F30,ЭнергоРесурсы!$G$26:$G$109,$G30)</f>
        <v>0</v>
      </c>
      <c r="AT30" s="293">
        <f ca="1">SUMIFS(ЭнергоРесурсы!AS$26:AS$109,ЭнергоРесурсы!$F$26:$F$109,$F30,ЭнергоРесурсы!$G$26:$G$109,$G30)</f>
        <v>0</v>
      </c>
      <c r="AU30" s="293">
        <f ca="1">SUMIFS(ЭнергоРесурсы!AT$26:AT$109,ЭнергоРесурсы!$F$26:$F$109,$F30,ЭнергоРесурсы!$G$26:$G$109,$G30)</f>
        <v>0</v>
      </c>
      <c r="AV30" s="293">
        <f ca="1">SUMIFS(ЭнергоРесурсы!AU$26:AU$109,ЭнергоРесурсы!$F$26:$F$109,$F30,ЭнергоРесурсы!$G$26:$G$109,$G30)</f>
        <v>0</v>
      </c>
      <c r="AW30" s="293">
        <f ca="1">SUMIFS(ЭнергоРесурсы!AV$26:AV$109,ЭнергоРесурсы!$F$26:$F$109,$F30,ЭнергоРесурсы!$G$26:$G$109,$G30)</f>
        <v>0</v>
      </c>
      <c r="AX30" s="293">
        <f ca="1">SUMIFS(ЭнергоРесурсы!AW$26:AW$109,ЭнергоРесурсы!$F$26:$F$109,$F30,ЭнергоРесурсы!$G$26:$G$109,$G30)</f>
        <v>0</v>
      </c>
      <c r="AY30" s="293">
        <f ca="1">SUMIFS(ЭнергоРесурсы!AX$26:AX$109,ЭнергоРесурсы!$F$26:$F$109,$F30,ЭнергоРесурсы!$G$26:$G$109,$G30)</f>
        <v>0</v>
      </c>
      <c r="AZ30" s="293">
        <f ca="1">SUMIFS(ЭнергоРесурсы!AY$26:AY$109,ЭнергоРесурсы!$F$26:$F$109,$F30,ЭнергоРесурсы!$G$26:$G$109,$G30)</f>
        <v>0</v>
      </c>
      <c r="BA30" s="293">
        <f ca="1">SUMIFS(ЭнергоРесурсы!AZ$26:AZ$109,ЭнергоРесурсы!$F$26:$F$109,$F30,ЭнергоРесурсы!$G$26:$G$109,$G30)</f>
        <v>0</v>
      </c>
      <c r="BB30" s="293">
        <f ca="1">SUMIFS(ЭнергоРесурсы!BA$26:BA$109,ЭнергоРесурсы!$F$26:$F$109,$F30,ЭнергоРесурсы!$G$26:$G$109,$G30)</f>
        <v>0</v>
      </c>
      <c r="BC30" s="293">
        <f ca="1">SUMIFS(ЭнергоРесурсы!BB$26:BB$109,ЭнергоРесурсы!$F$26:$F$109,$F30,ЭнергоРесурсы!$G$26:$G$109,$G30)</f>
        <v>0</v>
      </c>
      <c r="BD30" s="293">
        <f t="shared" ca="1" si="9"/>
        <v>0</v>
      </c>
      <c r="BE30" s="293">
        <f t="shared" ca="1" si="10"/>
        <v>0</v>
      </c>
      <c r="BF30" s="293">
        <f t="shared" ca="1" si="10"/>
        <v>0</v>
      </c>
      <c r="BG30" s="293">
        <f t="shared" ca="1" si="10"/>
        <v>0</v>
      </c>
      <c r="BH30" s="293">
        <f t="shared" ca="1" si="10"/>
        <v>0</v>
      </c>
      <c r="BI30" s="293">
        <f t="shared" ca="1" si="10"/>
        <v>0</v>
      </c>
      <c r="BJ30" s="293">
        <f t="shared" ca="1" si="10"/>
        <v>0</v>
      </c>
      <c r="BK30" s="293">
        <f t="shared" ca="1" si="10"/>
        <v>0</v>
      </c>
      <c r="BL30" s="293">
        <f t="shared" ca="1" si="10"/>
        <v>0</v>
      </c>
      <c r="BM30" s="293">
        <f t="shared" ca="1" si="10"/>
        <v>0</v>
      </c>
      <c r="BN30" s="22"/>
      <c r="BO30" s="22"/>
      <c r="BP30" s="22"/>
      <c r="BS30" s="883" t="s">
        <v>1192</v>
      </c>
    </row>
    <row r="31" spans="1:71" ht="16.5" hidden="1" customHeight="1">
      <c r="E31" s="623">
        <v>17</v>
      </c>
      <c r="F31" s="714">
        <f t="shared" ca="1" si="6"/>
        <v>0</v>
      </c>
      <c r="G31" s="130" t="s">
        <v>777</v>
      </c>
      <c r="T31" s="634" t="b">
        <f>T30</f>
        <v>0</v>
      </c>
      <c r="X31" s="1505"/>
      <c r="Z31" s="1505"/>
      <c r="AB31" s="222" t="s">
        <v>520</v>
      </c>
      <c r="AC31" s="572" t="s">
        <v>798</v>
      </c>
      <c r="AD31" s="393" t="s">
        <v>837</v>
      </c>
      <c r="AE31" s="293">
        <f ca="1">SUMIFS(ЭнергоРесурсы!AE$26:AE$109,ЭнергоРесурсы!$F$26:$F$109,$F31,ЭнергоРесурсы!$G$26:$G$109,$G31)</f>
        <v>0</v>
      </c>
      <c r="AF31" s="293">
        <f ca="1">SUMIFS(ЭнергоРесурсы!AF$26:AF$109,ЭнергоРесурсы!$F$26:$F$109,$F31,ЭнергоРесурсы!$G$26:$G$109,$G31)</f>
        <v>0</v>
      </c>
      <c r="AG31" s="293">
        <f ca="1">SUMIFS(ЭнергоРесурсы!AG$26:AG$109,ЭнергоРесурсы!$F$26:$F$109,$F31,ЭнергоРесурсы!$G$26:$G$109,$G31)</f>
        <v>0</v>
      </c>
      <c r="AH31" s="293">
        <f t="shared" ca="1" si="8"/>
        <v>0</v>
      </c>
      <c r="AI31" s="293">
        <f ca="1">SUMIFS(ЭнергоРесурсы!AH$26:AH$109,ЭнергоРесурсы!$F$26:$F$109,$F31,ЭнергоРесурсы!$G$26:$G$109,$G31)</f>
        <v>0</v>
      </c>
      <c r="AJ31" s="293">
        <f ca="1">SUMIFS(ЭнергоРесурсы!AI$26:AI$109,ЭнергоРесурсы!$F$26:$F$109,$F31,ЭнергоРесурсы!$G$26:$G$109,$G31)</f>
        <v>0</v>
      </c>
      <c r="AK31" s="293">
        <f ca="1">SUMIFS(ЭнергоРесурсы!AJ$26:AJ$109,ЭнергоРесурсы!$F$26:$F$109,$F31,ЭнергоРесурсы!$G$26:$G$109,$G31)</f>
        <v>0</v>
      </c>
      <c r="AL31" s="293">
        <f ca="1">SUMIFS(ЭнергоРесурсы!AK$26:AK$109,ЭнергоРесурсы!$F$26:$F$109,$F31,ЭнергоРесурсы!$G$26:$G$109,$G31)</f>
        <v>0</v>
      </c>
      <c r="AM31" s="293">
        <f ca="1">SUMIFS(ЭнергоРесурсы!AL$26:AL$109,ЭнергоРесурсы!$F$26:$F$109,$F31,ЭнергоРесурсы!$G$26:$G$109,$G31)</f>
        <v>0</v>
      </c>
      <c r="AN31" s="293">
        <f ca="1">SUMIFS(ЭнергоРесурсы!AM$26:AM$109,ЭнергоРесурсы!$F$26:$F$109,$F31,ЭнергоРесурсы!$G$26:$G$109,$G31)</f>
        <v>0</v>
      </c>
      <c r="AO31" s="293">
        <f ca="1">SUMIFS(ЭнергоРесурсы!AN$26:AN$109,ЭнергоРесурсы!$F$26:$F$109,$F31,ЭнергоРесурсы!$G$26:$G$109,$G31)</f>
        <v>0</v>
      </c>
      <c r="AP31" s="293">
        <f ca="1">SUMIFS(ЭнергоРесурсы!AO$26:AO$109,ЭнергоРесурсы!$F$26:$F$109,$F31,ЭнергоРесурсы!$G$26:$G$109,$G31)</f>
        <v>0</v>
      </c>
      <c r="AQ31" s="293">
        <f ca="1">SUMIFS(ЭнергоРесурсы!AP$26:AP$109,ЭнергоРесурсы!$F$26:$F$109,$F31,ЭнергоРесурсы!$G$26:$G$109,$G31)</f>
        <v>0</v>
      </c>
      <c r="AR31" s="293">
        <f ca="1">SUMIFS(ЭнергоРесурсы!AQ$26:AQ$109,ЭнергоРесурсы!$F$26:$F$109,$F31,ЭнергоРесурсы!$G$26:$G$109,$G31)</f>
        <v>0</v>
      </c>
      <c r="AS31" s="293">
        <f ca="1">SUMIFS(ЭнергоРесурсы!AR$26:AR$109,ЭнергоРесурсы!$F$26:$F$109,$F31,ЭнергоРесурсы!$G$26:$G$109,$G31)</f>
        <v>0</v>
      </c>
      <c r="AT31" s="293">
        <f ca="1">SUMIFS(ЭнергоРесурсы!AS$26:AS$109,ЭнергоРесурсы!$F$26:$F$109,$F31,ЭнергоРесурсы!$G$26:$G$109,$G31)</f>
        <v>0</v>
      </c>
      <c r="AU31" s="293">
        <f ca="1">SUMIFS(ЭнергоРесурсы!AT$26:AT$109,ЭнергоРесурсы!$F$26:$F$109,$F31,ЭнергоРесурсы!$G$26:$G$109,$G31)</f>
        <v>0</v>
      </c>
      <c r="AV31" s="293">
        <f ca="1">SUMIFS(ЭнергоРесурсы!AU$26:AU$109,ЭнергоРесурсы!$F$26:$F$109,$F31,ЭнергоРесурсы!$G$26:$G$109,$G31)</f>
        <v>0</v>
      </c>
      <c r="AW31" s="293">
        <f ca="1">SUMIFS(ЭнергоРесурсы!AV$26:AV$109,ЭнергоРесурсы!$F$26:$F$109,$F31,ЭнергоРесурсы!$G$26:$G$109,$G31)</f>
        <v>0</v>
      </c>
      <c r="AX31" s="293">
        <f ca="1">SUMIFS(ЭнергоРесурсы!AW$26:AW$109,ЭнергоРесурсы!$F$26:$F$109,$F31,ЭнергоРесурсы!$G$26:$G$109,$G31)</f>
        <v>0</v>
      </c>
      <c r="AY31" s="293">
        <f ca="1">SUMIFS(ЭнергоРесурсы!AX$26:AX$109,ЭнергоРесурсы!$F$26:$F$109,$F31,ЭнергоРесурсы!$G$26:$G$109,$G31)</f>
        <v>0</v>
      </c>
      <c r="AZ31" s="293">
        <f ca="1">SUMIFS(ЭнергоРесурсы!AY$26:AY$109,ЭнергоРесурсы!$F$26:$F$109,$F31,ЭнергоРесурсы!$G$26:$G$109,$G31)</f>
        <v>0</v>
      </c>
      <c r="BA31" s="293">
        <f ca="1">SUMIFS(ЭнергоРесурсы!AZ$26:AZ$109,ЭнергоРесурсы!$F$26:$F$109,$F31,ЭнергоРесурсы!$G$26:$G$109,$G31)</f>
        <v>0</v>
      </c>
      <c r="BB31" s="293">
        <f ca="1">SUMIFS(ЭнергоРесурсы!BA$26:BA$109,ЭнергоРесурсы!$F$26:$F$109,$F31,ЭнергоРесурсы!$G$26:$G$109,$G31)</f>
        <v>0</v>
      </c>
      <c r="BC31" s="293">
        <f ca="1">SUMIFS(ЭнергоРесурсы!BB$26:BB$109,ЭнергоРесурсы!$F$26:$F$109,$F31,ЭнергоРесурсы!$G$26:$G$109,$G31)</f>
        <v>0</v>
      </c>
      <c r="BD31" s="293">
        <f t="shared" ca="1" si="9"/>
        <v>0</v>
      </c>
      <c r="BE31" s="293">
        <f t="shared" ca="1" si="10"/>
        <v>0</v>
      </c>
      <c r="BF31" s="293">
        <f t="shared" ca="1" si="10"/>
        <v>0</v>
      </c>
      <c r="BG31" s="293">
        <f t="shared" ca="1" si="10"/>
        <v>0</v>
      </c>
      <c r="BH31" s="293">
        <f t="shared" ca="1" si="10"/>
        <v>0</v>
      </c>
      <c r="BI31" s="293">
        <f t="shared" ca="1" si="10"/>
        <v>0</v>
      </c>
      <c r="BJ31" s="293">
        <f t="shared" ca="1" si="10"/>
        <v>0</v>
      </c>
      <c r="BK31" s="293">
        <f t="shared" ca="1" si="10"/>
        <v>0</v>
      </c>
      <c r="BL31" s="293">
        <f t="shared" ca="1" si="10"/>
        <v>0</v>
      </c>
      <c r="BM31" s="293">
        <f t="shared" ca="1" si="10"/>
        <v>0</v>
      </c>
      <c r="BN31" s="22"/>
      <c r="BO31" s="22"/>
      <c r="BP31" s="22"/>
      <c r="BS31" s="883" t="s">
        <v>1193</v>
      </c>
    </row>
    <row r="32" spans="1:71" ht="16.5" hidden="1" customHeight="1">
      <c r="E32" s="623">
        <v>17</v>
      </c>
      <c r="F32" s="714">
        <f t="shared" ca="1" si="6"/>
        <v>0</v>
      </c>
      <c r="G32" s="130" t="s">
        <v>780</v>
      </c>
      <c r="R32" s="130" t="s">
        <v>781</v>
      </c>
      <c r="T32" s="634" t="b">
        <f>AND(T31,G27="двухставочный")</f>
        <v>0</v>
      </c>
      <c r="X32" s="1505"/>
      <c r="Z32" s="1505"/>
      <c r="AB32" s="222" t="s">
        <v>523</v>
      </c>
      <c r="AC32" s="573" t="s">
        <v>783</v>
      </c>
      <c r="AD32" s="464" t="s">
        <v>648</v>
      </c>
      <c r="AE32" s="293">
        <f ca="1">SUMIFS(ЭнергоРесурсы!AE$26:AE$109,ЭнергоРесурсы!$F$26:$F$109,$F32,ЭнергоРесурсы!$G$26:$G$109,$G32)</f>
        <v>0</v>
      </c>
      <c r="AF32" s="293">
        <f ca="1">SUMIFS(ЭнергоРесурсы!AF$26:AF$109,ЭнергоРесурсы!$F$26:$F$109,$F32,ЭнергоРесурсы!$G$26:$G$109,$G32)</f>
        <v>0</v>
      </c>
      <c r="AG32" s="293">
        <f ca="1">SUMIFS(ЭнергоРесурсы!AG$26:AG$109,ЭнергоРесурсы!$F$26:$F$109,$F32,ЭнергоРесурсы!$G$26:$G$109,$G32)</f>
        <v>0</v>
      </c>
      <c r="AH32" s="293">
        <f t="shared" ca="1" si="8"/>
        <v>0</v>
      </c>
      <c r="AI32" s="410">
        <f>ЭнергоРесурсы!AH48</f>
        <v>0</v>
      </c>
      <c r="AJ32" s="410">
        <f>ЭнергоРесурсы!AI48</f>
        <v>0</v>
      </c>
      <c r="AK32" s="410">
        <f>ЭнергоРесурсы!AJ48</f>
        <v>0</v>
      </c>
      <c r="AL32" s="410">
        <f>ЭнергоРесурсы!AK48</f>
        <v>0</v>
      </c>
      <c r="AM32" s="410">
        <f>ЭнергоРесурсы!AL48</f>
        <v>0</v>
      </c>
      <c r="AN32" s="410">
        <f>ЭнергоРесурсы!AM48</f>
        <v>0</v>
      </c>
      <c r="AO32" s="410">
        <f>ЭнергоРесурсы!AN48</f>
        <v>0</v>
      </c>
      <c r="AP32" s="410">
        <f>ЭнергоРесурсы!AO48</f>
        <v>0</v>
      </c>
      <c r="AQ32" s="410">
        <f>ЭнергоРесурсы!AP48</f>
        <v>0</v>
      </c>
      <c r="AR32" s="410">
        <f>ЭнергоРесурсы!AQ48</f>
        <v>0</v>
      </c>
      <c r="AS32" s="410">
        <f>ЭнергоРесурсы!AR48</f>
        <v>0</v>
      </c>
      <c r="AT32" s="410">
        <f>ЭнергоРесурсы!AS48</f>
        <v>0</v>
      </c>
      <c r="AU32" s="410">
        <f>ЭнергоРесурсы!AT48</f>
        <v>0</v>
      </c>
      <c r="AV32" s="410">
        <f>ЭнергоРесурсы!AU48</f>
        <v>0</v>
      </c>
      <c r="AW32" s="410">
        <f>ЭнергоРесурсы!AV48</f>
        <v>0</v>
      </c>
      <c r="AX32" s="410">
        <f>ЭнергоРесурсы!AW48</f>
        <v>0</v>
      </c>
      <c r="AY32" s="410">
        <f>ЭнергоРесурсы!AX48</f>
        <v>0</v>
      </c>
      <c r="AZ32" s="410">
        <f>ЭнергоРесурсы!AY48</f>
        <v>0</v>
      </c>
      <c r="BA32" s="410">
        <f>ЭнергоРесурсы!AZ48</f>
        <v>0</v>
      </c>
      <c r="BB32" s="410">
        <f>ЭнергоРесурсы!BA48</f>
        <v>0</v>
      </c>
      <c r="BC32" s="410">
        <f>ЭнергоРесурсы!BB48</f>
        <v>0</v>
      </c>
      <c r="BD32" s="293">
        <f t="shared" si="9"/>
        <v>0</v>
      </c>
      <c r="BE32" s="293">
        <f t="shared" si="10"/>
        <v>0</v>
      </c>
      <c r="BF32" s="293">
        <f t="shared" si="10"/>
        <v>0</v>
      </c>
      <c r="BG32" s="293">
        <f t="shared" si="10"/>
        <v>0</v>
      </c>
      <c r="BH32" s="293">
        <f t="shared" si="10"/>
        <v>0</v>
      </c>
      <c r="BI32" s="293">
        <f t="shared" si="10"/>
        <v>0</v>
      </c>
      <c r="BJ32" s="293">
        <f t="shared" si="10"/>
        <v>0</v>
      </c>
      <c r="BK32" s="293">
        <f t="shared" si="10"/>
        <v>0</v>
      </c>
      <c r="BL32" s="293">
        <f t="shared" si="10"/>
        <v>0</v>
      </c>
      <c r="BM32" s="293">
        <f t="shared" si="10"/>
        <v>0</v>
      </c>
      <c r="BN32" s="22"/>
      <c r="BO32" s="22"/>
      <c r="BP32" s="22"/>
      <c r="BS32" s="883" t="s">
        <v>1194</v>
      </c>
    </row>
    <row r="33" spans="1:71" ht="16.5" hidden="1" customHeight="1">
      <c r="E33" s="623">
        <v>17</v>
      </c>
      <c r="F33" s="714">
        <f t="shared" ca="1" si="6"/>
        <v>0</v>
      </c>
      <c r="G33" s="130" t="s">
        <v>810</v>
      </c>
      <c r="T33" s="634" t="b">
        <f>T31</f>
        <v>0</v>
      </c>
      <c r="X33" s="1505"/>
      <c r="Z33" s="1505"/>
      <c r="AB33" s="222" t="s">
        <v>527</v>
      </c>
      <c r="AC33" s="574" t="s">
        <v>811</v>
      </c>
      <c r="AD33" s="393" t="s">
        <v>837</v>
      </c>
      <c r="AE33" s="430">
        <f ca="1">SUMIFS('ХВС, ТН'!AE$26:AE$56,'ХВС, ТН'!$F$26:$F$56,$F33,'ХВС, ТН'!$G$26:$G$56,$G33)</f>
        <v>0</v>
      </c>
      <c r="AF33" s="430">
        <f ca="1">SUMIFS('ХВС, ТН'!AF$26:AF$56,'ХВС, ТН'!$F$26:$F$56,$F33,'ХВС, ТН'!$G$26:$G$56,$G33)</f>
        <v>0</v>
      </c>
      <c r="AG33" s="430">
        <f ca="1">SUMIFS('ХВС, ТН'!AG$26:AG$56,'ХВС, ТН'!$F$26:$F$56,$F33,'ХВС, ТН'!$G$26:$G$56,$G33)</f>
        <v>0</v>
      </c>
      <c r="AH33" s="431">
        <f t="shared" ca="1" si="8"/>
        <v>0</v>
      </c>
      <c r="AI33" s="430">
        <f ca="1">SUMIFS('ХВС, ТН'!AH$26:AH$56,'ХВС, ТН'!$F$26:$F$56,$F33,'ХВС, ТН'!$G$26:$G$56,$G33)</f>
        <v>0</v>
      </c>
      <c r="AJ33" s="430">
        <f ca="1">SUMIFS('ХВС, ТН'!AI$26:AI$56,'ХВС, ТН'!$F$26:$F$56,$F33,'ХВС, ТН'!$G$26:$G$56,$G33)</f>
        <v>0</v>
      </c>
      <c r="AK33" s="430">
        <f ca="1">SUMIFS('ХВС, ТН'!AJ$26:AJ$56,'ХВС, ТН'!$F$26:$F$56,$F33,'ХВС, ТН'!$G$26:$G$56,$G33)</f>
        <v>0</v>
      </c>
      <c r="AL33" s="430">
        <f ca="1">SUMIFS('ХВС, ТН'!AK$26:AK$56,'ХВС, ТН'!$F$26:$F$56,$F33,'ХВС, ТН'!$G$26:$G$56,$G33)</f>
        <v>0</v>
      </c>
      <c r="AM33" s="430">
        <f ca="1">SUMIFS('ХВС, ТН'!AL$26:AL$56,'ХВС, ТН'!$F$26:$F$56,$F33,'ХВС, ТН'!$G$26:$G$56,$G33)</f>
        <v>0</v>
      </c>
      <c r="AN33" s="430">
        <f ca="1">SUMIFS('ХВС, ТН'!AM$26:AM$56,'ХВС, ТН'!$F$26:$F$56,$F33,'ХВС, ТН'!$G$26:$G$56,$G33)</f>
        <v>0</v>
      </c>
      <c r="AO33" s="430">
        <f ca="1">SUMIFS('ХВС, ТН'!AN$26:AN$56,'ХВС, ТН'!$F$26:$F$56,$F33,'ХВС, ТН'!$G$26:$G$56,$G33)</f>
        <v>0</v>
      </c>
      <c r="AP33" s="430">
        <f ca="1">SUMIFS('ХВС, ТН'!AO$26:AO$56,'ХВС, ТН'!$F$26:$F$56,$F33,'ХВС, ТН'!$G$26:$G$56,$G33)</f>
        <v>0</v>
      </c>
      <c r="AQ33" s="430">
        <f ca="1">SUMIFS('ХВС, ТН'!AP$26:AP$56,'ХВС, ТН'!$F$26:$F$56,$F33,'ХВС, ТН'!$G$26:$G$56,$G33)</f>
        <v>0</v>
      </c>
      <c r="AR33" s="430">
        <f ca="1">SUMIFS('ХВС, ТН'!AQ$26:AQ$56,'ХВС, ТН'!$F$26:$F$56,$F33,'ХВС, ТН'!$G$26:$G$56,$G33)</f>
        <v>0</v>
      </c>
      <c r="AS33" s="430">
        <f ca="1">SUMIFS('ХВС, ТН'!AR$26:AR$56,'ХВС, ТН'!$F$26:$F$56,$F33,'ХВС, ТН'!$G$26:$G$56,$G33)</f>
        <v>0</v>
      </c>
      <c r="AT33" s="430">
        <f ca="1">SUMIFS('ХВС, ТН'!AS$26:AS$56,'ХВС, ТН'!$F$26:$F$56,$F33,'ХВС, ТН'!$G$26:$G$56,$G33)</f>
        <v>0</v>
      </c>
      <c r="AU33" s="430">
        <f ca="1">SUMIFS('ХВС, ТН'!AT$26:AT$56,'ХВС, ТН'!$F$26:$F$56,$F33,'ХВС, ТН'!$G$26:$G$56,$G33)</f>
        <v>0</v>
      </c>
      <c r="AV33" s="430">
        <f ca="1">SUMIFS('ХВС, ТН'!AU$26:AU$56,'ХВС, ТН'!$F$26:$F$56,$F33,'ХВС, ТН'!$G$26:$G$56,$G33)</f>
        <v>0</v>
      </c>
      <c r="AW33" s="430">
        <f ca="1">SUMIFS('ХВС, ТН'!AV$26:AV$56,'ХВС, ТН'!$F$26:$F$56,$F33,'ХВС, ТН'!$G$26:$G$56,$G33)</f>
        <v>0</v>
      </c>
      <c r="AX33" s="430">
        <f ca="1">SUMIFS('ХВС, ТН'!AW$26:AW$56,'ХВС, ТН'!$F$26:$F$56,$F33,'ХВС, ТН'!$G$26:$G$56,$G33)</f>
        <v>0</v>
      </c>
      <c r="AY33" s="430">
        <f ca="1">SUMIFS('ХВС, ТН'!AX$26:AX$56,'ХВС, ТН'!$F$26:$F$56,$F33,'ХВС, ТН'!$G$26:$G$56,$G33)</f>
        <v>0</v>
      </c>
      <c r="AZ33" s="430">
        <f ca="1">SUMIFS('ХВС, ТН'!AY$26:AY$56,'ХВС, ТН'!$F$26:$F$56,$F33,'ХВС, ТН'!$G$26:$G$56,$G33)</f>
        <v>0</v>
      </c>
      <c r="BA33" s="430">
        <f ca="1">SUMIFS('ХВС, ТН'!AZ$26:AZ$56,'ХВС, ТН'!$F$26:$F$56,$F33,'ХВС, ТН'!$G$26:$G$56,$G33)</f>
        <v>0</v>
      </c>
      <c r="BB33" s="430">
        <f ca="1">SUMIFS('ХВС, ТН'!BA$26:BA$56,'ХВС, ТН'!$F$26:$F$56,$F33,'ХВС, ТН'!$G$26:$G$56,$G33)</f>
        <v>0</v>
      </c>
      <c r="BC33" s="430">
        <f ca="1">SUMIFS('ХВС, ТН'!BB$26:BB$56,'ХВС, ТН'!$F$26:$F$56,$F33,'ХВС, ТН'!$G$26:$G$56,$G33)</f>
        <v>0</v>
      </c>
      <c r="BD33" s="293">
        <f t="shared" ca="1" si="9"/>
        <v>0</v>
      </c>
      <c r="BE33" s="293">
        <f t="shared" ca="1" si="10"/>
        <v>0</v>
      </c>
      <c r="BF33" s="293">
        <f t="shared" ca="1" si="10"/>
        <v>0</v>
      </c>
      <c r="BG33" s="293">
        <f t="shared" ca="1" si="10"/>
        <v>0</v>
      </c>
      <c r="BH33" s="293">
        <f t="shared" ca="1" si="10"/>
        <v>0</v>
      </c>
      <c r="BI33" s="293">
        <f t="shared" ca="1" si="10"/>
        <v>0</v>
      </c>
      <c r="BJ33" s="293">
        <f t="shared" ca="1" si="10"/>
        <v>0</v>
      </c>
      <c r="BK33" s="293">
        <f t="shared" ca="1" si="10"/>
        <v>0</v>
      </c>
      <c r="BL33" s="293">
        <f t="shared" ca="1" si="10"/>
        <v>0</v>
      </c>
      <c r="BM33" s="293">
        <f t="shared" ca="1" si="10"/>
        <v>0</v>
      </c>
      <c r="BN33" s="22"/>
      <c r="BO33" s="22"/>
      <c r="BP33" s="22"/>
      <c r="BS33" s="883" t="s">
        <v>1195</v>
      </c>
    </row>
    <row r="34" spans="1:71" ht="16.5" hidden="1" customHeight="1">
      <c r="E34" s="623">
        <v>17</v>
      </c>
      <c r="F34" s="714">
        <f t="shared" ca="1" si="6"/>
        <v>0</v>
      </c>
      <c r="G34" s="130" t="s">
        <v>821</v>
      </c>
      <c r="T34" s="634" t="b">
        <f>T33</f>
        <v>0</v>
      </c>
      <c r="X34" s="1505"/>
      <c r="Z34" s="1505"/>
      <c r="AB34" s="222" t="s">
        <v>534</v>
      </c>
      <c r="AC34" s="572" t="s">
        <v>822</v>
      </c>
      <c r="AD34" s="111" t="s">
        <v>837</v>
      </c>
      <c r="AE34" s="430">
        <f ca="1">SUMIFS('ХВС, ТН'!AE$26:AE$56,'ХВС, ТН'!$F$26:$F$56,$F34,'ХВС, ТН'!$G$26:$G$56,$G34)</f>
        <v>0</v>
      </c>
      <c r="AF34" s="430">
        <f ca="1">SUMIFS('ХВС, ТН'!AF$26:AF$56,'ХВС, ТН'!$F$26:$F$56,$F34,'ХВС, ТН'!$G$26:$G$56,$G34)</f>
        <v>0</v>
      </c>
      <c r="AG34" s="430">
        <f ca="1">SUMIFS('ХВС, ТН'!AG$26:AG$56,'ХВС, ТН'!$F$26:$F$56,$F34,'ХВС, ТН'!$G$26:$G$56,$G34)</f>
        <v>0</v>
      </c>
      <c r="AH34" s="293">
        <f t="shared" ca="1" si="8"/>
        <v>0</v>
      </c>
      <c r="AI34" s="430">
        <f ca="1">SUMIFS('ХВС, ТН'!AH$26:AH$56,'ХВС, ТН'!$F$26:$F$56,$F34,'ХВС, ТН'!$G$26:$G$56,$G34)</f>
        <v>0</v>
      </c>
      <c r="AJ34" s="430">
        <f ca="1">SUMIFS('ХВС, ТН'!AI$26:AI$56,'ХВС, ТН'!$F$26:$F$56,$F34,'ХВС, ТН'!$G$26:$G$56,$G34)</f>
        <v>0</v>
      </c>
      <c r="AK34" s="430">
        <f ca="1">SUMIFS('ХВС, ТН'!AJ$26:AJ$56,'ХВС, ТН'!$F$26:$F$56,$F34,'ХВС, ТН'!$G$26:$G$56,$G34)</f>
        <v>0</v>
      </c>
      <c r="AL34" s="430">
        <f ca="1">SUMIFS('ХВС, ТН'!AK$26:AK$56,'ХВС, ТН'!$F$26:$F$56,$F34,'ХВС, ТН'!$G$26:$G$56,$G34)</f>
        <v>0</v>
      </c>
      <c r="AM34" s="430">
        <f ca="1">SUMIFS('ХВС, ТН'!AL$26:AL$56,'ХВС, ТН'!$F$26:$F$56,$F34,'ХВС, ТН'!$G$26:$G$56,$G34)</f>
        <v>0</v>
      </c>
      <c r="AN34" s="430">
        <f ca="1">SUMIFS('ХВС, ТН'!AM$26:AM$56,'ХВС, ТН'!$F$26:$F$56,$F34,'ХВС, ТН'!$G$26:$G$56,$G34)</f>
        <v>0</v>
      </c>
      <c r="AO34" s="430">
        <f ca="1">SUMIFS('ХВС, ТН'!AN$26:AN$56,'ХВС, ТН'!$F$26:$F$56,$F34,'ХВС, ТН'!$G$26:$G$56,$G34)</f>
        <v>0</v>
      </c>
      <c r="AP34" s="430">
        <f ca="1">SUMIFS('ХВС, ТН'!AO$26:AO$56,'ХВС, ТН'!$F$26:$F$56,$F34,'ХВС, ТН'!$G$26:$G$56,$G34)</f>
        <v>0</v>
      </c>
      <c r="AQ34" s="430">
        <f ca="1">SUMIFS('ХВС, ТН'!AP$26:AP$56,'ХВС, ТН'!$F$26:$F$56,$F34,'ХВС, ТН'!$G$26:$G$56,$G34)</f>
        <v>0</v>
      </c>
      <c r="AR34" s="430">
        <f ca="1">SUMIFS('ХВС, ТН'!AQ$26:AQ$56,'ХВС, ТН'!$F$26:$F$56,$F34,'ХВС, ТН'!$G$26:$G$56,$G34)</f>
        <v>0</v>
      </c>
      <c r="AS34" s="430">
        <f ca="1">SUMIFS('ХВС, ТН'!AR$26:AR$56,'ХВС, ТН'!$F$26:$F$56,$F34,'ХВС, ТН'!$G$26:$G$56,$G34)</f>
        <v>0</v>
      </c>
      <c r="AT34" s="430">
        <f ca="1">SUMIFS('ХВС, ТН'!AS$26:AS$56,'ХВС, ТН'!$F$26:$F$56,$F34,'ХВС, ТН'!$G$26:$G$56,$G34)</f>
        <v>0</v>
      </c>
      <c r="AU34" s="430">
        <f ca="1">SUMIFS('ХВС, ТН'!AT$26:AT$56,'ХВС, ТН'!$F$26:$F$56,$F34,'ХВС, ТН'!$G$26:$G$56,$G34)</f>
        <v>0</v>
      </c>
      <c r="AV34" s="430">
        <f ca="1">SUMIFS('ХВС, ТН'!AU$26:AU$56,'ХВС, ТН'!$F$26:$F$56,$F34,'ХВС, ТН'!$G$26:$G$56,$G34)</f>
        <v>0</v>
      </c>
      <c r="AW34" s="430">
        <f ca="1">SUMIFS('ХВС, ТН'!AV$26:AV$56,'ХВС, ТН'!$F$26:$F$56,$F34,'ХВС, ТН'!$G$26:$G$56,$G34)</f>
        <v>0</v>
      </c>
      <c r="AX34" s="430">
        <f ca="1">SUMIFS('ХВС, ТН'!AW$26:AW$56,'ХВС, ТН'!$F$26:$F$56,$F34,'ХВС, ТН'!$G$26:$G$56,$G34)</f>
        <v>0</v>
      </c>
      <c r="AY34" s="430">
        <f ca="1">SUMIFS('ХВС, ТН'!AX$26:AX$56,'ХВС, ТН'!$F$26:$F$56,$F34,'ХВС, ТН'!$G$26:$G$56,$G34)</f>
        <v>0</v>
      </c>
      <c r="AZ34" s="430">
        <f ca="1">SUMIFS('ХВС, ТН'!AY$26:AY$56,'ХВС, ТН'!$F$26:$F$56,$F34,'ХВС, ТН'!$G$26:$G$56,$G34)</f>
        <v>0</v>
      </c>
      <c r="BA34" s="430">
        <f ca="1">SUMIFS('ХВС, ТН'!AZ$26:AZ$56,'ХВС, ТН'!$F$26:$F$56,$F34,'ХВС, ТН'!$G$26:$G$56,$G34)</f>
        <v>0</v>
      </c>
      <c r="BB34" s="430">
        <f ca="1">SUMIFS('ХВС, ТН'!BA$26:BA$56,'ХВС, ТН'!$F$26:$F$56,$F34,'ХВС, ТН'!$G$26:$G$56,$G34)</f>
        <v>0</v>
      </c>
      <c r="BC34" s="430">
        <f ca="1">SUMIFS('ХВС, ТН'!BB$26:BB$56,'ХВС, ТН'!$F$26:$F$56,$F34,'ХВС, ТН'!$G$26:$G$56,$G34)</f>
        <v>0</v>
      </c>
      <c r="BD34" s="293">
        <f t="shared" ca="1" si="9"/>
        <v>0</v>
      </c>
      <c r="BE34" s="293">
        <f t="shared" ca="1" si="10"/>
        <v>0</v>
      </c>
      <c r="BF34" s="293">
        <f t="shared" ca="1" si="10"/>
        <v>0</v>
      </c>
      <c r="BG34" s="293">
        <f t="shared" ca="1" si="10"/>
        <v>0</v>
      </c>
      <c r="BH34" s="293">
        <f t="shared" ca="1" si="10"/>
        <v>0</v>
      </c>
      <c r="BI34" s="293">
        <f t="shared" ca="1" si="10"/>
        <v>0</v>
      </c>
      <c r="BJ34" s="293">
        <f t="shared" ca="1" si="10"/>
        <v>0</v>
      </c>
      <c r="BK34" s="293">
        <f t="shared" ca="1" si="10"/>
        <v>0</v>
      </c>
      <c r="BL34" s="293">
        <f t="shared" ca="1" si="10"/>
        <v>0</v>
      </c>
      <c r="BM34" s="293">
        <f t="shared" ca="1" si="10"/>
        <v>0</v>
      </c>
      <c r="BN34" s="22"/>
      <c r="BO34" s="22"/>
      <c r="BP34" s="22"/>
      <c r="BS34" s="883" t="s">
        <v>1196</v>
      </c>
    </row>
    <row r="35" spans="1:71" ht="16.5" hidden="1" customHeight="1">
      <c r="E35" s="623">
        <v>17</v>
      </c>
      <c r="F35" s="714">
        <f t="shared" ca="1" si="6"/>
        <v>0</v>
      </c>
      <c r="G35" s="130" t="s">
        <v>1197</v>
      </c>
      <c r="T35" s="634" t="b">
        <f>T34</f>
        <v>0</v>
      </c>
      <c r="X35" s="1505"/>
      <c r="Z35" s="1505"/>
      <c r="AB35" s="250" t="s">
        <v>541</v>
      </c>
      <c r="AC35" s="509" t="s">
        <v>1179</v>
      </c>
      <c r="AD35" s="512" t="s">
        <v>837</v>
      </c>
      <c r="AE35" s="513">
        <f ca="1">AE29+AE30+AE31+AE33+AE34</f>
        <v>0</v>
      </c>
      <c r="AF35" s="513">
        <f ca="1">AF29+AF30+AF31+AF33+AF34</f>
        <v>0</v>
      </c>
      <c r="AG35" s="513">
        <f ca="1">AG29+AG30+AG31+AG33+AG34</f>
        <v>0</v>
      </c>
      <c r="AH35" s="513">
        <f t="shared" ca="1" si="8"/>
        <v>0</v>
      </c>
      <c r="AI35" s="513">
        <f t="shared" ref="AI35:BC35" ca="1" si="11">AI29+AI30+AI31+AI33+AI34</f>
        <v>0</v>
      </c>
      <c r="AJ35" s="513">
        <f t="shared" ca="1" si="11"/>
        <v>0</v>
      </c>
      <c r="AK35" s="513">
        <f t="shared" ca="1" si="11"/>
        <v>0</v>
      </c>
      <c r="AL35" s="513">
        <f t="shared" ca="1" si="11"/>
        <v>0</v>
      </c>
      <c r="AM35" s="513">
        <f t="shared" ca="1" si="11"/>
        <v>0</v>
      </c>
      <c r="AN35" s="513">
        <f t="shared" ca="1" si="11"/>
        <v>0</v>
      </c>
      <c r="AO35" s="513">
        <f t="shared" ca="1" si="11"/>
        <v>0</v>
      </c>
      <c r="AP35" s="513">
        <f t="shared" ca="1" si="11"/>
        <v>0</v>
      </c>
      <c r="AQ35" s="513">
        <f t="shared" ca="1" si="11"/>
        <v>0</v>
      </c>
      <c r="AR35" s="513">
        <f t="shared" ca="1" si="11"/>
        <v>0</v>
      </c>
      <c r="AS35" s="513">
        <f t="shared" ca="1" si="11"/>
        <v>0</v>
      </c>
      <c r="AT35" s="513">
        <f t="shared" ca="1" si="11"/>
        <v>0</v>
      </c>
      <c r="AU35" s="513">
        <f t="shared" ca="1" si="11"/>
        <v>0</v>
      </c>
      <c r="AV35" s="513">
        <f t="shared" ca="1" si="11"/>
        <v>0</v>
      </c>
      <c r="AW35" s="513">
        <f t="shared" ca="1" si="11"/>
        <v>0</v>
      </c>
      <c r="AX35" s="513">
        <f t="shared" ca="1" si="11"/>
        <v>0</v>
      </c>
      <c r="AY35" s="513">
        <f t="shared" ca="1" si="11"/>
        <v>0</v>
      </c>
      <c r="AZ35" s="513">
        <f t="shared" ca="1" si="11"/>
        <v>0</v>
      </c>
      <c r="BA35" s="513">
        <f t="shared" ca="1" si="11"/>
        <v>0</v>
      </c>
      <c r="BB35" s="513">
        <f t="shared" ca="1" si="11"/>
        <v>0</v>
      </c>
      <c r="BC35" s="513">
        <f t="shared" ca="1" si="11"/>
        <v>0</v>
      </c>
      <c r="BD35" s="513">
        <f t="shared" ca="1" si="9"/>
        <v>0</v>
      </c>
      <c r="BE35" s="513">
        <f t="shared" ca="1" si="10"/>
        <v>0</v>
      </c>
      <c r="BF35" s="513">
        <f t="shared" ca="1" si="10"/>
        <v>0</v>
      </c>
      <c r="BG35" s="513">
        <f t="shared" ca="1" si="10"/>
        <v>0</v>
      </c>
      <c r="BH35" s="513">
        <f t="shared" ca="1" si="10"/>
        <v>0</v>
      </c>
      <c r="BI35" s="513">
        <f t="shared" ca="1" si="10"/>
        <v>0</v>
      </c>
      <c r="BJ35" s="513">
        <f t="shared" ca="1" si="10"/>
        <v>0</v>
      </c>
      <c r="BK35" s="513">
        <f t="shared" ca="1" si="10"/>
        <v>0</v>
      </c>
      <c r="BL35" s="513">
        <f t="shared" ca="1" si="10"/>
        <v>0</v>
      </c>
      <c r="BM35" s="513">
        <f t="shared" ca="1" si="10"/>
        <v>0</v>
      </c>
      <c r="BN35" s="18"/>
      <c r="BO35" s="18"/>
      <c r="BP35" s="18"/>
      <c r="BS35" s="883" t="s">
        <v>1180</v>
      </c>
    </row>
    <row r="36" spans="1:71" ht="16.5" hidden="1" customHeight="1">
      <c r="E36" s="623">
        <v>17</v>
      </c>
      <c r="F36" s="714">
        <f t="shared" ca="1" si="6"/>
        <v>0</v>
      </c>
      <c r="G36" s="130" t="s">
        <v>780</v>
      </c>
      <c r="R36" s="130" t="s">
        <v>781</v>
      </c>
      <c r="T36" s="634" t="b">
        <f>T32</f>
        <v>0</v>
      </c>
      <c r="X36" s="1505"/>
      <c r="Z36" s="1505"/>
      <c r="AB36" s="111" t="s">
        <v>544</v>
      </c>
      <c r="AC36" s="511" t="s">
        <v>783</v>
      </c>
      <c r="AD36" s="93" t="s">
        <v>648</v>
      </c>
      <c r="AE36" s="293">
        <f ca="1">SUM(AE29,AE32)</f>
        <v>0</v>
      </c>
      <c r="AF36" s="293">
        <f ca="1">SUM(AF29,AF32)</f>
        <v>0</v>
      </c>
      <c r="AG36" s="293">
        <f ca="1">SUM(AG29,AG32)</f>
        <v>0</v>
      </c>
      <c r="AH36" s="293">
        <f t="shared" ca="1" si="8"/>
        <v>0</v>
      </c>
      <c r="AI36" s="293">
        <f t="shared" ref="AI36:BC36" ca="1" si="12">SUM(AI29,AI32)</f>
        <v>0</v>
      </c>
      <c r="AJ36" s="293">
        <f t="shared" ca="1" si="12"/>
        <v>0</v>
      </c>
      <c r="AK36" s="293">
        <f t="shared" ca="1" si="12"/>
        <v>0</v>
      </c>
      <c r="AL36" s="293">
        <f t="shared" ca="1" si="12"/>
        <v>0</v>
      </c>
      <c r="AM36" s="293">
        <f t="shared" ca="1" si="12"/>
        <v>0</v>
      </c>
      <c r="AN36" s="293">
        <f t="shared" ca="1" si="12"/>
        <v>0</v>
      </c>
      <c r="AO36" s="293">
        <f t="shared" ca="1" si="12"/>
        <v>0</v>
      </c>
      <c r="AP36" s="293">
        <f t="shared" ca="1" si="12"/>
        <v>0</v>
      </c>
      <c r="AQ36" s="293">
        <f t="shared" ca="1" si="12"/>
        <v>0</v>
      </c>
      <c r="AR36" s="293">
        <f t="shared" ca="1" si="12"/>
        <v>0</v>
      </c>
      <c r="AS36" s="293">
        <f t="shared" ca="1" si="12"/>
        <v>0</v>
      </c>
      <c r="AT36" s="293">
        <f t="shared" ca="1" si="12"/>
        <v>0</v>
      </c>
      <c r="AU36" s="293">
        <f t="shared" ca="1" si="12"/>
        <v>0</v>
      </c>
      <c r="AV36" s="293">
        <f t="shared" ca="1" si="12"/>
        <v>0</v>
      </c>
      <c r="AW36" s="293">
        <f t="shared" ca="1" si="12"/>
        <v>0</v>
      </c>
      <c r="AX36" s="293">
        <f t="shared" ca="1" si="12"/>
        <v>0</v>
      </c>
      <c r="AY36" s="293">
        <f t="shared" ca="1" si="12"/>
        <v>0</v>
      </c>
      <c r="AZ36" s="293">
        <f t="shared" ca="1" si="12"/>
        <v>0</v>
      </c>
      <c r="BA36" s="293">
        <f t="shared" ca="1" si="12"/>
        <v>0</v>
      </c>
      <c r="BB36" s="293">
        <f t="shared" ca="1" si="12"/>
        <v>0</v>
      </c>
      <c r="BC36" s="293">
        <f t="shared" ca="1" si="12"/>
        <v>0</v>
      </c>
      <c r="BD36" s="293">
        <f t="shared" ca="1" si="9"/>
        <v>0</v>
      </c>
      <c r="BE36" s="293">
        <f t="shared" ca="1" si="10"/>
        <v>0</v>
      </c>
      <c r="BF36" s="293">
        <f t="shared" ca="1" si="10"/>
        <v>0</v>
      </c>
      <c r="BG36" s="293">
        <f t="shared" ca="1" si="10"/>
        <v>0</v>
      </c>
      <c r="BH36" s="293">
        <f t="shared" ca="1" si="10"/>
        <v>0</v>
      </c>
      <c r="BI36" s="293">
        <f t="shared" ca="1" si="10"/>
        <v>0</v>
      </c>
      <c r="BJ36" s="293">
        <f t="shared" ca="1" si="10"/>
        <v>0</v>
      </c>
      <c r="BK36" s="293">
        <f t="shared" ca="1" si="10"/>
        <v>0</v>
      </c>
      <c r="BL36" s="293">
        <f t="shared" ca="1" si="10"/>
        <v>0</v>
      </c>
      <c r="BM36" s="293">
        <f t="shared" ca="1" si="10"/>
        <v>0</v>
      </c>
      <c r="BN36" s="45"/>
      <c r="BO36" s="45"/>
      <c r="BP36" s="45"/>
      <c r="BS36" s="883" t="s">
        <v>1198</v>
      </c>
    </row>
    <row r="37" spans="1:71" s="1191" customFormat="1" ht="16.5" customHeight="1">
      <c r="A37" s="157"/>
      <c r="B37" s="157"/>
      <c r="C37" s="157"/>
      <c r="D37" s="157"/>
      <c r="E37" s="623">
        <v>17</v>
      </c>
      <c r="F37" s="714" t="str">
        <f>X37</f>
        <v>1</v>
      </c>
      <c r="G37" s="566" t="str">
        <f>INDEX('Общие сведения'!$AK$169:$AK$202,MATCH($F37,'Общие сведения'!$Z$169:$Z$202,0))</f>
        <v>одноставочный</v>
      </c>
      <c r="H37" s="157"/>
      <c r="I37" s="150" t="str">
        <f>INDEX('Общие сведения'!$AE$169:$AE$202,MATCH($F37,'Общие сведения'!$Z$169:$Z$202,0))</f>
        <v>Теплоснабжение</v>
      </c>
      <c r="J37" s="150" t="str">
        <f>INDEX('Общие сведения'!$AK$169:$AK$202,MATCH($F37,'Общие сведения'!$Z$169:$Z$202,0))</f>
        <v>одноставочный</v>
      </c>
      <c r="K37" s="150" t="str">
        <f>INDEX('Общие сведения'!$AH$169:$AH$202,MATCH($F37,'Общие сведения'!$Z$169:$Z$202,0))</f>
        <v>Производство</v>
      </c>
      <c r="L37" s="150" t="str">
        <f>INDEX('Общие сведения'!$AI$169:$AI$202,MATCH($F37,'Общие сведения'!$Z$169:$Z$202,0))</f>
        <v>Тарифы на теплоноситель</v>
      </c>
      <c r="M37" s="150" t="str">
        <f>INDEX('Общие сведения'!$AJ$169:$AJ$202,MATCH($F37,'Общие сведения'!$Z$169:$Z$202,0))</f>
        <v>Не определено</v>
      </c>
      <c r="N37" s="157"/>
      <c r="O37" s="157"/>
      <c r="P37" s="157"/>
      <c r="Q37" s="157"/>
      <c r="R37" s="157"/>
      <c r="S37" s="157"/>
      <c r="T37" s="634" t="b">
        <f>X37&gt;0</f>
        <v>1</v>
      </c>
      <c r="U37" s="157"/>
      <c r="V37" s="113" t="str">
        <f>'Неподконтрольные (5.3)'!$AB$46</f>
        <v>Тариф 1 (Теплоснабжение) - Тарифы на теплоноситель (Не определено)</v>
      </c>
      <c r="W37" s="157"/>
      <c r="X37" s="1405" t="s">
        <v>247</v>
      </c>
      <c r="Y37" s="157"/>
      <c r="Z37" s="1403"/>
      <c r="AA37" s="157"/>
      <c r="AB37" s="252" t="str">
        <f>IF(ISBLANK('Неподконтрольные (5.3)'!$AB$46),"",'Неподконтрольные (5.3)'!$AB$46)</f>
        <v>Тариф 1 (Теплоснабжение) - Тарифы на теплоноситель (Не определено)</v>
      </c>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157"/>
      <c r="BR37" s="157"/>
      <c r="BS37" s="883" t="str">
        <f>IF(AND(ISNUMBER(VALUE(TRIM(SUBSTITUTE(AB38,".","")))),TRIM(SUBSTITUTE(AB38,".",""))&lt;&gt;""),"P"&amp;SUBSTITUTE(AB38,".",""),"")</f>
        <v/>
      </c>
    </row>
    <row r="38" spans="1:71" s="1192" customFormat="1" ht="16.5" customHeight="1">
      <c r="A38" s="157"/>
      <c r="B38" s="157"/>
      <c r="C38" s="157"/>
      <c r="D38" s="157"/>
      <c r="E38" s="623">
        <v>17</v>
      </c>
      <c r="F38" s="714" t="str">
        <f t="shared" ref="F38:F46" ca="1" si="13">OFFSET(G38,-1,-1)</f>
        <v>1</v>
      </c>
      <c r="G38" s="157"/>
      <c r="H38" s="157"/>
      <c r="I38" s="157"/>
      <c r="J38" s="157"/>
      <c r="K38" s="167" t="str">
        <f ca="1">F38&amp;"komm"</f>
        <v>1komm</v>
      </c>
      <c r="L38" s="166">
        <f>BO38</f>
        <v>0</v>
      </c>
      <c r="M38" s="157"/>
      <c r="N38" s="157"/>
      <c r="O38" s="157"/>
      <c r="P38" s="157"/>
      <c r="Q38" s="157"/>
      <c r="R38" s="157"/>
      <c r="S38" s="157"/>
      <c r="T38" s="634" t="b">
        <f>T37</f>
        <v>1</v>
      </c>
      <c r="U38" s="157"/>
      <c r="V38" s="157"/>
      <c r="W38" s="157"/>
      <c r="X38" s="1403"/>
      <c r="Y38" s="157"/>
      <c r="Z38" s="1403"/>
      <c r="AA38" s="157"/>
      <c r="AB38" s="1501" t="s">
        <v>1187</v>
      </c>
      <c r="AC38" s="1502"/>
      <c r="AD38" s="239" t="s">
        <v>648</v>
      </c>
      <c r="AE38" s="292">
        <f t="shared" ref="AE38:BM38" ca="1" si="14">AE45</f>
        <v>3437.5138216700002</v>
      </c>
      <c r="AF38" s="292">
        <f t="shared" ca="1" si="14"/>
        <v>3439.0210000000002</v>
      </c>
      <c r="AG38" s="292">
        <f t="shared" ca="1" si="14"/>
        <v>3439.02</v>
      </c>
      <c r="AH38" s="292">
        <f t="shared" ca="1" si="14"/>
        <v>-1.0000000002037268E-3</v>
      </c>
      <c r="AI38" s="292">
        <f t="shared" ca="1" si="14"/>
        <v>3891.6045094000006</v>
      </c>
      <c r="AJ38" s="292">
        <f t="shared" ca="1" si="14"/>
        <v>4362.83</v>
      </c>
      <c r="AK38" s="292">
        <f t="shared" ca="1" si="14"/>
        <v>0</v>
      </c>
      <c r="AL38" s="292">
        <f t="shared" ca="1" si="14"/>
        <v>0</v>
      </c>
      <c r="AM38" s="292">
        <f t="shared" ca="1" si="14"/>
        <v>0</v>
      </c>
      <c r="AN38" s="292">
        <f t="shared" ca="1" si="14"/>
        <v>0</v>
      </c>
      <c r="AO38" s="292">
        <f t="shared" ca="1" si="14"/>
        <v>0</v>
      </c>
      <c r="AP38" s="292">
        <f t="shared" ca="1" si="14"/>
        <v>0</v>
      </c>
      <c r="AQ38" s="292">
        <f t="shared" ca="1" si="14"/>
        <v>0</v>
      </c>
      <c r="AR38" s="292">
        <f t="shared" ca="1" si="14"/>
        <v>0</v>
      </c>
      <c r="AS38" s="292">
        <f t="shared" ca="1" si="14"/>
        <v>0</v>
      </c>
      <c r="AT38" s="292">
        <f t="shared" ca="1" si="14"/>
        <v>4302.093613</v>
      </c>
      <c r="AU38" s="292">
        <f t="shared" ca="1" si="14"/>
        <v>0</v>
      </c>
      <c r="AV38" s="292">
        <f t="shared" ca="1" si="14"/>
        <v>0</v>
      </c>
      <c r="AW38" s="292">
        <f t="shared" ca="1" si="14"/>
        <v>0</v>
      </c>
      <c r="AX38" s="292">
        <f t="shared" ca="1" si="14"/>
        <v>0</v>
      </c>
      <c r="AY38" s="292">
        <f t="shared" ca="1" si="14"/>
        <v>0</v>
      </c>
      <c r="AZ38" s="292">
        <f t="shared" ca="1" si="14"/>
        <v>0</v>
      </c>
      <c r="BA38" s="292">
        <f t="shared" ca="1" si="14"/>
        <v>0</v>
      </c>
      <c r="BB38" s="292">
        <f t="shared" ca="1" si="14"/>
        <v>0</v>
      </c>
      <c r="BC38" s="292">
        <f t="shared" ca="1" si="14"/>
        <v>0</v>
      </c>
      <c r="BD38" s="292">
        <f t="shared" ca="1" si="14"/>
        <v>10.548068350945758</v>
      </c>
      <c r="BE38" s="292">
        <f t="shared" ca="1" si="14"/>
        <v>-100</v>
      </c>
      <c r="BF38" s="292">
        <f t="shared" ca="1" si="14"/>
        <v>0</v>
      </c>
      <c r="BG38" s="292">
        <f t="shared" ca="1" si="14"/>
        <v>0</v>
      </c>
      <c r="BH38" s="292">
        <f t="shared" ca="1" si="14"/>
        <v>0</v>
      </c>
      <c r="BI38" s="292">
        <f t="shared" ca="1" si="14"/>
        <v>0</v>
      </c>
      <c r="BJ38" s="292">
        <f t="shared" ca="1" si="14"/>
        <v>0</v>
      </c>
      <c r="BK38" s="292">
        <f t="shared" ca="1" si="14"/>
        <v>0</v>
      </c>
      <c r="BL38" s="292">
        <f t="shared" ca="1" si="14"/>
        <v>0</v>
      </c>
      <c r="BM38" s="292">
        <f t="shared" ca="1" si="14"/>
        <v>0</v>
      </c>
      <c r="BN38" s="1106"/>
      <c r="BO38" s="1106"/>
      <c r="BP38" s="1106"/>
      <c r="BQ38" s="157"/>
      <c r="BR38" s="157"/>
      <c r="BS38" s="883" t="s">
        <v>1188</v>
      </c>
    </row>
    <row r="39" spans="1:71" s="1057" customFormat="1" ht="16.5" customHeight="1">
      <c r="A39" s="165"/>
      <c r="B39" s="718"/>
      <c r="C39" s="165"/>
      <c r="D39" s="165"/>
      <c r="E39" s="623">
        <v>17</v>
      </c>
      <c r="F39" s="714" t="str">
        <f t="shared" ca="1" si="13"/>
        <v>1</v>
      </c>
      <c r="G39" s="130" t="s">
        <v>1189</v>
      </c>
      <c r="H39" s="167"/>
      <c r="I39" s="167"/>
      <c r="J39" s="167"/>
      <c r="K39" s="167"/>
      <c r="L39" s="167"/>
      <c r="M39" s="167"/>
      <c r="N39" s="167"/>
      <c r="O39" s="167"/>
      <c r="P39" s="167"/>
      <c r="Q39" s="130"/>
      <c r="R39" s="130"/>
      <c r="S39" s="167"/>
      <c r="T39" s="634" t="b">
        <f>T38</f>
        <v>1</v>
      </c>
      <c r="U39" s="165"/>
      <c r="V39" s="165"/>
      <c r="W39" s="165"/>
      <c r="X39" s="1505"/>
      <c r="Y39" s="165"/>
      <c r="Z39" s="1505"/>
      <c r="AA39" s="167"/>
      <c r="AB39" s="385" t="s">
        <v>247</v>
      </c>
      <c r="AC39" s="575" t="s">
        <v>1190</v>
      </c>
      <c r="AD39" s="387" t="s">
        <v>837</v>
      </c>
      <c r="AE39" s="293">
        <f ca="1">SUMIFS('Топливо 4.4'!AH$27:AH$250,'Топливо 4.4'!$F$27:$F$250,$F39,'Топливо 4.4'!$G$27:$G$250,$G39)</f>
        <v>0</v>
      </c>
      <c r="AF39" s="293">
        <f ca="1">SUMIFS('Топливо 4.4'!AI$27:AI$250,'Топливо 4.4'!$F$27:$F$250,$F39,'Топливо 4.4'!$G$27:$G$250,$G39)</f>
        <v>0</v>
      </c>
      <c r="AG39" s="293">
        <f ca="1">SUMIFS('Топливо 4.4'!AJ$27:AJ$250,'Топливо 4.4'!$F$27:$F$250,$F39,'Топливо 4.4'!$G$27:$G$250,$G39)</f>
        <v>0</v>
      </c>
      <c r="AH39" s="293">
        <f t="shared" ref="AH39:AH46" ca="1" si="15">AG39-AF39</f>
        <v>0</v>
      </c>
      <c r="AI39" s="293">
        <f ca="1">SUMIFS('Топливо 4.4'!AK$27:AK$250,'Топливо 4.4'!$F$27:$F$250,$F39,'Топливо 4.4'!$G$27:$G$250,$G39)</f>
        <v>0</v>
      </c>
      <c r="AJ39" s="293">
        <f ca="1">SUMIFS('Топливо 4.4'!AL$27:AL$250,'Топливо 4.4'!$F$27:$F$250,$F39,'Топливо 4.4'!$G$27:$G$250,$G39)</f>
        <v>0</v>
      </c>
      <c r="AK39" s="293">
        <f ca="1">SUMIFS('Топливо 4.4'!AO$27:AO$250,'Топливо 4.4'!$F$27:$F$250,$F39,'Топливо 4.4'!$G$27:$G$250,$G39)</f>
        <v>0</v>
      </c>
      <c r="AL39" s="293">
        <f ca="1">SUMIFS('Топливо 4.4'!AR$27:AR$250,'Топливо 4.4'!$F$27:$F$250,$F39,'Топливо 4.4'!$G$27:$G$250,$G39)</f>
        <v>0</v>
      </c>
      <c r="AM39" s="293">
        <f ca="1">SUMIFS('Топливо 4.4'!AU$27:AU$250,'Топливо 4.4'!$F$27:$F$250,$F39,'Топливо 4.4'!$G$27:$G$250,$G39)</f>
        <v>0</v>
      </c>
      <c r="AN39" s="293">
        <f ca="1">SUMIFS('Топливо 4.4'!AX$27:AX$250,'Топливо 4.4'!$F$27:$F$250,$F39,'Топливо 4.4'!$G$27:$G$250,$G39)</f>
        <v>0</v>
      </c>
      <c r="AO39" s="293">
        <f ca="1">SUMIFS('Топливо 4.4'!BA$27:BA$250,'Топливо 4.4'!$F$27:$F$250,$F39,'Топливо 4.4'!$G$27:$G$250,$G39)</f>
        <v>0</v>
      </c>
      <c r="AP39" s="293">
        <f ca="1">SUMIFS('Топливо 4.4'!BD$27:BD$250,'Топливо 4.4'!$F$27:$F$250,$F39,'Топливо 4.4'!$G$27:$G$250,$G39)</f>
        <v>0</v>
      </c>
      <c r="AQ39" s="293">
        <f ca="1">SUMIFS('Топливо 4.4'!BG$27:BG$250,'Топливо 4.4'!$F$27:$F$250,$F39,'Топливо 4.4'!$G$27:$G$250,$G39)</f>
        <v>0</v>
      </c>
      <c r="AR39" s="293">
        <f ca="1">SUMIFS('Топливо 4.4'!BJ$27:BJ$250,'Топливо 4.4'!$F$27:$F$250,$F39,'Топливо 4.4'!$G$27:$G$250,$G39)</f>
        <v>0</v>
      </c>
      <c r="AS39" s="293">
        <f ca="1">SUMIFS('Топливо 4.4'!BM$27:BM$250,'Топливо 4.4'!$F$27:$F$250,$F39,'Топливо 4.4'!$G$27:$G$250,$G39)</f>
        <v>0</v>
      </c>
      <c r="AT39" s="293">
        <f ca="1">SUMIFS('Топливо 4.4'!BP$27:BP$250,'Топливо 4.4'!$F$27:$F$250,$F39,'Топливо 4.4'!$G$27:$G$250,$G39)</f>
        <v>0</v>
      </c>
      <c r="AU39" s="293">
        <f ca="1">SUMIFS('Топливо 4.4'!BS$27:BS$250,'Топливо 4.4'!$F$27:$F$250,$F39,'Топливо 4.4'!$G$27:$G$250,$G39)</f>
        <v>0</v>
      </c>
      <c r="AV39" s="293">
        <f ca="1">SUMIFS('Топливо 4.4'!BV$27:BV$250,'Топливо 4.4'!$F$27:$F$250,$F39,'Топливо 4.4'!$G$27:$G$250,$G39)</f>
        <v>0</v>
      </c>
      <c r="AW39" s="293">
        <f ca="1">SUMIFS('Топливо 4.4'!BY$27:BY$250,'Топливо 4.4'!$F$27:$F$250,$F39,'Топливо 4.4'!$G$27:$G$250,$G39)</f>
        <v>0</v>
      </c>
      <c r="AX39" s="293">
        <f ca="1">SUMIFS('Топливо 4.4'!CB$27:CB$250,'Топливо 4.4'!$F$27:$F$250,$F39,'Топливо 4.4'!$G$27:$G$250,$G39)</f>
        <v>0</v>
      </c>
      <c r="AY39" s="293">
        <f ca="1">SUMIFS('Топливо 4.4'!CE$27:CE$250,'Топливо 4.4'!$F$27:$F$250,$F39,'Топливо 4.4'!$G$27:$G$250,$G39)</f>
        <v>0</v>
      </c>
      <c r="AZ39" s="293">
        <f ca="1">SUMIFS('Топливо 4.4'!CH$27:CH$250,'Топливо 4.4'!$F$27:$F$250,$F39,'Топливо 4.4'!$G$27:$G$250,$G39)</f>
        <v>0</v>
      </c>
      <c r="BA39" s="293">
        <f ca="1">SUMIFS('Топливо 4.4'!CK$27:CK$250,'Топливо 4.4'!$F$27:$F$250,$F39,'Топливо 4.4'!$G$27:$G$250,$G39)</f>
        <v>0</v>
      </c>
      <c r="BB39" s="293">
        <f ca="1">SUMIFS('Топливо 4.4'!CN$27:CN$250,'Топливо 4.4'!$F$27:$F$250,$F39,'Топливо 4.4'!$G$27:$G$250,$G39)</f>
        <v>0</v>
      </c>
      <c r="BC39" s="293">
        <f ca="1">SUMIFS('Топливо 4.4'!CQ$27:CQ$250,'Топливо 4.4'!$F$27:$F$250,$F39,'Топливо 4.4'!$G$27:$G$250,$G39)</f>
        <v>0</v>
      </c>
      <c r="BD39" s="293">
        <f t="shared" ref="BD39:BD46" ca="1" si="16">IF(AI39=0,0,(AT39-AI39)/AI39*100)</f>
        <v>0</v>
      </c>
      <c r="BE39" s="293">
        <f t="shared" ref="BE39:BM46" ca="1" si="17">IF(AT39=0,0,(AU39-AT39)/AT39*100)</f>
        <v>0</v>
      </c>
      <c r="BF39" s="293">
        <f t="shared" ca="1" si="17"/>
        <v>0</v>
      </c>
      <c r="BG39" s="293">
        <f t="shared" ca="1" si="17"/>
        <v>0</v>
      </c>
      <c r="BH39" s="293">
        <f t="shared" ca="1" si="17"/>
        <v>0</v>
      </c>
      <c r="BI39" s="293">
        <f t="shared" ca="1" si="17"/>
        <v>0</v>
      </c>
      <c r="BJ39" s="293">
        <f t="shared" ca="1" si="17"/>
        <v>0</v>
      </c>
      <c r="BK39" s="293">
        <f t="shared" ca="1" si="17"/>
        <v>0</v>
      </c>
      <c r="BL39" s="293">
        <f t="shared" ca="1" si="17"/>
        <v>0</v>
      </c>
      <c r="BM39" s="293">
        <f t="shared" ca="1" si="17"/>
        <v>0</v>
      </c>
      <c r="BN39" s="1106"/>
      <c r="BO39" s="1106"/>
      <c r="BP39" s="1106"/>
      <c r="BQ39" s="167"/>
      <c r="BR39" s="167"/>
      <c r="BS39" s="883" t="s">
        <v>1191</v>
      </c>
    </row>
    <row r="40" spans="1:71" s="1057" customFormat="1" ht="16.5" customHeight="1">
      <c r="A40" s="165"/>
      <c r="B40" s="718"/>
      <c r="C40" s="165"/>
      <c r="D40" s="165"/>
      <c r="E40" s="623">
        <v>17</v>
      </c>
      <c r="F40" s="714" t="str">
        <f t="shared" ca="1" si="13"/>
        <v>1</v>
      </c>
      <c r="G40" s="130" t="s">
        <v>742</v>
      </c>
      <c r="H40" s="167"/>
      <c r="I40" s="167"/>
      <c r="J40" s="167"/>
      <c r="K40" s="167"/>
      <c r="L40" s="167"/>
      <c r="M40" s="167"/>
      <c r="N40" s="167"/>
      <c r="O40" s="167"/>
      <c r="P40" s="167"/>
      <c r="Q40" s="130"/>
      <c r="R40" s="130"/>
      <c r="S40" s="167"/>
      <c r="T40" s="634" t="b">
        <f>T39</f>
        <v>1</v>
      </c>
      <c r="U40" s="165"/>
      <c r="V40" s="165"/>
      <c r="W40" s="165"/>
      <c r="X40" s="1505"/>
      <c r="Y40" s="165"/>
      <c r="Z40" s="1505"/>
      <c r="AA40" s="167"/>
      <c r="AB40" s="407" t="s">
        <v>343</v>
      </c>
      <c r="AC40" s="571" t="s">
        <v>744</v>
      </c>
      <c r="AD40" s="393" t="s">
        <v>837</v>
      </c>
      <c r="AE40" s="293">
        <f ca="1">SUMIFS(ЭнергоРесурсы!AE$26:AE$109,ЭнергоРесурсы!$F$26:$F$109,$F40,ЭнергоРесурсы!$G$26:$G$109,$G40)</f>
        <v>0</v>
      </c>
      <c r="AF40" s="293">
        <f ca="1">SUMIFS(ЭнергоРесурсы!AF$26:AF$109,ЭнергоРесурсы!$F$26:$F$109,$F40,ЭнергоРесурсы!$G$26:$G$109,$G40)</f>
        <v>0</v>
      </c>
      <c r="AG40" s="293">
        <f ca="1">SUMIFS(ЭнергоРесурсы!AG$26:AG$109,ЭнергоРесурсы!$F$26:$F$109,$F40,ЭнергоРесурсы!$G$26:$G$109,$G40)</f>
        <v>0</v>
      </c>
      <c r="AH40" s="293">
        <f t="shared" ca="1" si="15"/>
        <v>0</v>
      </c>
      <c r="AI40" s="293">
        <f ca="1">SUMIFS(ЭнергоРесурсы!AH$26:AH$109,ЭнергоРесурсы!$F$26:$F$109,$F40,ЭнергоРесурсы!$G$26:$G$109,$G40)</f>
        <v>0</v>
      </c>
      <c r="AJ40" s="293">
        <f ca="1">SUMIFS(ЭнергоРесурсы!AI$26:AI$109,ЭнергоРесурсы!$F$26:$F$109,$F40,ЭнергоРесурсы!$G$26:$G$109,$G40)</f>
        <v>0</v>
      </c>
      <c r="AK40" s="293">
        <f ca="1">SUMIFS(ЭнергоРесурсы!AJ$26:AJ$109,ЭнергоРесурсы!$F$26:$F$109,$F40,ЭнергоРесурсы!$G$26:$G$109,$G40)</f>
        <v>0</v>
      </c>
      <c r="AL40" s="293">
        <f ca="1">SUMIFS(ЭнергоРесурсы!AK$26:AK$109,ЭнергоРесурсы!$F$26:$F$109,$F40,ЭнергоРесурсы!$G$26:$G$109,$G40)</f>
        <v>0</v>
      </c>
      <c r="AM40" s="293">
        <f ca="1">SUMIFS(ЭнергоРесурсы!AL$26:AL$109,ЭнергоРесурсы!$F$26:$F$109,$F40,ЭнергоРесурсы!$G$26:$G$109,$G40)</f>
        <v>0</v>
      </c>
      <c r="AN40" s="293">
        <f ca="1">SUMIFS(ЭнергоРесурсы!AM$26:AM$109,ЭнергоРесурсы!$F$26:$F$109,$F40,ЭнергоРесурсы!$G$26:$G$109,$G40)</f>
        <v>0</v>
      </c>
      <c r="AO40" s="293">
        <f ca="1">SUMIFS(ЭнергоРесурсы!AN$26:AN$109,ЭнергоРесурсы!$F$26:$F$109,$F40,ЭнергоРесурсы!$G$26:$G$109,$G40)</f>
        <v>0</v>
      </c>
      <c r="AP40" s="293">
        <f ca="1">SUMIFS(ЭнергоРесурсы!AO$26:AO$109,ЭнергоРесурсы!$F$26:$F$109,$F40,ЭнергоРесурсы!$G$26:$G$109,$G40)</f>
        <v>0</v>
      </c>
      <c r="AQ40" s="293">
        <f ca="1">SUMIFS(ЭнергоРесурсы!AP$26:AP$109,ЭнергоРесурсы!$F$26:$F$109,$F40,ЭнергоРесурсы!$G$26:$G$109,$G40)</f>
        <v>0</v>
      </c>
      <c r="AR40" s="293">
        <f ca="1">SUMIFS(ЭнергоРесурсы!AQ$26:AQ$109,ЭнергоРесурсы!$F$26:$F$109,$F40,ЭнергоРесурсы!$G$26:$G$109,$G40)</f>
        <v>0</v>
      </c>
      <c r="AS40" s="293">
        <f ca="1">SUMIFS(ЭнергоРесурсы!AR$26:AR$109,ЭнергоРесурсы!$F$26:$F$109,$F40,ЭнергоРесурсы!$G$26:$G$109,$G40)</f>
        <v>0</v>
      </c>
      <c r="AT40" s="293">
        <f ca="1">SUMIFS(ЭнергоРесурсы!AS$26:AS$109,ЭнергоРесурсы!$F$26:$F$109,$F40,ЭнергоРесурсы!$G$26:$G$109,$G40)</f>
        <v>0</v>
      </c>
      <c r="AU40" s="293">
        <f ca="1">SUMIFS(ЭнергоРесурсы!AT$26:AT$109,ЭнергоРесурсы!$F$26:$F$109,$F40,ЭнергоРесурсы!$G$26:$G$109,$G40)</f>
        <v>0</v>
      </c>
      <c r="AV40" s="293">
        <f ca="1">SUMIFS(ЭнергоРесурсы!AU$26:AU$109,ЭнергоРесурсы!$F$26:$F$109,$F40,ЭнергоРесурсы!$G$26:$G$109,$G40)</f>
        <v>0</v>
      </c>
      <c r="AW40" s="293">
        <f ca="1">SUMIFS(ЭнергоРесурсы!AV$26:AV$109,ЭнергоРесурсы!$F$26:$F$109,$F40,ЭнергоРесурсы!$G$26:$G$109,$G40)</f>
        <v>0</v>
      </c>
      <c r="AX40" s="293">
        <f ca="1">SUMIFS(ЭнергоРесурсы!AW$26:AW$109,ЭнергоРесурсы!$F$26:$F$109,$F40,ЭнергоРесурсы!$G$26:$G$109,$G40)</f>
        <v>0</v>
      </c>
      <c r="AY40" s="293">
        <f ca="1">SUMIFS(ЭнергоРесурсы!AX$26:AX$109,ЭнергоРесурсы!$F$26:$F$109,$F40,ЭнергоРесурсы!$G$26:$G$109,$G40)</f>
        <v>0</v>
      </c>
      <c r="AZ40" s="293">
        <f ca="1">SUMIFS(ЭнергоРесурсы!AY$26:AY$109,ЭнергоРесурсы!$F$26:$F$109,$F40,ЭнергоРесурсы!$G$26:$G$109,$G40)</f>
        <v>0</v>
      </c>
      <c r="BA40" s="293">
        <f ca="1">SUMIFS(ЭнергоРесурсы!AZ$26:AZ$109,ЭнергоРесурсы!$F$26:$F$109,$F40,ЭнергоРесурсы!$G$26:$G$109,$G40)</f>
        <v>0</v>
      </c>
      <c r="BB40" s="293">
        <f ca="1">SUMIFS(ЭнергоРесурсы!BA$26:BA$109,ЭнергоРесурсы!$F$26:$F$109,$F40,ЭнергоРесурсы!$G$26:$G$109,$G40)</f>
        <v>0</v>
      </c>
      <c r="BC40" s="293">
        <f ca="1">SUMIFS(ЭнергоРесурсы!BB$26:BB$109,ЭнергоРесурсы!$F$26:$F$109,$F40,ЭнергоРесурсы!$G$26:$G$109,$G40)</f>
        <v>0</v>
      </c>
      <c r="BD40" s="293">
        <f t="shared" ca="1" si="16"/>
        <v>0</v>
      </c>
      <c r="BE40" s="293">
        <f t="shared" ca="1" si="17"/>
        <v>0</v>
      </c>
      <c r="BF40" s="293">
        <f t="shared" ca="1" si="17"/>
        <v>0</v>
      </c>
      <c r="BG40" s="293">
        <f t="shared" ca="1" si="17"/>
        <v>0</v>
      </c>
      <c r="BH40" s="293">
        <f t="shared" ca="1" si="17"/>
        <v>0</v>
      </c>
      <c r="BI40" s="293">
        <f t="shared" ca="1" si="17"/>
        <v>0</v>
      </c>
      <c r="BJ40" s="293">
        <f t="shared" ca="1" si="17"/>
        <v>0</v>
      </c>
      <c r="BK40" s="293">
        <f t="shared" ca="1" si="17"/>
        <v>0</v>
      </c>
      <c r="BL40" s="293">
        <f t="shared" ca="1" si="17"/>
        <v>0</v>
      </c>
      <c r="BM40" s="293">
        <f t="shared" ca="1" si="17"/>
        <v>0</v>
      </c>
      <c r="BN40" s="1106"/>
      <c r="BO40" s="1106"/>
      <c r="BP40" s="1106"/>
      <c r="BQ40" s="167"/>
      <c r="BR40" s="167"/>
      <c r="BS40" s="883" t="s">
        <v>1192</v>
      </c>
    </row>
    <row r="41" spans="1:71" s="1057" customFormat="1" ht="16.5" customHeight="1">
      <c r="A41" s="165"/>
      <c r="B41" s="718"/>
      <c r="C41" s="165"/>
      <c r="D41" s="165"/>
      <c r="E41" s="623">
        <v>17</v>
      </c>
      <c r="F41" s="714" t="str">
        <f t="shared" ca="1" si="13"/>
        <v>1</v>
      </c>
      <c r="G41" s="130" t="s">
        <v>777</v>
      </c>
      <c r="H41" s="167"/>
      <c r="I41" s="167"/>
      <c r="J41" s="167"/>
      <c r="K41" s="167"/>
      <c r="L41" s="167"/>
      <c r="M41" s="167"/>
      <c r="N41" s="167"/>
      <c r="O41" s="167"/>
      <c r="P41" s="167"/>
      <c r="Q41" s="130"/>
      <c r="R41" s="130"/>
      <c r="S41" s="167"/>
      <c r="T41" s="634" t="b">
        <f>T40</f>
        <v>1</v>
      </c>
      <c r="U41" s="165"/>
      <c r="V41" s="165"/>
      <c r="W41" s="165"/>
      <c r="X41" s="1505"/>
      <c r="Y41" s="165"/>
      <c r="Z41" s="1505"/>
      <c r="AA41" s="167"/>
      <c r="AB41" s="222" t="s">
        <v>520</v>
      </c>
      <c r="AC41" s="572" t="s">
        <v>798</v>
      </c>
      <c r="AD41" s="393" t="s">
        <v>837</v>
      </c>
      <c r="AE41" s="293">
        <f ca="1">SUMIFS(ЭнергоРесурсы!AE$26:AE$109,ЭнергоРесурсы!$F$26:$F$109,$F41,ЭнергоРесурсы!$G$26:$G$109,$G41)</f>
        <v>0</v>
      </c>
      <c r="AF41" s="293">
        <f ca="1">SUMIFS(ЭнергоРесурсы!AF$26:AF$109,ЭнергоРесурсы!$F$26:$F$109,$F41,ЭнергоРесурсы!$G$26:$G$109,$G41)</f>
        <v>0</v>
      </c>
      <c r="AG41" s="293">
        <f ca="1">SUMIFS(ЭнергоРесурсы!AG$26:AG$109,ЭнергоРесурсы!$F$26:$F$109,$F41,ЭнергоРесурсы!$G$26:$G$109,$G41)</f>
        <v>0</v>
      </c>
      <c r="AH41" s="293">
        <f t="shared" ca="1" si="15"/>
        <v>0</v>
      </c>
      <c r="AI41" s="293">
        <f ca="1">SUMIFS(ЭнергоРесурсы!AH$26:AH$109,ЭнергоРесурсы!$F$26:$F$109,$F41,ЭнергоРесурсы!$G$26:$G$109,$G41)</f>
        <v>0</v>
      </c>
      <c r="AJ41" s="293">
        <f ca="1">SUMIFS(ЭнергоРесурсы!AI$26:AI$109,ЭнергоРесурсы!$F$26:$F$109,$F41,ЭнергоРесурсы!$G$26:$G$109,$G41)</f>
        <v>0</v>
      </c>
      <c r="AK41" s="293">
        <f ca="1">SUMIFS(ЭнергоРесурсы!AJ$26:AJ$109,ЭнергоРесурсы!$F$26:$F$109,$F41,ЭнергоРесурсы!$G$26:$G$109,$G41)</f>
        <v>0</v>
      </c>
      <c r="AL41" s="293">
        <f ca="1">SUMIFS(ЭнергоРесурсы!AK$26:AK$109,ЭнергоРесурсы!$F$26:$F$109,$F41,ЭнергоРесурсы!$G$26:$G$109,$G41)</f>
        <v>0</v>
      </c>
      <c r="AM41" s="293">
        <f ca="1">SUMIFS(ЭнергоРесурсы!AL$26:AL$109,ЭнергоРесурсы!$F$26:$F$109,$F41,ЭнергоРесурсы!$G$26:$G$109,$G41)</f>
        <v>0</v>
      </c>
      <c r="AN41" s="293">
        <f ca="1">SUMIFS(ЭнергоРесурсы!AM$26:AM$109,ЭнергоРесурсы!$F$26:$F$109,$F41,ЭнергоРесурсы!$G$26:$G$109,$G41)</f>
        <v>0</v>
      </c>
      <c r="AO41" s="293">
        <f ca="1">SUMIFS(ЭнергоРесурсы!AN$26:AN$109,ЭнергоРесурсы!$F$26:$F$109,$F41,ЭнергоРесурсы!$G$26:$G$109,$G41)</f>
        <v>0</v>
      </c>
      <c r="AP41" s="293">
        <f ca="1">SUMIFS(ЭнергоРесурсы!AO$26:AO$109,ЭнергоРесурсы!$F$26:$F$109,$F41,ЭнергоРесурсы!$G$26:$G$109,$G41)</f>
        <v>0</v>
      </c>
      <c r="AQ41" s="293">
        <f ca="1">SUMIFS(ЭнергоРесурсы!AP$26:AP$109,ЭнергоРесурсы!$F$26:$F$109,$F41,ЭнергоРесурсы!$G$26:$G$109,$G41)</f>
        <v>0</v>
      </c>
      <c r="AR41" s="293">
        <f ca="1">SUMIFS(ЭнергоРесурсы!AQ$26:AQ$109,ЭнергоРесурсы!$F$26:$F$109,$F41,ЭнергоРесурсы!$G$26:$G$109,$G41)</f>
        <v>0</v>
      </c>
      <c r="AS41" s="293">
        <f ca="1">SUMIFS(ЭнергоРесурсы!AR$26:AR$109,ЭнергоРесурсы!$F$26:$F$109,$F41,ЭнергоРесурсы!$G$26:$G$109,$G41)</f>
        <v>0</v>
      </c>
      <c r="AT41" s="293">
        <f ca="1">SUMIFS(ЭнергоРесурсы!AS$26:AS$109,ЭнергоРесурсы!$F$26:$F$109,$F41,ЭнергоРесурсы!$G$26:$G$109,$G41)</f>
        <v>0</v>
      </c>
      <c r="AU41" s="293">
        <f ca="1">SUMIFS(ЭнергоРесурсы!AT$26:AT$109,ЭнергоРесурсы!$F$26:$F$109,$F41,ЭнергоРесурсы!$G$26:$G$109,$G41)</f>
        <v>0</v>
      </c>
      <c r="AV41" s="293">
        <f ca="1">SUMIFS(ЭнергоРесурсы!AU$26:AU$109,ЭнергоРесурсы!$F$26:$F$109,$F41,ЭнергоРесурсы!$G$26:$G$109,$G41)</f>
        <v>0</v>
      </c>
      <c r="AW41" s="293">
        <f ca="1">SUMIFS(ЭнергоРесурсы!AV$26:AV$109,ЭнергоРесурсы!$F$26:$F$109,$F41,ЭнергоРесурсы!$G$26:$G$109,$G41)</f>
        <v>0</v>
      </c>
      <c r="AX41" s="293">
        <f ca="1">SUMIFS(ЭнергоРесурсы!AW$26:AW$109,ЭнергоРесурсы!$F$26:$F$109,$F41,ЭнергоРесурсы!$G$26:$G$109,$G41)</f>
        <v>0</v>
      </c>
      <c r="AY41" s="293">
        <f ca="1">SUMIFS(ЭнергоРесурсы!AX$26:AX$109,ЭнергоРесурсы!$F$26:$F$109,$F41,ЭнергоРесурсы!$G$26:$G$109,$G41)</f>
        <v>0</v>
      </c>
      <c r="AZ41" s="293">
        <f ca="1">SUMIFS(ЭнергоРесурсы!AY$26:AY$109,ЭнергоРесурсы!$F$26:$F$109,$F41,ЭнергоРесурсы!$G$26:$G$109,$G41)</f>
        <v>0</v>
      </c>
      <c r="BA41" s="293">
        <f ca="1">SUMIFS(ЭнергоРесурсы!AZ$26:AZ$109,ЭнергоРесурсы!$F$26:$F$109,$F41,ЭнергоРесурсы!$G$26:$G$109,$G41)</f>
        <v>0</v>
      </c>
      <c r="BB41" s="293">
        <f ca="1">SUMIFS(ЭнергоРесурсы!BA$26:BA$109,ЭнергоРесурсы!$F$26:$F$109,$F41,ЭнергоРесурсы!$G$26:$G$109,$G41)</f>
        <v>0</v>
      </c>
      <c r="BC41" s="293">
        <f ca="1">SUMIFS(ЭнергоРесурсы!BB$26:BB$109,ЭнергоРесурсы!$F$26:$F$109,$F41,ЭнергоРесурсы!$G$26:$G$109,$G41)</f>
        <v>0</v>
      </c>
      <c r="BD41" s="293">
        <f t="shared" ca="1" si="16"/>
        <v>0</v>
      </c>
      <c r="BE41" s="293">
        <f t="shared" ca="1" si="17"/>
        <v>0</v>
      </c>
      <c r="BF41" s="293">
        <f t="shared" ca="1" si="17"/>
        <v>0</v>
      </c>
      <c r="BG41" s="293">
        <f t="shared" ca="1" si="17"/>
        <v>0</v>
      </c>
      <c r="BH41" s="293">
        <f t="shared" ca="1" si="17"/>
        <v>0</v>
      </c>
      <c r="BI41" s="293">
        <f t="shared" ca="1" si="17"/>
        <v>0</v>
      </c>
      <c r="BJ41" s="293">
        <f t="shared" ca="1" si="17"/>
        <v>0</v>
      </c>
      <c r="BK41" s="293">
        <f t="shared" ca="1" si="17"/>
        <v>0</v>
      </c>
      <c r="BL41" s="293">
        <f t="shared" ca="1" si="17"/>
        <v>0</v>
      </c>
      <c r="BM41" s="293">
        <f t="shared" ca="1" si="17"/>
        <v>0</v>
      </c>
      <c r="BN41" s="1106"/>
      <c r="BO41" s="1106"/>
      <c r="BP41" s="1106"/>
      <c r="BQ41" s="167"/>
      <c r="BR41" s="167"/>
      <c r="BS41" s="883" t="s">
        <v>1193</v>
      </c>
    </row>
    <row r="42" spans="1:71" s="1057" customFormat="1" ht="16.5" hidden="1" customHeight="1">
      <c r="A42" s="165"/>
      <c r="B42" s="718"/>
      <c r="C42" s="165"/>
      <c r="D42" s="165"/>
      <c r="E42" s="623">
        <v>17</v>
      </c>
      <c r="F42" s="714" t="str">
        <f t="shared" ca="1" si="13"/>
        <v>1</v>
      </c>
      <c r="G42" s="130" t="s">
        <v>780</v>
      </c>
      <c r="H42" s="167"/>
      <c r="I42" s="167"/>
      <c r="J42" s="167"/>
      <c r="K42" s="167"/>
      <c r="L42" s="167"/>
      <c r="M42" s="167"/>
      <c r="N42" s="167"/>
      <c r="O42" s="167"/>
      <c r="P42" s="167"/>
      <c r="Q42" s="130"/>
      <c r="R42" s="130" t="s">
        <v>781</v>
      </c>
      <c r="S42" s="167"/>
      <c r="T42" s="634" t="b">
        <f>AND(T41,G37="двухставочный")</f>
        <v>0</v>
      </c>
      <c r="U42" s="165"/>
      <c r="V42" s="165"/>
      <c r="W42" s="165"/>
      <c r="X42" s="1505"/>
      <c r="Y42" s="165"/>
      <c r="Z42" s="1505"/>
      <c r="AA42" s="167"/>
      <c r="AB42" s="222" t="s">
        <v>523</v>
      </c>
      <c r="AC42" s="573" t="s">
        <v>783</v>
      </c>
      <c r="AD42" s="464" t="s">
        <v>648</v>
      </c>
      <c r="AE42" s="293">
        <f ca="1">SUMIFS(ЭнергоРесурсы!AE$26:AE$109,ЭнергоРесурсы!$F$26:$F$109,$F42,ЭнергоРесурсы!$G$26:$G$109,$G42)</f>
        <v>0</v>
      </c>
      <c r="AF42" s="293">
        <f ca="1">SUMIFS(ЭнергоРесурсы!AF$26:AF$109,ЭнергоРесурсы!$F$26:$F$109,$F42,ЭнергоРесурсы!$G$26:$G$109,$G42)</f>
        <v>0</v>
      </c>
      <c r="AG42" s="293">
        <f ca="1">SUMIFS(ЭнергоРесурсы!AG$26:AG$109,ЭнергоРесурсы!$F$26:$F$109,$F42,ЭнергоРесурсы!$G$26:$G$109,$G42)</f>
        <v>0</v>
      </c>
      <c r="AH42" s="293">
        <f t="shared" ca="1" si="15"/>
        <v>0</v>
      </c>
      <c r="AI42" s="410">
        <f>ЭнергоРесурсы!AH60</f>
        <v>0</v>
      </c>
      <c r="AJ42" s="410">
        <f>ЭнергоРесурсы!AI60</f>
        <v>0</v>
      </c>
      <c r="AK42" s="410">
        <f>ЭнергоРесурсы!AJ60</f>
        <v>0</v>
      </c>
      <c r="AL42" s="410">
        <f>ЭнергоРесурсы!AK60</f>
        <v>0</v>
      </c>
      <c r="AM42" s="410">
        <f>ЭнергоРесурсы!AL60</f>
        <v>0</v>
      </c>
      <c r="AN42" s="410">
        <f>ЭнергоРесурсы!AM60</f>
        <v>0</v>
      </c>
      <c r="AO42" s="410">
        <f>ЭнергоРесурсы!AN60</f>
        <v>0</v>
      </c>
      <c r="AP42" s="410">
        <f>ЭнергоРесурсы!AO60</f>
        <v>0</v>
      </c>
      <c r="AQ42" s="410">
        <f>ЭнергоРесурсы!AP60</f>
        <v>0</v>
      </c>
      <c r="AR42" s="410">
        <f>ЭнергоРесурсы!AQ60</f>
        <v>0</v>
      </c>
      <c r="AS42" s="410">
        <f>ЭнергоРесурсы!AR60</f>
        <v>0</v>
      </c>
      <c r="AT42" s="410">
        <f>ЭнергоРесурсы!AS60</f>
        <v>0</v>
      </c>
      <c r="AU42" s="410">
        <f>ЭнергоРесурсы!AT60</f>
        <v>0</v>
      </c>
      <c r="AV42" s="410">
        <f>ЭнергоРесурсы!AU60</f>
        <v>0</v>
      </c>
      <c r="AW42" s="410">
        <f>ЭнергоРесурсы!AV60</f>
        <v>0</v>
      </c>
      <c r="AX42" s="410">
        <f>ЭнергоРесурсы!AW60</f>
        <v>0</v>
      </c>
      <c r="AY42" s="410">
        <f>ЭнергоРесурсы!AX60</f>
        <v>0</v>
      </c>
      <c r="AZ42" s="410">
        <f>ЭнергоРесурсы!AY60</f>
        <v>0</v>
      </c>
      <c r="BA42" s="410">
        <f>ЭнергоРесурсы!AZ60</f>
        <v>0</v>
      </c>
      <c r="BB42" s="410">
        <f>ЭнергоРесурсы!BA60</f>
        <v>0</v>
      </c>
      <c r="BC42" s="410">
        <f>ЭнергоРесурсы!BB60</f>
        <v>0</v>
      </c>
      <c r="BD42" s="293">
        <f t="shared" si="16"/>
        <v>0</v>
      </c>
      <c r="BE42" s="293">
        <f t="shared" si="17"/>
        <v>0</v>
      </c>
      <c r="BF42" s="293">
        <f t="shared" si="17"/>
        <v>0</v>
      </c>
      <c r="BG42" s="293">
        <f t="shared" si="17"/>
        <v>0</v>
      </c>
      <c r="BH42" s="293">
        <f t="shared" si="17"/>
        <v>0</v>
      </c>
      <c r="BI42" s="293">
        <f t="shared" si="17"/>
        <v>0</v>
      </c>
      <c r="BJ42" s="293">
        <f t="shared" si="17"/>
        <v>0</v>
      </c>
      <c r="BK42" s="293">
        <f t="shared" si="17"/>
        <v>0</v>
      </c>
      <c r="BL42" s="293">
        <f t="shared" si="17"/>
        <v>0</v>
      </c>
      <c r="BM42" s="293">
        <f t="shared" si="17"/>
        <v>0</v>
      </c>
      <c r="BN42" s="22"/>
      <c r="BO42" s="22"/>
      <c r="BP42" s="22"/>
      <c r="BQ42" s="167"/>
      <c r="BR42" s="167"/>
      <c r="BS42" s="883" t="s">
        <v>1194</v>
      </c>
    </row>
    <row r="43" spans="1:71" s="1057" customFormat="1" ht="16.5" customHeight="1">
      <c r="A43" s="165"/>
      <c r="B43" s="718"/>
      <c r="C43" s="165"/>
      <c r="D43" s="165"/>
      <c r="E43" s="623">
        <v>17</v>
      </c>
      <c r="F43" s="714" t="str">
        <f t="shared" ca="1" si="13"/>
        <v>1</v>
      </c>
      <c r="G43" s="130" t="s">
        <v>810</v>
      </c>
      <c r="H43" s="167"/>
      <c r="I43" s="167"/>
      <c r="J43" s="167"/>
      <c r="K43" s="167"/>
      <c r="L43" s="167"/>
      <c r="M43" s="167"/>
      <c r="N43" s="167"/>
      <c r="O43" s="167"/>
      <c r="P43" s="167"/>
      <c r="Q43" s="130"/>
      <c r="R43" s="130"/>
      <c r="S43" s="167"/>
      <c r="T43" s="634" t="b">
        <f>T41</f>
        <v>1</v>
      </c>
      <c r="U43" s="165"/>
      <c r="V43" s="165"/>
      <c r="W43" s="165"/>
      <c r="X43" s="1505"/>
      <c r="Y43" s="165"/>
      <c r="Z43" s="1505"/>
      <c r="AA43" s="167"/>
      <c r="AB43" s="222" t="s">
        <v>527</v>
      </c>
      <c r="AC43" s="574" t="s">
        <v>811</v>
      </c>
      <c r="AD43" s="393" t="s">
        <v>837</v>
      </c>
      <c r="AE43" s="430">
        <f ca="1">SUMIFS('ХВС, ТН'!AE$26:AE$56,'ХВС, ТН'!$F$26:$F$56,$F43,'ХВС, ТН'!$G$26:$G$56,$G43)</f>
        <v>3437.5138216700002</v>
      </c>
      <c r="AF43" s="430">
        <f ca="1">SUMIFS('ХВС, ТН'!AF$26:AF$56,'ХВС, ТН'!$F$26:$F$56,$F43,'ХВС, ТН'!$G$26:$G$56,$G43)</f>
        <v>3439.0210000000002</v>
      </c>
      <c r="AG43" s="430">
        <f ca="1">SUMIFS('ХВС, ТН'!AG$26:AG$56,'ХВС, ТН'!$F$26:$F$56,$F43,'ХВС, ТН'!$G$26:$G$56,$G43)</f>
        <v>3439.02</v>
      </c>
      <c r="AH43" s="431">
        <f t="shared" ca="1" si="15"/>
        <v>-1.0000000002037268E-3</v>
      </c>
      <c r="AI43" s="430">
        <f ca="1">SUMIFS('ХВС, ТН'!AH$26:AH$56,'ХВС, ТН'!$F$26:$F$56,$F43,'ХВС, ТН'!$G$26:$G$56,$G43)</f>
        <v>3891.6045094000006</v>
      </c>
      <c r="AJ43" s="430">
        <f ca="1">SUMIFS('ХВС, ТН'!AI$26:AI$56,'ХВС, ТН'!$F$26:$F$56,$F43,'ХВС, ТН'!$G$26:$G$56,$G43)</f>
        <v>4362.83</v>
      </c>
      <c r="AK43" s="430">
        <f ca="1">SUMIFS('ХВС, ТН'!AJ$26:AJ$56,'ХВС, ТН'!$F$26:$F$56,$F43,'ХВС, ТН'!$G$26:$G$56,$G43)</f>
        <v>0</v>
      </c>
      <c r="AL43" s="430">
        <f ca="1">SUMIFS('ХВС, ТН'!AK$26:AK$56,'ХВС, ТН'!$F$26:$F$56,$F43,'ХВС, ТН'!$G$26:$G$56,$G43)</f>
        <v>0</v>
      </c>
      <c r="AM43" s="430">
        <f ca="1">SUMIFS('ХВС, ТН'!AL$26:AL$56,'ХВС, ТН'!$F$26:$F$56,$F43,'ХВС, ТН'!$G$26:$G$56,$G43)</f>
        <v>0</v>
      </c>
      <c r="AN43" s="430">
        <f ca="1">SUMIFS('ХВС, ТН'!AM$26:AM$56,'ХВС, ТН'!$F$26:$F$56,$F43,'ХВС, ТН'!$G$26:$G$56,$G43)</f>
        <v>0</v>
      </c>
      <c r="AO43" s="430">
        <f ca="1">SUMIFS('ХВС, ТН'!AN$26:AN$56,'ХВС, ТН'!$F$26:$F$56,$F43,'ХВС, ТН'!$G$26:$G$56,$G43)</f>
        <v>0</v>
      </c>
      <c r="AP43" s="430">
        <f ca="1">SUMIFS('ХВС, ТН'!AO$26:AO$56,'ХВС, ТН'!$F$26:$F$56,$F43,'ХВС, ТН'!$G$26:$G$56,$G43)</f>
        <v>0</v>
      </c>
      <c r="AQ43" s="430">
        <f ca="1">SUMIFS('ХВС, ТН'!AP$26:AP$56,'ХВС, ТН'!$F$26:$F$56,$F43,'ХВС, ТН'!$G$26:$G$56,$G43)</f>
        <v>0</v>
      </c>
      <c r="AR43" s="430">
        <f ca="1">SUMIFS('ХВС, ТН'!AQ$26:AQ$56,'ХВС, ТН'!$F$26:$F$56,$F43,'ХВС, ТН'!$G$26:$G$56,$G43)</f>
        <v>0</v>
      </c>
      <c r="AS43" s="430">
        <f ca="1">SUMIFS('ХВС, ТН'!AR$26:AR$56,'ХВС, ТН'!$F$26:$F$56,$F43,'ХВС, ТН'!$G$26:$G$56,$G43)</f>
        <v>0</v>
      </c>
      <c r="AT43" s="430">
        <f ca="1">SUMIFS('ХВС, ТН'!AS$26:AS$56,'ХВС, ТН'!$F$26:$F$56,$F43,'ХВС, ТН'!$G$26:$G$56,$G43)</f>
        <v>4302.093613</v>
      </c>
      <c r="AU43" s="430">
        <f ca="1">SUMIFS('ХВС, ТН'!AT$26:AT$56,'ХВС, ТН'!$F$26:$F$56,$F43,'ХВС, ТН'!$G$26:$G$56,$G43)</f>
        <v>0</v>
      </c>
      <c r="AV43" s="430">
        <f ca="1">SUMIFS('ХВС, ТН'!AU$26:AU$56,'ХВС, ТН'!$F$26:$F$56,$F43,'ХВС, ТН'!$G$26:$G$56,$G43)</f>
        <v>0</v>
      </c>
      <c r="AW43" s="430">
        <f ca="1">SUMIFS('ХВС, ТН'!AV$26:AV$56,'ХВС, ТН'!$F$26:$F$56,$F43,'ХВС, ТН'!$G$26:$G$56,$G43)</f>
        <v>0</v>
      </c>
      <c r="AX43" s="430">
        <f ca="1">SUMIFS('ХВС, ТН'!AW$26:AW$56,'ХВС, ТН'!$F$26:$F$56,$F43,'ХВС, ТН'!$G$26:$G$56,$G43)</f>
        <v>0</v>
      </c>
      <c r="AY43" s="430">
        <f ca="1">SUMIFS('ХВС, ТН'!AX$26:AX$56,'ХВС, ТН'!$F$26:$F$56,$F43,'ХВС, ТН'!$G$26:$G$56,$G43)</f>
        <v>0</v>
      </c>
      <c r="AZ43" s="430">
        <f ca="1">SUMIFS('ХВС, ТН'!AY$26:AY$56,'ХВС, ТН'!$F$26:$F$56,$F43,'ХВС, ТН'!$G$26:$G$56,$G43)</f>
        <v>0</v>
      </c>
      <c r="BA43" s="430">
        <f ca="1">SUMIFS('ХВС, ТН'!AZ$26:AZ$56,'ХВС, ТН'!$F$26:$F$56,$F43,'ХВС, ТН'!$G$26:$G$56,$G43)</f>
        <v>0</v>
      </c>
      <c r="BB43" s="430">
        <f ca="1">SUMIFS('ХВС, ТН'!BA$26:BA$56,'ХВС, ТН'!$F$26:$F$56,$F43,'ХВС, ТН'!$G$26:$G$56,$G43)</f>
        <v>0</v>
      </c>
      <c r="BC43" s="430">
        <f ca="1">SUMIFS('ХВС, ТН'!BB$26:BB$56,'ХВС, ТН'!$F$26:$F$56,$F43,'ХВС, ТН'!$G$26:$G$56,$G43)</f>
        <v>0</v>
      </c>
      <c r="BD43" s="293">
        <f t="shared" ca="1" si="16"/>
        <v>10.548068350945758</v>
      </c>
      <c r="BE43" s="293">
        <f t="shared" ca="1" si="17"/>
        <v>-100</v>
      </c>
      <c r="BF43" s="293">
        <f t="shared" ca="1" si="17"/>
        <v>0</v>
      </c>
      <c r="BG43" s="293">
        <f t="shared" ca="1" si="17"/>
        <v>0</v>
      </c>
      <c r="BH43" s="293">
        <f t="shared" ca="1" si="17"/>
        <v>0</v>
      </c>
      <c r="BI43" s="293">
        <f t="shared" ca="1" si="17"/>
        <v>0</v>
      </c>
      <c r="BJ43" s="293">
        <f t="shared" ca="1" si="17"/>
        <v>0</v>
      </c>
      <c r="BK43" s="293">
        <f t="shared" ca="1" si="17"/>
        <v>0</v>
      </c>
      <c r="BL43" s="293">
        <f t="shared" ca="1" si="17"/>
        <v>0</v>
      </c>
      <c r="BM43" s="293">
        <f t="shared" ca="1" si="17"/>
        <v>0</v>
      </c>
      <c r="BN43" s="1106"/>
      <c r="BO43" s="1106"/>
      <c r="BP43" s="1106"/>
      <c r="BQ43" s="167"/>
      <c r="BR43" s="167"/>
      <c r="BS43" s="883" t="s">
        <v>1195</v>
      </c>
    </row>
    <row r="44" spans="1:71" s="1057" customFormat="1" ht="16.5" customHeight="1">
      <c r="A44" s="165"/>
      <c r="B44" s="718"/>
      <c r="C44" s="165"/>
      <c r="D44" s="165"/>
      <c r="E44" s="623">
        <v>17</v>
      </c>
      <c r="F44" s="714" t="str">
        <f t="shared" ca="1" si="13"/>
        <v>1</v>
      </c>
      <c r="G44" s="130" t="s">
        <v>821</v>
      </c>
      <c r="H44" s="167"/>
      <c r="I44" s="167"/>
      <c r="J44" s="167"/>
      <c r="K44" s="167"/>
      <c r="L44" s="167"/>
      <c r="M44" s="167"/>
      <c r="N44" s="167"/>
      <c r="O44" s="167"/>
      <c r="P44" s="167"/>
      <c r="Q44" s="130"/>
      <c r="R44" s="130"/>
      <c r="S44" s="167"/>
      <c r="T44" s="634" t="b">
        <f>T43</f>
        <v>1</v>
      </c>
      <c r="U44" s="165"/>
      <c r="V44" s="165"/>
      <c r="W44" s="165"/>
      <c r="X44" s="1505"/>
      <c r="Y44" s="165"/>
      <c r="Z44" s="1505"/>
      <c r="AA44" s="167"/>
      <c r="AB44" s="222" t="s">
        <v>534</v>
      </c>
      <c r="AC44" s="572" t="s">
        <v>822</v>
      </c>
      <c r="AD44" s="111" t="s">
        <v>837</v>
      </c>
      <c r="AE44" s="430">
        <f ca="1">SUMIFS('ХВС, ТН'!AE$26:AE$56,'ХВС, ТН'!$F$26:$F$56,$F44,'ХВС, ТН'!$G$26:$G$56,$G44)</f>
        <v>0</v>
      </c>
      <c r="AF44" s="430">
        <f ca="1">SUMIFS('ХВС, ТН'!AF$26:AF$56,'ХВС, ТН'!$F$26:$F$56,$F44,'ХВС, ТН'!$G$26:$G$56,$G44)</f>
        <v>0</v>
      </c>
      <c r="AG44" s="430">
        <f ca="1">SUMIFS('ХВС, ТН'!AG$26:AG$56,'ХВС, ТН'!$F$26:$F$56,$F44,'ХВС, ТН'!$G$26:$G$56,$G44)</f>
        <v>0</v>
      </c>
      <c r="AH44" s="293">
        <f t="shared" ca="1" si="15"/>
        <v>0</v>
      </c>
      <c r="AI44" s="430">
        <f ca="1">SUMIFS('ХВС, ТН'!AH$26:AH$56,'ХВС, ТН'!$F$26:$F$56,$F44,'ХВС, ТН'!$G$26:$G$56,$G44)</f>
        <v>0</v>
      </c>
      <c r="AJ44" s="430">
        <f ca="1">SUMIFS('ХВС, ТН'!AI$26:AI$56,'ХВС, ТН'!$F$26:$F$56,$F44,'ХВС, ТН'!$G$26:$G$56,$G44)</f>
        <v>0</v>
      </c>
      <c r="AK44" s="430">
        <f ca="1">SUMIFS('ХВС, ТН'!AJ$26:AJ$56,'ХВС, ТН'!$F$26:$F$56,$F44,'ХВС, ТН'!$G$26:$G$56,$G44)</f>
        <v>0</v>
      </c>
      <c r="AL44" s="430">
        <f ca="1">SUMIFS('ХВС, ТН'!AK$26:AK$56,'ХВС, ТН'!$F$26:$F$56,$F44,'ХВС, ТН'!$G$26:$G$56,$G44)</f>
        <v>0</v>
      </c>
      <c r="AM44" s="430">
        <f ca="1">SUMIFS('ХВС, ТН'!AL$26:AL$56,'ХВС, ТН'!$F$26:$F$56,$F44,'ХВС, ТН'!$G$26:$G$56,$G44)</f>
        <v>0</v>
      </c>
      <c r="AN44" s="430">
        <f ca="1">SUMIFS('ХВС, ТН'!AM$26:AM$56,'ХВС, ТН'!$F$26:$F$56,$F44,'ХВС, ТН'!$G$26:$G$56,$G44)</f>
        <v>0</v>
      </c>
      <c r="AO44" s="430">
        <f ca="1">SUMIFS('ХВС, ТН'!AN$26:AN$56,'ХВС, ТН'!$F$26:$F$56,$F44,'ХВС, ТН'!$G$26:$G$56,$G44)</f>
        <v>0</v>
      </c>
      <c r="AP44" s="430">
        <f ca="1">SUMIFS('ХВС, ТН'!AO$26:AO$56,'ХВС, ТН'!$F$26:$F$56,$F44,'ХВС, ТН'!$G$26:$G$56,$G44)</f>
        <v>0</v>
      </c>
      <c r="AQ44" s="430">
        <f ca="1">SUMIFS('ХВС, ТН'!AP$26:AP$56,'ХВС, ТН'!$F$26:$F$56,$F44,'ХВС, ТН'!$G$26:$G$56,$G44)</f>
        <v>0</v>
      </c>
      <c r="AR44" s="430">
        <f ca="1">SUMIFS('ХВС, ТН'!AQ$26:AQ$56,'ХВС, ТН'!$F$26:$F$56,$F44,'ХВС, ТН'!$G$26:$G$56,$G44)</f>
        <v>0</v>
      </c>
      <c r="AS44" s="430">
        <f ca="1">SUMIFS('ХВС, ТН'!AR$26:AR$56,'ХВС, ТН'!$F$26:$F$56,$F44,'ХВС, ТН'!$G$26:$G$56,$G44)</f>
        <v>0</v>
      </c>
      <c r="AT44" s="430">
        <f ca="1">SUMIFS('ХВС, ТН'!AS$26:AS$56,'ХВС, ТН'!$F$26:$F$56,$F44,'ХВС, ТН'!$G$26:$G$56,$G44)</f>
        <v>0</v>
      </c>
      <c r="AU44" s="430">
        <f ca="1">SUMIFS('ХВС, ТН'!AT$26:AT$56,'ХВС, ТН'!$F$26:$F$56,$F44,'ХВС, ТН'!$G$26:$G$56,$G44)</f>
        <v>0</v>
      </c>
      <c r="AV44" s="430">
        <f ca="1">SUMIFS('ХВС, ТН'!AU$26:AU$56,'ХВС, ТН'!$F$26:$F$56,$F44,'ХВС, ТН'!$G$26:$G$56,$G44)</f>
        <v>0</v>
      </c>
      <c r="AW44" s="430">
        <f ca="1">SUMIFS('ХВС, ТН'!AV$26:AV$56,'ХВС, ТН'!$F$26:$F$56,$F44,'ХВС, ТН'!$G$26:$G$56,$G44)</f>
        <v>0</v>
      </c>
      <c r="AX44" s="430">
        <f ca="1">SUMIFS('ХВС, ТН'!AW$26:AW$56,'ХВС, ТН'!$F$26:$F$56,$F44,'ХВС, ТН'!$G$26:$G$56,$G44)</f>
        <v>0</v>
      </c>
      <c r="AY44" s="430">
        <f ca="1">SUMIFS('ХВС, ТН'!AX$26:AX$56,'ХВС, ТН'!$F$26:$F$56,$F44,'ХВС, ТН'!$G$26:$G$56,$G44)</f>
        <v>0</v>
      </c>
      <c r="AZ44" s="430">
        <f ca="1">SUMIFS('ХВС, ТН'!AY$26:AY$56,'ХВС, ТН'!$F$26:$F$56,$F44,'ХВС, ТН'!$G$26:$G$56,$G44)</f>
        <v>0</v>
      </c>
      <c r="BA44" s="430">
        <f ca="1">SUMIFS('ХВС, ТН'!AZ$26:AZ$56,'ХВС, ТН'!$F$26:$F$56,$F44,'ХВС, ТН'!$G$26:$G$56,$G44)</f>
        <v>0</v>
      </c>
      <c r="BB44" s="430">
        <f ca="1">SUMIFS('ХВС, ТН'!BA$26:BA$56,'ХВС, ТН'!$F$26:$F$56,$F44,'ХВС, ТН'!$G$26:$G$56,$G44)</f>
        <v>0</v>
      </c>
      <c r="BC44" s="430">
        <f ca="1">SUMIFS('ХВС, ТН'!BB$26:BB$56,'ХВС, ТН'!$F$26:$F$56,$F44,'ХВС, ТН'!$G$26:$G$56,$G44)</f>
        <v>0</v>
      </c>
      <c r="BD44" s="293">
        <f t="shared" ca="1" si="16"/>
        <v>0</v>
      </c>
      <c r="BE44" s="293">
        <f t="shared" ca="1" si="17"/>
        <v>0</v>
      </c>
      <c r="BF44" s="293">
        <f t="shared" ca="1" si="17"/>
        <v>0</v>
      </c>
      <c r="BG44" s="293">
        <f t="shared" ca="1" si="17"/>
        <v>0</v>
      </c>
      <c r="BH44" s="293">
        <f t="shared" ca="1" si="17"/>
        <v>0</v>
      </c>
      <c r="BI44" s="293">
        <f t="shared" ca="1" si="17"/>
        <v>0</v>
      </c>
      <c r="BJ44" s="293">
        <f t="shared" ca="1" si="17"/>
        <v>0</v>
      </c>
      <c r="BK44" s="293">
        <f t="shared" ca="1" si="17"/>
        <v>0</v>
      </c>
      <c r="BL44" s="293">
        <f t="shared" ca="1" si="17"/>
        <v>0</v>
      </c>
      <c r="BM44" s="293">
        <f t="shared" ca="1" si="17"/>
        <v>0</v>
      </c>
      <c r="BN44" s="1106"/>
      <c r="BO44" s="1106"/>
      <c r="BP44" s="1106"/>
      <c r="BQ44" s="167"/>
      <c r="BR44" s="167"/>
      <c r="BS44" s="883" t="s">
        <v>1196</v>
      </c>
    </row>
    <row r="45" spans="1:71" s="1057" customFormat="1" ht="16.5" customHeight="1">
      <c r="A45" s="165"/>
      <c r="B45" s="718"/>
      <c r="C45" s="165"/>
      <c r="D45" s="165"/>
      <c r="E45" s="623">
        <v>17</v>
      </c>
      <c r="F45" s="714" t="str">
        <f t="shared" ca="1" si="13"/>
        <v>1</v>
      </c>
      <c r="G45" s="130" t="s">
        <v>1197</v>
      </c>
      <c r="H45" s="167"/>
      <c r="I45" s="167"/>
      <c r="J45" s="167"/>
      <c r="K45" s="167"/>
      <c r="L45" s="167"/>
      <c r="M45" s="167"/>
      <c r="N45" s="167"/>
      <c r="O45" s="167"/>
      <c r="P45" s="167"/>
      <c r="Q45" s="130"/>
      <c r="R45" s="130"/>
      <c r="S45" s="167"/>
      <c r="T45" s="634" t="b">
        <f>T44</f>
        <v>1</v>
      </c>
      <c r="U45" s="165"/>
      <c r="V45" s="165"/>
      <c r="W45" s="165"/>
      <c r="X45" s="1505"/>
      <c r="Y45" s="165"/>
      <c r="Z45" s="1505"/>
      <c r="AA45" s="167"/>
      <c r="AB45" s="250" t="s">
        <v>541</v>
      </c>
      <c r="AC45" s="509" t="s">
        <v>1179</v>
      </c>
      <c r="AD45" s="512" t="s">
        <v>837</v>
      </c>
      <c r="AE45" s="513">
        <f ca="1">AE39+AE40+AE41+AE43+AE44</f>
        <v>3437.5138216700002</v>
      </c>
      <c r="AF45" s="513">
        <f ca="1">AF39+AF40+AF41+AF43+AF44</f>
        <v>3439.0210000000002</v>
      </c>
      <c r="AG45" s="513">
        <f ca="1">AG39+AG40+AG41+AG43+AG44</f>
        <v>3439.02</v>
      </c>
      <c r="AH45" s="513">
        <f t="shared" ca="1" si="15"/>
        <v>-1.0000000002037268E-3</v>
      </c>
      <c r="AI45" s="513">
        <f t="shared" ref="AI45:BC45" ca="1" si="18">AI39+AI40+AI41+AI43+AI44</f>
        <v>3891.6045094000006</v>
      </c>
      <c r="AJ45" s="513">
        <f t="shared" ca="1" si="18"/>
        <v>4362.83</v>
      </c>
      <c r="AK45" s="513">
        <f t="shared" ca="1" si="18"/>
        <v>0</v>
      </c>
      <c r="AL45" s="513">
        <f t="shared" ca="1" si="18"/>
        <v>0</v>
      </c>
      <c r="AM45" s="513">
        <f t="shared" ca="1" si="18"/>
        <v>0</v>
      </c>
      <c r="AN45" s="513">
        <f t="shared" ca="1" si="18"/>
        <v>0</v>
      </c>
      <c r="AO45" s="513">
        <f t="shared" ca="1" si="18"/>
        <v>0</v>
      </c>
      <c r="AP45" s="513">
        <f t="shared" ca="1" si="18"/>
        <v>0</v>
      </c>
      <c r="AQ45" s="513">
        <f t="shared" ca="1" si="18"/>
        <v>0</v>
      </c>
      <c r="AR45" s="513">
        <f t="shared" ca="1" si="18"/>
        <v>0</v>
      </c>
      <c r="AS45" s="513">
        <f t="shared" ca="1" si="18"/>
        <v>0</v>
      </c>
      <c r="AT45" s="513">
        <f t="shared" ca="1" si="18"/>
        <v>4302.093613</v>
      </c>
      <c r="AU45" s="513">
        <f t="shared" ca="1" si="18"/>
        <v>0</v>
      </c>
      <c r="AV45" s="513">
        <f t="shared" ca="1" si="18"/>
        <v>0</v>
      </c>
      <c r="AW45" s="513">
        <f t="shared" ca="1" si="18"/>
        <v>0</v>
      </c>
      <c r="AX45" s="513">
        <f t="shared" ca="1" si="18"/>
        <v>0</v>
      </c>
      <c r="AY45" s="513">
        <f t="shared" ca="1" si="18"/>
        <v>0</v>
      </c>
      <c r="AZ45" s="513">
        <f t="shared" ca="1" si="18"/>
        <v>0</v>
      </c>
      <c r="BA45" s="513">
        <f t="shared" ca="1" si="18"/>
        <v>0</v>
      </c>
      <c r="BB45" s="513">
        <f t="shared" ca="1" si="18"/>
        <v>0</v>
      </c>
      <c r="BC45" s="513">
        <f t="shared" ca="1" si="18"/>
        <v>0</v>
      </c>
      <c r="BD45" s="513">
        <f t="shared" ca="1" si="16"/>
        <v>10.548068350945758</v>
      </c>
      <c r="BE45" s="513">
        <f t="shared" ca="1" si="17"/>
        <v>-100</v>
      </c>
      <c r="BF45" s="513">
        <f t="shared" ca="1" si="17"/>
        <v>0</v>
      </c>
      <c r="BG45" s="513">
        <f t="shared" ca="1" si="17"/>
        <v>0</v>
      </c>
      <c r="BH45" s="513">
        <f t="shared" ca="1" si="17"/>
        <v>0</v>
      </c>
      <c r="BI45" s="513">
        <f t="shared" ca="1" si="17"/>
        <v>0</v>
      </c>
      <c r="BJ45" s="513">
        <f t="shared" ca="1" si="17"/>
        <v>0</v>
      </c>
      <c r="BK45" s="513">
        <f t="shared" ca="1" si="17"/>
        <v>0</v>
      </c>
      <c r="BL45" s="513">
        <f t="shared" ca="1" si="17"/>
        <v>0</v>
      </c>
      <c r="BM45" s="513">
        <f t="shared" ca="1" si="17"/>
        <v>0</v>
      </c>
      <c r="BN45" s="1193"/>
      <c r="BO45" s="1193"/>
      <c r="BP45" s="1193"/>
      <c r="BQ45" s="167"/>
      <c r="BR45" s="167"/>
      <c r="BS45" s="883" t="s">
        <v>1180</v>
      </c>
    </row>
    <row r="46" spans="1:71" s="1057" customFormat="1" ht="16.5" hidden="1" customHeight="1">
      <c r="A46" s="165"/>
      <c r="B46" s="718"/>
      <c r="C46" s="165"/>
      <c r="D46" s="165"/>
      <c r="E46" s="623">
        <v>17</v>
      </c>
      <c r="F46" s="714" t="str">
        <f t="shared" ca="1" si="13"/>
        <v>1</v>
      </c>
      <c r="G46" s="130" t="s">
        <v>780</v>
      </c>
      <c r="H46" s="167"/>
      <c r="I46" s="167"/>
      <c r="J46" s="167"/>
      <c r="K46" s="167"/>
      <c r="L46" s="167"/>
      <c r="M46" s="167"/>
      <c r="N46" s="167"/>
      <c r="O46" s="167"/>
      <c r="P46" s="167"/>
      <c r="Q46" s="130"/>
      <c r="R46" s="130" t="s">
        <v>781</v>
      </c>
      <c r="S46" s="167"/>
      <c r="T46" s="634" t="b">
        <f>T42</f>
        <v>0</v>
      </c>
      <c r="U46" s="165"/>
      <c r="V46" s="165"/>
      <c r="W46" s="165"/>
      <c r="X46" s="1505"/>
      <c r="Y46" s="165"/>
      <c r="Z46" s="1505"/>
      <c r="AA46" s="167"/>
      <c r="AB46" s="111" t="s">
        <v>544</v>
      </c>
      <c r="AC46" s="511" t="s">
        <v>783</v>
      </c>
      <c r="AD46" s="93" t="s">
        <v>648</v>
      </c>
      <c r="AE46" s="293">
        <f ca="1">SUM(AE39,AE42)</f>
        <v>0</v>
      </c>
      <c r="AF46" s="293">
        <f ca="1">SUM(AF39,AF42)</f>
        <v>0</v>
      </c>
      <c r="AG46" s="293">
        <f ca="1">SUM(AG39,AG42)</f>
        <v>0</v>
      </c>
      <c r="AH46" s="293">
        <f t="shared" ca="1" si="15"/>
        <v>0</v>
      </c>
      <c r="AI46" s="293">
        <f t="shared" ref="AI46:BC46" ca="1" si="19">SUM(AI39,AI42)</f>
        <v>0</v>
      </c>
      <c r="AJ46" s="293">
        <f t="shared" ca="1" si="19"/>
        <v>0</v>
      </c>
      <c r="AK46" s="293">
        <f t="shared" ca="1" si="19"/>
        <v>0</v>
      </c>
      <c r="AL46" s="293">
        <f t="shared" ca="1" si="19"/>
        <v>0</v>
      </c>
      <c r="AM46" s="293">
        <f t="shared" ca="1" si="19"/>
        <v>0</v>
      </c>
      <c r="AN46" s="293">
        <f t="shared" ca="1" si="19"/>
        <v>0</v>
      </c>
      <c r="AO46" s="293">
        <f t="shared" ca="1" si="19"/>
        <v>0</v>
      </c>
      <c r="AP46" s="293">
        <f t="shared" ca="1" si="19"/>
        <v>0</v>
      </c>
      <c r="AQ46" s="293">
        <f t="shared" ca="1" si="19"/>
        <v>0</v>
      </c>
      <c r="AR46" s="293">
        <f t="shared" ca="1" si="19"/>
        <v>0</v>
      </c>
      <c r="AS46" s="293">
        <f t="shared" ca="1" si="19"/>
        <v>0</v>
      </c>
      <c r="AT46" s="293">
        <f t="shared" ca="1" si="19"/>
        <v>0</v>
      </c>
      <c r="AU46" s="293">
        <f t="shared" ca="1" si="19"/>
        <v>0</v>
      </c>
      <c r="AV46" s="293">
        <f t="shared" ca="1" si="19"/>
        <v>0</v>
      </c>
      <c r="AW46" s="293">
        <f t="shared" ca="1" si="19"/>
        <v>0</v>
      </c>
      <c r="AX46" s="293">
        <f t="shared" ca="1" si="19"/>
        <v>0</v>
      </c>
      <c r="AY46" s="293">
        <f t="shared" ca="1" si="19"/>
        <v>0</v>
      </c>
      <c r="AZ46" s="293">
        <f t="shared" ca="1" si="19"/>
        <v>0</v>
      </c>
      <c r="BA46" s="293">
        <f t="shared" ca="1" si="19"/>
        <v>0</v>
      </c>
      <c r="BB46" s="293">
        <f t="shared" ca="1" si="19"/>
        <v>0</v>
      </c>
      <c r="BC46" s="293">
        <f t="shared" ca="1" si="19"/>
        <v>0</v>
      </c>
      <c r="BD46" s="293">
        <f t="shared" ca="1" si="16"/>
        <v>0</v>
      </c>
      <c r="BE46" s="293">
        <f t="shared" ca="1" si="17"/>
        <v>0</v>
      </c>
      <c r="BF46" s="293">
        <f t="shared" ca="1" si="17"/>
        <v>0</v>
      </c>
      <c r="BG46" s="293">
        <f t="shared" ca="1" si="17"/>
        <v>0</v>
      </c>
      <c r="BH46" s="293">
        <f t="shared" ca="1" si="17"/>
        <v>0</v>
      </c>
      <c r="BI46" s="293">
        <f t="shared" ca="1" si="17"/>
        <v>0</v>
      </c>
      <c r="BJ46" s="293">
        <f t="shared" ca="1" si="17"/>
        <v>0</v>
      </c>
      <c r="BK46" s="293">
        <f t="shared" ca="1" si="17"/>
        <v>0</v>
      </c>
      <c r="BL46" s="293">
        <f t="shared" ca="1" si="17"/>
        <v>0</v>
      </c>
      <c r="BM46" s="293">
        <f t="shared" ca="1" si="17"/>
        <v>0</v>
      </c>
      <c r="BN46" s="45"/>
      <c r="BO46" s="45"/>
      <c r="BP46" s="45"/>
      <c r="BQ46" s="167"/>
      <c r="BR46" s="167"/>
      <c r="BS46" s="883" t="s">
        <v>1198</v>
      </c>
    </row>
    <row r="47" spans="1:71" ht="9.9499999999999993" customHeight="1">
      <c r="E47" s="623">
        <v>10.199999999999999</v>
      </c>
      <c r="U47" s="116" t="s">
        <v>172</v>
      </c>
      <c r="V47" s="109" t="s">
        <v>1199</v>
      </c>
      <c r="BS47" s="883"/>
    </row>
    <row r="48" spans="1:71" ht="11.25" hidden="1" customHeight="1">
      <c r="E48" s="623">
        <v>0</v>
      </c>
    </row>
    <row r="49" spans="5:68" ht="14.65" customHeight="1">
      <c r="E49" s="623">
        <v>15</v>
      </c>
      <c r="AB49" s="1476" t="s">
        <v>557</v>
      </c>
      <c r="AC49" s="1476"/>
      <c r="AD49" s="1476"/>
      <c r="AE49" s="1476"/>
      <c r="AF49" s="1476"/>
      <c r="AG49" s="1476"/>
      <c r="AH49" s="1476"/>
      <c r="AI49" s="1476"/>
      <c r="AJ49" s="1476"/>
      <c r="AK49" s="1476"/>
      <c r="AL49" s="1476"/>
      <c r="AM49" s="1476"/>
      <c r="AN49" s="1476"/>
      <c r="AO49" s="1476"/>
      <c r="AP49" s="1476"/>
      <c r="AQ49" s="1476"/>
      <c r="AR49" s="1476"/>
      <c r="AS49" s="1476"/>
      <c r="AT49" s="1476"/>
      <c r="AU49" s="1476"/>
      <c r="AV49" s="1476"/>
      <c r="AW49" s="1476"/>
      <c r="AX49" s="1476"/>
      <c r="AY49" s="1476"/>
      <c r="AZ49" s="1476"/>
      <c r="BA49" s="1476"/>
      <c r="BB49" s="1476"/>
      <c r="BC49" s="1476"/>
      <c r="BD49" s="1476"/>
      <c r="BE49" s="1476"/>
      <c r="BF49" s="1476"/>
      <c r="BG49" s="1476"/>
      <c r="BH49" s="1476"/>
      <c r="BI49" s="1476"/>
      <c r="BJ49" s="1476"/>
      <c r="BK49" s="1476"/>
      <c r="BL49" s="1476"/>
      <c r="BM49" s="1476"/>
      <c r="BN49" s="1476"/>
      <c r="BO49" s="1476"/>
      <c r="BP49" s="1476"/>
    </row>
    <row r="50" spans="5:68" ht="14.65" customHeight="1">
      <c r="E50" s="623">
        <v>15</v>
      </c>
      <c r="AA50" s="713"/>
      <c r="AB50" s="1500"/>
      <c r="AC50" s="1495"/>
      <c r="AD50" s="1495"/>
      <c r="AE50" s="1495"/>
      <c r="AF50" s="1495"/>
      <c r="AG50" s="1495"/>
      <c r="AH50" s="1495"/>
      <c r="AI50" s="1495"/>
      <c r="AJ50" s="1495"/>
      <c r="AK50" s="1495"/>
      <c r="AL50" s="1495"/>
      <c r="AM50" s="1495"/>
      <c r="AN50" s="1495"/>
      <c r="AO50" s="1495"/>
      <c r="AP50" s="1495"/>
      <c r="AQ50" s="1495"/>
      <c r="AR50" s="1495"/>
      <c r="AS50" s="1495"/>
      <c r="AT50" s="1495"/>
      <c r="AU50" s="1495"/>
      <c r="AV50" s="1495"/>
      <c r="AW50" s="1495"/>
      <c r="AX50" s="1495"/>
      <c r="AY50" s="1495"/>
      <c r="AZ50" s="1495"/>
      <c r="BA50" s="1495"/>
      <c r="BB50" s="1495"/>
      <c r="BC50" s="1495"/>
      <c r="BD50" s="1495"/>
      <c r="BE50" s="1495"/>
      <c r="BF50" s="1495"/>
      <c r="BG50" s="1495"/>
      <c r="BH50" s="1495"/>
      <c r="BI50" s="1495"/>
      <c r="BJ50" s="1495"/>
      <c r="BK50" s="1495"/>
      <c r="BL50" s="1495"/>
      <c r="BM50" s="1495"/>
      <c r="BN50" s="1495"/>
      <c r="BO50" s="1495"/>
      <c r="BP50" s="1495"/>
    </row>
    <row r="51" spans="5:68" ht="14.65" hidden="1" customHeight="1">
      <c r="E51" s="623">
        <v>15</v>
      </c>
      <c r="T51" s="634" t="b">
        <f>ROW(W51)&gt;ROW(W$51)</f>
        <v>0</v>
      </c>
      <c r="U51" s="113"/>
      <c r="V51" s="113"/>
      <c r="W51" s="113" t="s">
        <v>170</v>
      </c>
      <c r="X51" s="113"/>
      <c r="Y51" s="113"/>
      <c r="Z51" s="113"/>
      <c r="AA51" s="709" t="s">
        <v>157</v>
      </c>
      <c r="AB51" s="1494"/>
      <c r="AC51" s="1495"/>
      <c r="AD51" s="1495"/>
      <c r="AE51" s="1495"/>
      <c r="AF51" s="1495"/>
      <c r="AG51" s="1495"/>
      <c r="AH51" s="1495"/>
      <c r="AI51" s="1495"/>
      <c r="AJ51" s="1495"/>
      <c r="AK51" s="1495"/>
      <c r="AL51" s="1495"/>
      <c r="AM51" s="1495"/>
      <c r="AN51" s="1495"/>
      <c r="AO51" s="1495"/>
      <c r="AP51" s="1495"/>
      <c r="AQ51" s="1495"/>
      <c r="AR51" s="1495"/>
      <c r="AS51" s="1495"/>
      <c r="AT51" s="1495"/>
      <c r="AU51" s="1495"/>
      <c r="AV51" s="1495"/>
      <c r="AW51" s="1495"/>
      <c r="AX51" s="1495"/>
      <c r="AY51" s="1495"/>
      <c r="AZ51" s="1495"/>
      <c r="BA51" s="1495"/>
      <c r="BB51" s="1495"/>
      <c r="BC51" s="1495"/>
      <c r="BD51" s="1495"/>
      <c r="BE51" s="1495"/>
      <c r="BF51" s="1495"/>
      <c r="BG51" s="1495"/>
      <c r="BH51" s="1495"/>
      <c r="BI51" s="1495"/>
      <c r="BJ51" s="1495"/>
      <c r="BK51" s="1495"/>
      <c r="BL51" s="1495"/>
      <c r="BM51" s="1495"/>
      <c r="BN51" s="1495"/>
      <c r="BO51" s="1495"/>
      <c r="BP51" s="1495"/>
    </row>
    <row r="52" spans="5:68" ht="14.65" customHeight="1">
      <c r="E52" s="623">
        <v>15</v>
      </c>
      <c r="T52" s="113"/>
      <c r="U52" s="113"/>
      <c r="V52" s="113"/>
      <c r="W52" s="109" t="s">
        <v>171</v>
      </c>
      <c r="X52" s="113"/>
      <c r="Y52" s="113"/>
      <c r="Z52" s="113"/>
      <c r="AA52" s="150"/>
      <c r="AB52" s="1420" t="s">
        <v>558</v>
      </c>
      <c r="AC52" s="1421"/>
      <c r="AD52" s="299"/>
      <c r="AE52" s="299"/>
      <c r="AF52" s="299"/>
      <c r="AG52" s="299"/>
      <c r="AH52" s="299"/>
      <c r="AI52" s="299"/>
      <c r="AJ52" s="299"/>
      <c r="AK52" s="299"/>
      <c r="AL52" s="299"/>
      <c r="AM52" s="299"/>
      <c r="AN52" s="299"/>
      <c r="AO52" s="299"/>
      <c r="AP52" s="299"/>
      <c r="AQ52" s="299"/>
      <c r="AR52" s="299"/>
      <c r="AS52" s="299"/>
      <c r="AT52" s="299"/>
      <c r="AU52" s="299"/>
      <c r="AV52" s="299"/>
      <c r="AW52" s="299"/>
      <c r="AX52" s="299"/>
      <c r="AY52" s="299"/>
      <c r="AZ52" s="299"/>
      <c r="BA52" s="299"/>
      <c r="BB52" s="299"/>
      <c r="BC52" s="299"/>
      <c r="BD52" s="299"/>
      <c r="BE52" s="299"/>
      <c r="BF52" s="299"/>
      <c r="BG52" s="299"/>
      <c r="BH52" s="299"/>
      <c r="BI52" s="299"/>
      <c r="BJ52" s="299"/>
      <c r="BK52" s="299"/>
      <c r="BL52" s="299"/>
      <c r="BM52" s="299"/>
      <c r="BN52" s="299"/>
      <c r="BO52" s="299"/>
      <c r="BP52" s="271"/>
    </row>
  </sheetData>
  <sheetProtection formatColumns="0" formatRows="0" insertRows="0" deleteColumns="0" deleteRows="0" sort="0" autoFilter="0"/>
  <mergeCells count="17">
    <mergeCell ref="X27:X36"/>
    <mergeCell ref="Z27:Z36"/>
    <mergeCell ref="AB49:BP49"/>
    <mergeCell ref="AB50:BP50"/>
    <mergeCell ref="AB52:AC52"/>
    <mergeCell ref="AB38:AC38"/>
    <mergeCell ref="X37:X46"/>
    <mergeCell ref="Z37:Z46"/>
    <mergeCell ref="BP24:BP25"/>
    <mergeCell ref="BD25:BM25"/>
    <mergeCell ref="AB28:AC28"/>
    <mergeCell ref="AB51:BP51"/>
    <mergeCell ref="AB24:AB25"/>
    <mergeCell ref="AC24:AC25"/>
    <mergeCell ref="AD24:AD25"/>
    <mergeCell ref="BN24:BN25"/>
    <mergeCell ref="BO24:BO25"/>
  </mergeCell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heetPr>
  <dimension ref="A1:AZ122"/>
  <sheetViews>
    <sheetView showGridLines="0" topLeftCell="AA99" workbookViewId="0">
      <selection activeCell="AG115" sqref="AG115"/>
    </sheetView>
  </sheetViews>
  <sheetFormatPr defaultColWidth="9.140625" defaultRowHeight="11.25" customHeight="1"/>
  <cols>
    <col min="1" max="1" width="3.5703125" style="1016" hidden="1" customWidth="1"/>
    <col min="2" max="2" width="8.5703125" style="718" hidden="1" customWidth="1"/>
    <col min="3" max="4" width="3.5703125" style="1016" hidden="1" customWidth="1"/>
    <col min="5" max="5" width="8.42578125" style="717" hidden="1" customWidth="1"/>
    <col min="6" max="6" width="3.5703125" style="1016" hidden="1" customWidth="1"/>
    <col min="7" max="16" width="3.5703125" style="750" hidden="1" customWidth="1"/>
    <col min="17" max="18" width="3.5703125" style="719" hidden="1" customWidth="1"/>
    <col min="19" max="19" width="3.5703125" style="750" hidden="1" customWidth="1"/>
    <col min="20" max="20" width="8.28515625" style="1016" hidden="1" customWidth="1"/>
    <col min="21" max="21" width="6" style="1016" hidden="1" customWidth="1"/>
    <col min="22" max="23" width="6.28515625" style="1016" hidden="1" customWidth="1"/>
    <col min="24" max="25" width="5.7109375" style="1016" hidden="1" customWidth="1"/>
    <col min="26" max="26" width="5.42578125" style="1016" hidden="1" customWidth="1"/>
    <col min="27" max="27" width="3" style="726" customWidth="1"/>
    <col min="28" max="28" width="15" style="755" customWidth="1"/>
    <col min="29" max="29" width="65.28515625" style="755" customWidth="1"/>
    <col min="30" max="30" width="25" style="755" customWidth="1"/>
    <col min="31" max="33" width="19.28515625" style="755" customWidth="1"/>
    <col min="34" max="34" width="18.5703125" style="424" customWidth="1"/>
    <col min="35" max="38" width="19.28515625" style="424" hidden="1" customWidth="1"/>
    <col min="39" max="40" width="19.28515625" style="424" customWidth="1"/>
    <col min="41" max="44" width="19.28515625" style="424" hidden="1" customWidth="1"/>
    <col min="45" max="46" width="19.28515625" style="424" customWidth="1"/>
    <col min="47" max="47" width="57.42578125" style="424" customWidth="1"/>
    <col min="48" max="48" width="3" style="424" customWidth="1"/>
    <col min="49" max="51" width="9.140625" style="424" hidden="1"/>
    <col min="52" max="52" width="9.140625" style="956" hidden="1"/>
  </cols>
  <sheetData>
    <row r="1" spans="1:52" s="1016" customFormat="1" ht="12" hidden="1" customHeight="1">
      <c r="B1" s="614"/>
      <c r="E1" s="614"/>
      <c r="F1" s="735" t="s">
        <v>77</v>
      </c>
      <c r="G1" s="563"/>
      <c r="H1" s="563"/>
      <c r="I1" s="563"/>
      <c r="J1" s="563"/>
      <c r="K1" s="563"/>
      <c r="L1" s="563"/>
      <c r="M1" s="563"/>
      <c r="N1" s="563"/>
      <c r="O1" s="563"/>
      <c r="P1" s="563"/>
      <c r="Q1" s="566"/>
      <c r="R1" s="566"/>
      <c r="S1" s="563"/>
      <c r="T1" s="634" t="s">
        <v>78</v>
      </c>
      <c r="U1" s="634" t="s">
        <v>83</v>
      </c>
      <c r="V1" s="634" t="s">
        <v>79</v>
      </c>
      <c r="W1" s="634" t="s">
        <v>80</v>
      </c>
      <c r="X1" s="634" t="s">
        <v>81</v>
      </c>
      <c r="Y1" s="645" t="s">
        <v>274</v>
      </c>
      <c r="Z1" s="634" t="s">
        <v>85</v>
      </c>
      <c r="AA1" s="645" t="s">
        <v>82</v>
      </c>
      <c r="AB1" s="645" t="s">
        <v>84</v>
      </c>
      <c r="AZ1" s="902" t="s">
        <v>275</v>
      </c>
    </row>
    <row r="2" spans="1:52" s="718" customFormat="1" ht="12" hidden="1" customHeight="1">
      <c r="B2" s="703" t="s">
        <v>15</v>
      </c>
      <c r="G2" s="721"/>
      <c r="H2" s="721"/>
      <c r="I2" s="721"/>
      <c r="J2" s="721"/>
      <c r="K2" s="721"/>
      <c r="L2" s="721"/>
      <c r="M2" s="721"/>
      <c r="N2" s="721"/>
      <c r="O2" s="721"/>
      <c r="P2" s="721"/>
      <c r="Q2" s="721"/>
      <c r="R2" s="721"/>
      <c r="S2" s="721"/>
      <c r="AH2" s="635" t="b">
        <f>AH6&lt;=last_year_vis</f>
        <v>1</v>
      </c>
      <c r="AI2" s="635" t="b">
        <f>AI6&lt;=last_year_vis</f>
        <v>0</v>
      </c>
      <c r="AJ2" s="635" t="b">
        <f>AJ6&lt;=last_year_vis</f>
        <v>0</v>
      </c>
      <c r="AK2" s="635" t="b">
        <f>AK6&lt;=last_year_vis</f>
        <v>0</v>
      </c>
      <c r="AL2" s="635" t="b">
        <f>AL6&lt;=last_year_vis</f>
        <v>0</v>
      </c>
      <c r="AM2" s="98"/>
      <c r="AN2" s="635" t="b">
        <f t="shared" ref="AN2:AT2" si="0">AN6&lt;=last_year_vis</f>
        <v>1</v>
      </c>
      <c r="AO2" s="635" t="b">
        <f t="shared" si="0"/>
        <v>0</v>
      </c>
      <c r="AP2" s="635" t="b">
        <f t="shared" si="0"/>
        <v>0</v>
      </c>
      <c r="AQ2" s="635" t="b">
        <f t="shared" si="0"/>
        <v>0</v>
      </c>
      <c r="AR2" s="635" t="b">
        <f t="shared" si="0"/>
        <v>0</v>
      </c>
      <c r="AS2" s="635" t="b">
        <f t="shared" si="0"/>
        <v>1</v>
      </c>
      <c r="AT2" s="635" t="b">
        <f t="shared" si="0"/>
        <v>1</v>
      </c>
      <c r="AZ2" s="905"/>
    </row>
    <row r="3" spans="1:52" s="1016" customFormat="1" ht="12" hidden="1" customHeight="1">
      <c r="B3" s="614"/>
      <c r="E3" s="614"/>
      <c r="G3" s="563"/>
      <c r="H3" s="563"/>
      <c r="I3" s="563"/>
      <c r="J3" s="563"/>
      <c r="K3" s="563"/>
      <c r="L3" s="563"/>
      <c r="M3" s="563"/>
      <c r="N3" s="563"/>
      <c r="O3" s="563"/>
      <c r="P3" s="563"/>
      <c r="Q3" s="566"/>
      <c r="R3" s="566"/>
      <c r="S3" s="563"/>
      <c r="AZ3" s="902"/>
    </row>
    <row r="4" spans="1:52" s="1016" customFormat="1" ht="12" hidden="1" customHeight="1">
      <c r="B4" s="614"/>
      <c r="E4" s="614"/>
      <c r="G4" s="563"/>
      <c r="H4" s="563"/>
      <c r="I4" s="563"/>
      <c r="J4" s="563"/>
      <c r="K4" s="563"/>
      <c r="L4" s="563"/>
      <c r="M4" s="563"/>
      <c r="N4" s="563"/>
      <c r="O4" s="563"/>
      <c r="P4" s="563"/>
      <c r="Q4" s="566"/>
      <c r="R4" s="566"/>
      <c r="S4" s="563"/>
      <c r="AZ4" s="902"/>
    </row>
    <row r="5" spans="1:52" s="717" customFormat="1" ht="12" hidden="1" customHeight="1">
      <c r="A5" s="614"/>
      <c r="B5" s="614"/>
      <c r="C5" s="614"/>
      <c r="D5" s="614"/>
      <c r="E5" s="623" t="s">
        <v>16</v>
      </c>
      <c r="G5" s="722"/>
      <c r="H5" s="722"/>
      <c r="I5" s="722"/>
      <c r="J5" s="722"/>
      <c r="K5" s="722"/>
      <c r="L5" s="722"/>
      <c r="M5" s="722"/>
      <c r="N5" s="722"/>
      <c r="O5" s="722"/>
      <c r="P5" s="722"/>
      <c r="Q5" s="722"/>
      <c r="R5" s="722"/>
      <c r="S5" s="722"/>
      <c r="AA5" s="623">
        <v>3</v>
      </c>
      <c r="AB5" s="623">
        <v>15</v>
      </c>
      <c r="AC5" s="623">
        <v>65.25</v>
      </c>
      <c r="AD5" s="623">
        <v>25</v>
      </c>
      <c r="AE5" s="623">
        <v>19.25</v>
      </c>
      <c r="AF5" s="623">
        <v>19.25</v>
      </c>
      <c r="AG5" s="623">
        <v>19.25</v>
      </c>
      <c r="AH5" s="623">
        <v>18.63</v>
      </c>
      <c r="AI5" s="623">
        <v>19.25</v>
      </c>
      <c r="AJ5" s="623">
        <v>19.25</v>
      </c>
      <c r="AK5" s="623">
        <v>19.25</v>
      </c>
      <c r="AL5" s="623">
        <v>19.25</v>
      </c>
      <c r="AM5" s="623">
        <v>19.25</v>
      </c>
      <c r="AN5" s="623">
        <v>19.25</v>
      </c>
      <c r="AO5" s="623">
        <v>19.25</v>
      </c>
      <c r="AP5" s="623">
        <v>19.25</v>
      </c>
      <c r="AQ5" s="623">
        <v>19.25</v>
      </c>
      <c r="AR5" s="623">
        <v>19.25</v>
      </c>
      <c r="AS5" s="623">
        <v>19.25</v>
      </c>
      <c r="AT5" s="623">
        <v>19.25</v>
      </c>
      <c r="AU5" s="623">
        <v>57.38</v>
      </c>
      <c r="AV5" s="623">
        <v>3</v>
      </c>
      <c r="AZ5" s="905"/>
    </row>
    <row r="6" spans="1:52" s="1016" customFormat="1" ht="12" hidden="1" customHeight="1">
      <c r="B6" s="614"/>
      <c r="E6" s="623"/>
      <c r="G6" s="563"/>
      <c r="H6" s="563"/>
      <c r="I6" s="563"/>
      <c r="J6" s="563"/>
      <c r="K6" s="563"/>
      <c r="L6" s="563"/>
      <c r="M6" s="563"/>
      <c r="N6" s="563"/>
      <c r="O6" s="563"/>
      <c r="P6" s="563"/>
      <c r="Q6" s="566"/>
      <c r="R6" s="566"/>
      <c r="S6" s="563"/>
      <c r="AF6" s="98">
        <f>AF25</f>
        <v>2024</v>
      </c>
      <c r="AG6" s="98">
        <f>AG25</f>
        <v>2024</v>
      </c>
      <c r="AH6" s="98">
        <f>AJ70</f>
        <v>2026</v>
      </c>
      <c r="AI6" s="98">
        <f>AK70</f>
        <v>2027</v>
      </c>
      <c r="AJ6" s="98">
        <f>AL70</f>
        <v>2028</v>
      </c>
      <c r="AK6" s="98">
        <f>AM70</f>
        <v>2029</v>
      </c>
      <c r="AL6" s="98">
        <f>AN70</f>
        <v>2030</v>
      </c>
      <c r="AN6" s="98">
        <f>AP70</f>
        <v>2026</v>
      </c>
      <c r="AO6" s="98">
        <f>AQ70</f>
        <v>2027</v>
      </c>
      <c r="AP6" s="98">
        <f>AR70</f>
        <v>2028</v>
      </c>
      <c r="AQ6" s="98">
        <f>AS70</f>
        <v>2029</v>
      </c>
      <c r="AR6" s="98">
        <f>AT70</f>
        <v>2030</v>
      </c>
      <c r="AZ6" s="902"/>
    </row>
    <row r="7" spans="1:52" s="750" customFormat="1" ht="12" hidden="1" customHeight="1">
      <c r="A7" s="98"/>
      <c r="B7" s="614"/>
      <c r="C7" s="98"/>
      <c r="D7" s="98"/>
      <c r="E7" s="623"/>
      <c r="Q7" s="566"/>
      <c r="R7" s="566"/>
      <c r="AF7" s="563" t="str">
        <f>AF26</f>
        <v>Факт по данным организации</v>
      </c>
      <c r="AG7" s="563" t="str">
        <f>AG26</f>
        <v>Принято органом регулирования</v>
      </c>
      <c r="AZ7" s="902"/>
    </row>
    <row r="8" spans="1:52" s="750" customFormat="1" ht="12" hidden="1" customHeight="1">
      <c r="A8" s="98"/>
      <c r="B8" s="614"/>
      <c r="C8" s="98"/>
      <c r="D8" s="98"/>
      <c r="E8" s="623"/>
      <c r="Q8" s="566"/>
      <c r="R8" s="566"/>
      <c r="AF8" s="563" t="str">
        <f>AF6&amp;AF7</f>
        <v>2024Факт по данным организации</v>
      </c>
      <c r="AG8" s="563" t="str">
        <f>AG6&amp;AG7</f>
        <v>2024Принято органом регулирования</v>
      </c>
      <c r="AZ8" s="902"/>
    </row>
    <row r="9" spans="1:52" s="901" customFormat="1" ht="12" hidden="1" customHeight="1">
      <c r="A9" s="900" t="s">
        <v>327</v>
      </c>
      <c r="B9" s="878"/>
      <c r="E9" s="878"/>
      <c r="Q9" s="892"/>
      <c r="R9" s="892"/>
      <c r="AF9" s="901">
        <f>AF25</f>
        <v>2024</v>
      </c>
      <c r="AG9" s="901">
        <f>AG25</f>
        <v>2024</v>
      </c>
      <c r="AH9" s="901">
        <f>AH70</f>
        <v>2025</v>
      </c>
      <c r="AJ9" s="901">
        <f t="shared" ref="AJ9:AN10" si="1">AJ70</f>
        <v>2026</v>
      </c>
      <c r="AK9" s="901">
        <f t="shared" si="1"/>
        <v>2027</v>
      </c>
      <c r="AL9" s="901">
        <f t="shared" si="1"/>
        <v>2028</v>
      </c>
      <c r="AM9" s="901">
        <f t="shared" si="1"/>
        <v>2029</v>
      </c>
      <c r="AN9" s="901">
        <f t="shared" si="1"/>
        <v>2030</v>
      </c>
      <c r="AP9" s="901">
        <f t="shared" ref="AP9:AT10" si="2">AP70</f>
        <v>2026</v>
      </c>
      <c r="AQ9" s="901">
        <f t="shared" si="2"/>
        <v>2027</v>
      </c>
      <c r="AR9" s="901">
        <f t="shared" si="2"/>
        <v>2028</v>
      </c>
      <c r="AS9" s="901">
        <f t="shared" si="2"/>
        <v>2029</v>
      </c>
      <c r="AT9" s="901">
        <f t="shared" si="2"/>
        <v>2030</v>
      </c>
      <c r="AZ9" s="902"/>
    </row>
    <row r="10" spans="1:52" s="901" customFormat="1" ht="12" hidden="1" customHeight="1">
      <c r="A10" s="900" t="s">
        <v>328</v>
      </c>
      <c r="B10" s="878"/>
      <c r="E10" s="878"/>
      <c r="Q10" s="892"/>
      <c r="R10" s="892"/>
      <c r="AF10" s="901" t="str">
        <f>AF26</f>
        <v>Факт по данным организации</v>
      </c>
      <c r="AG10" s="901" t="str">
        <f>AG26</f>
        <v>Принято органом регулирования</v>
      </c>
      <c r="AH10" s="955" t="str">
        <f>AH71</f>
        <v>Утверждено органом регулирования</v>
      </c>
      <c r="AJ10" s="955" t="str">
        <f t="shared" si="1"/>
        <v>План организации</v>
      </c>
      <c r="AK10" s="955" t="str">
        <f t="shared" si="1"/>
        <v>План организации</v>
      </c>
      <c r="AL10" s="955" t="str">
        <f t="shared" si="1"/>
        <v>План организации</v>
      </c>
      <c r="AM10" s="955" t="str">
        <f t="shared" si="1"/>
        <v>План организации</v>
      </c>
      <c r="AN10" s="955" t="str">
        <f t="shared" si="1"/>
        <v>План организации</v>
      </c>
      <c r="AP10" s="955" t="str">
        <f t="shared" si="2"/>
        <v>План органа регулирования</v>
      </c>
      <c r="AQ10" s="955" t="str">
        <f t="shared" si="2"/>
        <v>План органа регулирования</v>
      </c>
      <c r="AR10" s="955" t="str">
        <f t="shared" si="2"/>
        <v>План органа регулирования</v>
      </c>
      <c r="AS10" s="955" t="str">
        <f t="shared" si="2"/>
        <v>План органа регулирования</v>
      </c>
      <c r="AT10" s="955" t="str">
        <f t="shared" si="2"/>
        <v>План органа регулирования</v>
      </c>
      <c r="AZ10" s="902"/>
    </row>
    <row r="11" spans="1:52" s="1016" customFormat="1" ht="12" hidden="1" customHeight="1">
      <c r="B11" s="614"/>
      <c r="E11" s="623"/>
      <c r="G11" s="563"/>
      <c r="H11" s="563"/>
      <c r="I11" s="563"/>
      <c r="J11" s="563"/>
      <c r="K11" s="563"/>
      <c r="L11" s="563"/>
      <c r="M11" s="563"/>
      <c r="N11" s="563"/>
      <c r="O11" s="563"/>
      <c r="P11" s="563"/>
      <c r="Q11" s="566"/>
      <c r="R11" s="566"/>
      <c r="S11" s="563"/>
      <c r="AZ11" s="902"/>
    </row>
    <row r="12" spans="1:52" s="1016" customFormat="1" ht="12" hidden="1" customHeight="1">
      <c r="B12" s="614"/>
      <c r="E12" s="623"/>
      <c r="G12" s="563"/>
      <c r="H12" s="563"/>
      <c r="I12" s="563"/>
      <c r="J12" s="563"/>
      <c r="K12" s="563"/>
      <c r="L12" s="563"/>
      <c r="M12" s="563"/>
      <c r="N12" s="563"/>
      <c r="O12" s="563"/>
      <c r="P12" s="563"/>
      <c r="Q12" s="566"/>
      <c r="R12" s="566"/>
      <c r="S12" s="563"/>
      <c r="AZ12" s="902"/>
    </row>
    <row r="13" spans="1:52" s="1016" customFormat="1" ht="12" hidden="1" customHeight="1">
      <c r="B13" s="614"/>
      <c r="E13" s="623"/>
      <c r="G13" s="563"/>
      <c r="H13" s="563"/>
      <c r="I13" s="563"/>
      <c r="J13" s="563"/>
      <c r="K13" s="563"/>
      <c r="L13" s="563"/>
      <c r="M13" s="563"/>
      <c r="N13" s="563"/>
      <c r="O13" s="563"/>
      <c r="P13" s="563"/>
      <c r="Q13" s="566"/>
      <c r="R13" s="566"/>
      <c r="S13" s="563"/>
      <c r="AZ13" s="902"/>
    </row>
    <row r="14" spans="1:52" s="1016" customFormat="1" ht="12" hidden="1" customHeight="1">
      <c r="B14" s="614"/>
      <c r="E14" s="623"/>
      <c r="G14" s="563"/>
      <c r="H14" s="563"/>
      <c r="I14" s="563"/>
      <c r="J14" s="563"/>
      <c r="K14" s="563"/>
      <c r="L14" s="563"/>
      <c r="M14" s="563"/>
      <c r="N14" s="563"/>
      <c r="O14" s="563"/>
      <c r="P14" s="563"/>
      <c r="Q14" s="566"/>
      <c r="R14" s="566"/>
      <c r="S14" s="563"/>
      <c r="AZ14" s="902"/>
    </row>
    <row r="15" spans="1:52" s="1016" customFormat="1" ht="12" hidden="1" customHeight="1">
      <c r="B15" s="614"/>
      <c r="E15" s="623"/>
      <c r="G15" s="563"/>
      <c r="H15" s="563"/>
      <c r="I15" s="563"/>
      <c r="J15" s="563"/>
      <c r="K15" s="563"/>
      <c r="L15" s="563"/>
      <c r="M15" s="563"/>
      <c r="N15" s="563"/>
      <c r="O15" s="563"/>
      <c r="P15" s="563"/>
      <c r="Q15" s="566"/>
      <c r="R15" s="566"/>
      <c r="S15" s="563"/>
      <c r="AZ15" s="902"/>
    </row>
    <row r="16" spans="1:52" s="1016" customFormat="1" ht="12" hidden="1" customHeight="1">
      <c r="B16" s="614"/>
      <c r="E16" s="623"/>
      <c r="G16" s="563"/>
      <c r="H16" s="563"/>
      <c r="I16" s="563"/>
      <c r="J16" s="563"/>
      <c r="K16" s="563"/>
      <c r="L16" s="563"/>
      <c r="M16" s="563"/>
      <c r="N16" s="563"/>
      <c r="O16" s="563"/>
      <c r="P16" s="563"/>
      <c r="Q16" s="566"/>
      <c r="R16" s="566"/>
      <c r="S16" s="563"/>
      <c r="AZ16" s="902"/>
    </row>
    <row r="17" spans="1:52" s="1016" customFormat="1" ht="12" hidden="1" customHeight="1">
      <c r="B17" s="614"/>
      <c r="E17" s="623"/>
      <c r="G17" s="563"/>
      <c r="H17" s="563"/>
      <c r="I17" s="563"/>
      <c r="J17" s="563"/>
      <c r="K17" s="563"/>
      <c r="L17" s="563"/>
      <c r="M17" s="563"/>
      <c r="N17" s="563"/>
      <c r="O17" s="563"/>
      <c r="P17" s="563"/>
      <c r="Q17" s="566"/>
      <c r="R17" s="566"/>
      <c r="S17" s="563"/>
      <c r="AZ17" s="902"/>
    </row>
    <row r="18" spans="1:52" s="1016" customFormat="1" ht="12" hidden="1" customHeight="1">
      <c r="B18" s="614"/>
      <c r="E18" s="623"/>
      <c r="G18" s="563"/>
      <c r="H18" s="563"/>
      <c r="I18" s="563"/>
      <c r="J18" s="563"/>
      <c r="K18" s="563"/>
      <c r="L18" s="563"/>
      <c r="M18" s="563"/>
      <c r="N18" s="563"/>
      <c r="O18" s="563"/>
      <c r="P18" s="563"/>
      <c r="Q18" s="566"/>
      <c r="R18" s="566"/>
      <c r="S18" s="563"/>
      <c r="AZ18" s="902"/>
    </row>
    <row r="19" spans="1:52" s="1016" customFormat="1" ht="12" hidden="1" customHeight="1">
      <c r="B19" s="614"/>
      <c r="E19" s="623"/>
      <c r="G19" s="563"/>
      <c r="H19" s="563"/>
      <c r="I19" s="563"/>
      <c r="J19" s="563"/>
      <c r="K19" s="563"/>
      <c r="L19" s="563"/>
      <c r="M19" s="563"/>
      <c r="N19" s="563"/>
      <c r="O19" s="563"/>
      <c r="P19" s="563"/>
      <c r="Q19" s="566"/>
      <c r="R19" s="566"/>
      <c r="S19" s="563"/>
      <c r="AZ19" s="902"/>
    </row>
    <row r="20" spans="1:52" s="1016" customFormat="1" ht="11.1" hidden="1" customHeight="1">
      <c r="B20" s="614"/>
      <c r="E20" s="623">
        <v>11.4</v>
      </c>
      <c r="G20" s="563"/>
      <c r="H20" s="563"/>
      <c r="I20" s="563"/>
      <c r="J20" s="563"/>
      <c r="K20" s="563"/>
      <c r="L20" s="563"/>
      <c r="M20" s="563"/>
      <c r="N20" s="563"/>
      <c r="O20" s="563"/>
      <c r="P20" s="563"/>
      <c r="Q20" s="566"/>
      <c r="R20" s="566"/>
      <c r="S20" s="563"/>
      <c r="AZ20" s="902"/>
    </row>
    <row r="21" spans="1:52" s="726" customFormat="1" ht="11.1" customHeight="1">
      <c r="A21" s="98"/>
      <c r="B21" s="614"/>
      <c r="C21" s="98"/>
      <c r="D21" s="98"/>
      <c r="E21" s="623">
        <v>11.4</v>
      </c>
      <c r="F21" s="98"/>
      <c r="G21" s="563"/>
      <c r="H21" s="563"/>
      <c r="I21" s="563"/>
      <c r="J21" s="563"/>
      <c r="K21" s="563"/>
      <c r="L21" s="563"/>
      <c r="M21" s="563"/>
      <c r="N21" s="563"/>
      <c r="O21" s="563"/>
      <c r="P21" s="563"/>
      <c r="Q21" s="566"/>
      <c r="R21" s="566"/>
      <c r="S21" s="563"/>
      <c r="T21" s="98"/>
      <c r="U21" s="98"/>
      <c r="V21" s="98"/>
      <c r="W21" s="98"/>
      <c r="X21" s="98"/>
      <c r="Y21" s="98"/>
      <c r="Z21" s="98"/>
      <c r="AA21" s="646"/>
      <c r="AB21" s="164"/>
      <c r="AC21" s="315" t="str">
        <f>tpl_title</f>
        <v>Кемеровская область / 2026 / АО "СУЭК-Кузбасс" (ИНН:4212024138, КПП:421201001) / ДПР: 2024-2028</v>
      </c>
      <c r="AD21" s="563"/>
      <c r="AE21" s="563"/>
      <c r="AF21" s="563"/>
      <c r="AG21" s="563"/>
      <c r="AZ21" s="902"/>
    </row>
    <row r="22" spans="1:52" ht="11.1" customHeight="1">
      <c r="E22" s="623">
        <v>11.4</v>
      </c>
      <c r="AB22" s="305" t="str">
        <f>"Размер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f>
        <v xml:space="preserve">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v>
      </c>
      <c r="AC22" s="209"/>
    </row>
    <row r="23" spans="1:52" ht="11.1" customHeight="1">
      <c r="E23" s="623">
        <v>11.4</v>
      </c>
      <c r="AB23" s="426"/>
      <c r="AC23" s="427"/>
      <c r="AD23" s="427"/>
      <c r="AE23" s="427"/>
      <c r="AF23" s="428"/>
      <c r="AG23" s="428"/>
      <c r="AH23" s="429"/>
      <c r="AI23" s="429"/>
      <c r="AJ23" s="429"/>
    </row>
    <row r="24" spans="1:52" ht="11.1" customHeight="1">
      <c r="E24" s="623">
        <v>11.4</v>
      </c>
      <c r="AB24" s="426"/>
      <c r="AC24" s="427"/>
      <c r="AD24" s="427"/>
      <c r="AE24" s="427"/>
      <c r="AF24" s="428"/>
      <c r="AG24" s="428"/>
      <c r="AH24" s="429"/>
      <c r="AI24" s="429"/>
      <c r="AJ24" s="429"/>
    </row>
    <row r="25" spans="1:52" ht="11.1" customHeight="1">
      <c r="E25" s="623">
        <v>11.3</v>
      </c>
      <c r="AB25" s="1506" t="s">
        <v>1200</v>
      </c>
      <c r="AC25" s="1508" t="s">
        <v>330</v>
      </c>
      <c r="AD25" s="1508" t="s">
        <v>1201</v>
      </c>
      <c r="AE25" s="1506" t="s">
        <v>1202</v>
      </c>
      <c r="AF25" s="1008">
        <f>god-2</f>
        <v>2024</v>
      </c>
      <c r="AG25" s="239">
        <f>god-2</f>
        <v>2024</v>
      </c>
      <c r="AH25" s="429"/>
      <c r="AI25" s="518"/>
      <c r="AJ25" s="518"/>
    </row>
    <row r="26" spans="1:52" ht="22.15" customHeight="1">
      <c r="E26" s="623">
        <v>22.8</v>
      </c>
      <c r="AB26" s="1507"/>
      <c r="AC26" s="1509"/>
      <c r="AD26" s="1509"/>
      <c r="AE26" s="1507"/>
      <c r="AF26" s="1009" t="s">
        <v>487</v>
      </c>
      <c r="AG26" s="96" t="s">
        <v>304</v>
      </c>
      <c r="AH26" s="429"/>
      <c r="AI26" s="429"/>
      <c r="AJ26" s="429"/>
      <c r="AK26" s="429"/>
      <c r="AL26" s="429"/>
      <c r="AM26" s="429"/>
      <c r="AN26" s="429"/>
      <c r="AO26" s="429"/>
      <c r="AP26" s="429"/>
      <c r="AQ26" s="429"/>
      <c r="AR26" s="429"/>
      <c r="AS26" s="429"/>
      <c r="AT26" s="429"/>
      <c r="AU26" s="429"/>
    </row>
    <row r="27" spans="1:52" ht="11.25" hidden="1" customHeight="1">
      <c r="E27" s="623">
        <v>0</v>
      </c>
      <c r="AB27" s="474"/>
      <c r="AC27" s="545"/>
      <c r="AD27" s="545"/>
      <c r="AE27" s="474"/>
      <c r="AF27" s="474"/>
      <c r="AG27" s="474"/>
      <c r="AH27" s="429"/>
      <c r="AI27" s="429"/>
      <c r="AJ27" s="429"/>
      <c r="AK27" s="429"/>
      <c r="AL27" s="429"/>
      <c r="AM27" s="429"/>
      <c r="AN27" s="429"/>
      <c r="AO27" s="429"/>
      <c r="AP27" s="429"/>
      <c r="AQ27" s="429"/>
      <c r="AR27" s="429"/>
      <c r="AS27" s="429"/>
      <c r="AT27" s="429"/>
      <c r="AU27" s="429"/>
    </row>
    <row r="28" spans="1:52" s="157" customFormat="1" ht="11.1" hidden="1" customHeight="1">
      <c r="E28" s="623">
        <v>11.4</v>
      </c>
      <c r="F28" s="714">
        <f>X28</f>
        <v>0</v>
      </c>
      <c r="T28" s="634" t="b">
        <f>X28&gt;0</f>
        <v>0</v>
      </c>
      <c r="V28" s="113" t="s">
        <v>228</v>
      </c>
      <c r="X28" s="1405">
        <v>0</v>
      </c>
      <c r="Z28" s="1403"/>
      <c r="AB28" s="247" t="str">
        <f>INDEX('Общие сведения'!$AG$169:$AG$202,MATCH($F28,'Общие сведения'!$Z$169:$Z$202,0))</f>
        <v>Тариф 0 (Теплоснабжение) - Тарифы на теплоноситель</v>
      </c>
      <c r="AC28" s="248"/>
      <c r="AD28" s="248"/>
      <c r="AE28" s="248"/>
      <c r="AF28" s="248"/>
      <c r="AG28" s="248"/>
      <c r="AZ28" s="912"/>
    </row>
    <row r="29" spans="1:52" ht="50.45" hidden="1" customHeight="1">
      <c r="E29" s="623">
        <v>51.8</v>
      </c>
      <c r="F29" s="714">
        <f t="shared" ref="F29:F61" si="3">F28</f>
        <v>0</v>
      </c>
      <c r="T29" s="645" t="b">
        <f t="shared" ref="T29:T61" si="4">T28</f>
        <v>0</v>
      </c>
      <c r="X29" s="1382"/>
      <c r="Z29" s="1382"/>
      <c r="AB29" s="250" t="s">
        <v>247</v>
      </c>
      <c r="AC29" s="477" t="s">
        <v>59</v>
      </c>
      <c r="AD29" s="478" t="s">
        <v>1203</v>
      </c>
      <c r="AE29" s="479" t="s">
        <v>1204</v>
      </c>
      <c r="AF29" s="288">
        <f ca="1">AF30-AF68</f>
        <v>0</v>
      </c>
      <c r="AG29" s="288">
        <f ca="1">AG30-AG68</f>
        <v>0</v>
      </c>
      <c r="AZ29" s="912" t="s">
        <v>1205</v>
      </c>
    </row>
    <row r="30" spans="1:52" ht="51.2" hidden="1" customHeight="1">
      <c r="E30" s="623">
        <v>52.5</v>
      </c>
      <c r="F30" s="714">
        <f t="shared" si="3"/>
        <v>0</v>
      </c>
      <c r="T30" s="645" t="b">
        <f t="shared" si="4"/>
        <v>0</v>
      </c>
      <c r="X30" s="1382"/>
      <c r="Z30" s="1382"/>
      <c r="AB30" s="111" t="s">
        <v>339</v>
      </c>
      <c r="AC30" s="102" t="s">
        <v>1206</v>
      </c>
      <c r="AD30" s="478" t="s">
        <v>1207</v>
      </c>
      <c r="AE30" s="479" t="s">
        <v>1204</v>
      </c>
      <c r="AF30" s="288">
        <f ca="1">AF32+AF33+AF59+AF60+AF62+AF63+AF64+AF65-AF66+AF67</f>
        <v>0</v>
      </c>
      <c r="AG30" s="23">
        <f ca="1">AG32+AG33+AG59+AG60+AG62+AG63+AG64+AG65-AG66+AG67</f>
        <v>0</v>
      </c>
      <c r="AZ30" s="912" t="s">
        <v>1208</v>
      </c>
    </row>
    <row r="31" spans="1:52" ht="27.2" hidden="1" customHeight="1">
      <c r="E31" s="623">
        <v>27.8</v>
      </c>
      <c r="F31" s="714">
        <f t="shared" si="3"/>
        <v>0</v>
      </c>
      <c r="T31" s="645" t="b">
        <f t="shared" si="4"/>
        <v>0</v>
      </c>
      <c r="X31" s="1382"/>
      <c r="Z31" s="1382"/>
      <c r="AB31" s="111"/>
      <c r="AC31" s="484" t="s">
        <v>1209</v>
      </c>
      <c r="AD31" s="480" t="s">
        <v>1210</v>
      </c>
      <c r="AE31" s="479" t="s">
        <v>1204</v>
      </c>
      <c r="AF31" s="23"/>
      <c r="AG31" s="23"/>
      <c r="AZ31" s="912" t="s">
        <v>1211</v>
      </c>
    </row>
    <row r="32" spans="1:52" ht="29.25" hidden="1" customHeight="1">
      <c r="E32" s="623">
        <v>30</v>
      </c>
      <c r="F32" s="714">
        <f t="shared" si="3"/>
        <v>0</v>
      </c>
      <c r="G32" s="566" t="s">
        <v>1094</v>
      </c>
      <c r="T32" s="645" t="b">
        <f t="shared" si="4"/>
        <v>0</v>
      </c>
      <c r="X32" s="1382"/>
      <c r="Z32" s="1382"/>
      <c r="AB32" s="111" t="s">
        <v>970</v>
      </c>
      <c r="AC32" s="436" t="s">
        <v>1212</v>
      </c>
      <c r="AD32" s="481" t="s">
        <v>1213</v>
      </c>
      <c r="AE32" s="478" t="s">
        <v>1204</v>
      </c>
      <c r="AF32" s="23">
        <f ca="1">SUMIFS('Операционные (5.1)'!AF$26:AF$75,'Операционные (5.1)'!$F$26:$F$75,$F32,'Операционные (5.1)'!$G$26:$G$75,$G32)</f>
        <v>0</v>
      </c>
      <c r="AG32" s="23">
        <f ca="1">SUMIFS('Операционные (5.1)'!AG$26:AG$75,'Операционные (5.1)'!$F$26:$F$75,$F32,'Операционные (5.1)'!$G$26:$G$75,$G32)</f>
        <v>0</v>
      </c>
      <c r="AZ32" s="912" t="s">
        <v>1214</v>
      </c>
    </row>
    <row r="33" spans="5:52" ht="40.35" hidden="1" customHeight="1">
      <c r="E33" s="623">
        <v>41.3</v>
      </c>
      <c r="F33" s="714">
        <f t="shared" si="3"/>
        <v>0</v>
      </c>
      <c r="T33" s="645" t="b">
        <f t="shared" si="4"/>
        <v>0</v>
      </c>
      <c r="X33" s="1382"/>
      <c r="Z33" s="1382"/>
      <c r="AB33" s="111" t="s">
        <v>974</v>
      </c>
      <c r="AC33" s="436" t="s">
        <v>1215</v>
      </c>
      <c r="AD33" s="481" t="s">
        <v>1216</v>
      </c>
      <c r="AE33" s="478" t="s">
        <v>1204</v>
      </c>
      <c r="AF33" s="288">
        <f ca="1">AF34+AF38</f>
        <v>0</v>
      </c>
      <c r="AG33" s="288">
        <f ca="1">AG34+AG38</f>
        <v>0</v>
      </c>
      <c r="AZ33" s="912" t="s">
        <v>1217</v>
      </c>
    </row>
    <row r="34" spans="5:52" ht="55.5" hidden="1" customHeight="1">
      <c r="E34" s="623">
        <v>57</v>
      </c>
      <c r="F34" s="714">
        <f t="shared" si="3"/>
        <v>0</v>
      </c>
      <c r="G34" s="566" t="s">
        <v>1189</v>
      </c>
      <c r="T34" s="645" t="b">
        <f t="shared" si="4"/>
        <v>0</v>
      </c>
      <c r="X34" s="1382"/>
      <c r="Z34" s="1382"/>
      <c r="AB34" s="111" t="s">
        <v>1218</v>
      </c>
      <c r="AC34" s="447" t="s">
        <v>1219</v>
      </c>
      <c r="AD34" s="107" t="s">
        <v>1220</v>
      </c>
      <c r="AE34" s="479" t="s">
        <v>1204</v>
      </c>
      <c r="AF34" s="23">
        <f ca="1">SUMIFS('Ресурсы (5.4)'!AF$26:AF$47,'Ресурсы (5.4)'!$F$26:$F$47,$F34,'Ресурсы (5.4)'!$G$26:$G$47,$G34)</f>
        <v>0</v>
      </c>
      <c r="AG34" s="23">
        <f ca="1">SUMIFS('Ресурсы (5.4)'!AG$26:AG$47,'Ресурсы (5.4)'!$F$26:$F$47,$F34,'Ресурсы (5.4)'!$G$26:$G$47,$G34)</f>
        <v>0</v>
      </c>
      <c r="AZ34" s="912" t="s">
        <v>1221</v>
      </c>
    </row>
    <row r="35" spans="5:52" ht="24.95" hidden="1" customHeight="1">
      <c r="E35" s="623">
        <v>25.5</v>
      </c>
      <c r="F35" s="714">
        <f t="shared" si="3"/>
        <v>0</v>
      </c>
      <c r="T35" s="645" t="b">
        <f t="shared" si="4"/>
        <v>0</v>
      </c>
      <c r="X35" s="1382"/>
      <c r="Z35" s="1382"/>
      <c r="AB35" s="111" t="s">
        <v>1222</v>
      </c>
      <c r="AC35" s="483" t="s">
        <v>1223</v>
      </c>
      <c r="AD35" s="107" t="s">
        <v>1224</v>
      </c>
      <c r="AE35" s="479" t="s">
        <v>616</v>
      </c>
      <c r="AF35" s="23"/>
      <c r="AG35" s="23"/>
      <c r="AZ35" s="912" t="s">
        <v>1225</v>
      </c>
    </row>
    <row r="36" spans="5:52" ht="38.85" hidden="1" customHeight="1">
      <c r="E36" s="623">
        <v>39.799999999999997</v>
      </c>
      <c r="F36" s="714">
        <f t="shared" si="3"/>
        <v>0</v>
      </c>
      <c r="T36" s="645" t="b">
        <f t="shared" si="4"/>
        <v>0</v>
      </c>
      <c r="X36" s="1382"/>
      <c r="Z36" s="1382"/>
      <c r="AB36" s="111" t="s">
        <v>1226</v>
      </c>
      <c r="AC36" s="483" t="s">
        <v>1227</v>
      </c>
      <c r="AD36" s="107" t="s">
        <v>1228</v>
      </c>
      <c r="AE36" s="479" t="s">
        <v>598</v>
      </c>
      <c r="AF36" s="23"/>
      <c r="AG36" s="23"/>
      <c r="AZ36" s="912" t="s">
        <v>1229</v>
      </c>
    </row>
    <row r="37" spans="5:52" ht="23.45" hidden="1" customHeight="1">
      <c r="E37" s="623">
        <v>24</v>
      </c>
      <c r="F37" s="714">
        <f t="shared" si="3"/>
        <v>0</v>
      </c>
      <c r="T37" s="645" t="b">
        <f t="shared" si="4"/>
        <v>0</v>
      </c>
      <c r="X37" s="1382"/>
      <c r="Z37" s="1382"/>
      <c r="AB37" s="111" t="s">
        <v>1230</v>
      </c>
      <c r="AC37" s="483" t="s">
        <v>1231</v>
      </c>
      <c r="AD37" s="107" t="s">
        <v>1232</v>
      </c>
      <c r="AE37" s="479" t="s">
        <v>1233</v>
      </c>
      <c r="AF37" s="23"/>
      <c r="AG37" s="23"/>
      <c r="AZ37" s="912" t="s">
        <v>1234</v>
      </c>
    </row>
    <row r="38" spans="5:52" ht="56.45" hidden="1" customHeight="1">
      <c r="E38" s="623">
        <v>57.8</v>
      </c>
      <c r="F38" s="714">
        <f t="shared" si="3"/>
        <v>0</v>
      </c>
      <c r="T38" s="645" t="b">
        <f t="shared" si="4"/>
        <v>0</v>
      </c>
      <c r="X38" s="1382"/>
      <c r="Z38" s="1382"/>
      <c r="AB38" s="111" t="s">
        <v>1235</v>
      </c>
      <c r="AC38" s="436" t="s">
        <v>1236</v>
      </c>
      <c r="AD38" s="107" t="s">
        <v>1237</v>
      </c>
      <c r="AE38" s="479" t="s">
        <v>1204</v>
      </c>
      <c r="AF38" s="288">
        <f ca="1">AF39+AF44+AF49+AF54</f>
        <v>0</v>
      </c>
      <c r="AG38" s="288">
        <f ca="1">AG39+AG44+AG49+AG54</f>
        <v>0</v>
      </c>
      <c r="AZ38" s="912" t="s">
        <v>1238</v>
      </c>
    </row>
    <row r="39" spans="5:52" ht="19.7" hidden="1" customHeight="1">
      <c r="E39" s="623">
        <v>20.3</v>
      </c>
      <c r="F39" s="714">
        <f t="shared" si="3"/>
        <v>0</v>
      </c>
      <c r="G39" s="566" t="s">
        <v>742</v>
      </c>
      <c r="T39" s="645" t="b">
        <f t="shared" si="4"/>
        <v>0</v>
      </c>
      <c r="X39" s="1382"/>
      <c r="Z39" s="1382"/>
      <c r="AB39" s="111" t="s">
        <v>1239</v>
      </c>
      <c r="AC39" s="447" t="s">
        <v>1240</v>
      </c>
      <c r="AD39" s="481"/>
      <c r="AE39" s="479" t="s">
        <v>1204</v>
      </c>
      <c r="AF39" s="23">
        <f ca="1">SUMIFS('Ресурсы (5.4)'!AF$26:AF$47,'Ресурсы (5.4)'!$F$26:$F$47,$F39,'Ресурсы (5.4)'!$G$26:$G$47,$G39)</f>
        <v>0</v>
      </c>
      <c r="AG39" s="23">
        <f ca="1">SUMIFS('Ресурсы (5.4)'!AG$26:AG$47,'Ресурсы (5.4)'!$F$26:$F$47,$F39,'Ресурсы (5.4)'!$G$26:$G$47,$G39)</f>
        <v>0</v>
      </c>
      <c r="AZ39" s="912" t="s">
        <v>1241</v>
      </c>
    </row>
    <row r="40" spans="5:52" ht="27.2" hidden="1" customHeight="1">
      <c r="E40" s="623">
        <v>27.8</v>
      </c>
      <c r="F40" s="714">
        <f t="shared" si="3"/>
        <v>0</v>
      </c>
      <c r="T40" s="645" t="b">
        <f t="shared" si="4"/>
        <v>0</v>
      </c>
      <c r="X40" s="1382"/>
      <c r="Z40" s="1382"/>
      <c r="AB40" s="111" t="s">
        <v>1242</v>
      </c>
      <c r="AC40" s="483" t="s">
        <v>1243</v>
      </c>
      <c r="AD40" s="107" t="s">
        <v>1244</v>
      </c>
      <c r="AE40" s="96" t="s">
        <v>1245</v>
      </c>
      <c r="AF40" s="23"/>
      <c r="AG40" s="23"/>
      <c r="AZ40" s="912" t="s">
        <v>763</v>
      </c>
    </row>
    <row r="41" spans="5:52" ht="26.25" hidden="1" customHeight="1">
      <c r="E41" s="623">
        <v>27</v>
      </c>
      <c r="F41" s="714">
        <f t="shared" si="3"/>
        <v>0</v>
      </c>
      <c r="T41" s="645" t="b">
        <f t="shared" si="4"/>
        <v>0</v>
      </c>
      <c r="X41" s="1382"/>
      <c r="Z41" s="1382"/>
      <c r="AB41" s="111" t="s">
        <v>1246</v>
      </c>
      <c r="AC41" s="483" t="s">
        <v>1247</v>
      </c>
      <c r="AD41" s="107" t="s">
        <v>1248</v>
      </c>
      <c r="AE41" s="479" t="s">
        <v>1249</v>
      </c>
      <c r="AF41" s="23"/>
      <c r="AG41" s="23"/>
      <c r="AZ41" s="912" t="s">
        <v>1250</v>
      </c>
    </row>
    <row r="42" spans="5:52" ht="28.5" hidden="1" customHeight="1">
      <c r="E42" s="623">
        <v>29.3</v>
      </c>
      <c r="F42" s="714">
        <f t="shared" si="3"/>
        <v>0</v>
      </c>
      <c r="T42" s="645" t="b">
        <f t="shared" si="4"/>
        <v>0</v>
      </c>
      <c r="X42" s="1382"/>
      <c r="Z42" s="1382"/>
      <c r="AB42" s="111" t="s">
        <v>1251</v>
      </c>
      <c r="AC42" s="483" t="s">
        <v>1252</v>
      </c>
      <c r="AD42" s="107" t="s">
        <v>1253</v>
      </c>
      <c r="AE42" s="479" t="s">
        <v>1249</v>
      </c>
      <c r="AF42" s="23"/>
      <c r="AG42" s="23"/>
      <c r="AZ42" s="912" t="s">
        <v>1254</v>
      </c>
    </row>
    <row r="43" spans="5:52" ht="33.6" hidden="1" customHeight="1">
      <c r="E43" s="623">
        <v>34.5</v>
      </c>
      <c r="F43" s="714">
        <f t="shared" si="3"/>
        <v>0</v>
      </c>
      <c r="T43" s="645" t="b">
        <f t="shared" si="4"/>
        <v>0</v>
      </c>
      <c r="X43" s="1382"/>
      <c r="Z43" s="1382"/>
      <c r="AB43" s="111" t="s">
        <v>1255</v>
      </c>
      <c r="AC43" s="483" t="s">
        <v>1256</v>
      </c>
      <c r="AD43" s="107" t="s">
        <v>1257</v>
      </c>
      <c r="AE43" s="479" t="s">
        <v>751</v>
      </c>
      <c r="AF43" s="23"/>
      <c r="AG43" s="23"/>
      <c r="AZ43" s="912" t="s">
        <v>1258</v>
      </c>
    </row>
    <row r="44" spans="5:52" ht="16.899999999999999" hidden="1" customHeight="1">
      <c r="E44" s="623">
        <v>17.3</v>
      </c>
      <c r="F44" s="714">
        <f t="shared" si="3"/>
        <v>0</v>
      </c>
      <c r="G44" s="566" t="s">
        <v>810</v>
      </c>
      <c r="T44" s="645" t="b">
        <f t="shared" si="4"/>
        <v>0</v>
      </c>
      <c r="X44" s="1382"/>
      <c r="Z44" s="1382"/>
      <c r="AB44" s="111" t="s">
        <v>1259</v>
      </c>
      <c r="AC44" s="447" t="s">
        <v>1260</v>
      </c>
      <c r="AD44" s="481"/>
      <c r="AE44" s="479" t="s">
        <v>1204</v>
      </c>
      <c r="AF44" s="23">
        <f ca="1">SUMIFS('Ресурсы (5.4)'!AF$26:AF$47,'Ресурсы (5.4)'!$F$26:$F$47,$F44,'Ресурсы (5.4)'!$G$26:$G$47,$G44)</f>
        <v>0</v>
      </c>
      <c r="AG44" s="23">
        <f ca="1">SUMIFS('Ресурсы (5.4)'!AG$26:AG$47,'Ресурсы (5.4)'!$F$26:$F$47,$F44,'Ресурсы (5.4)'!$G$26:$G$47,$G44)</f>
        <v>0</v>
      </c>
      <c r="AZ44" s="912" t="s">
        <v>1261</v>
      </c>
    </row>
    <row r="45" spans="5:52" ht="30" hidden="1" customHeight="1">
      <c r="E45" s="623">
        <v>30.8</v>
      </c>
      <c r="F45" s="714">
        <f t="shared" si="3"/>
        <v>0</v>
      </c>
      <c r="T45" s="645" t="b">
        <f t="shared" si="4"/>
        <v>0</v>
      </c>
      <c r="X45" s="1382"/>
      <c r="Z45" s="1382"/>
      <c r="AB45" s="111" t="s">
        <v>1262</v>
      </c>
      <c r="AC45" s="483" t="s">
        <v>1263</v>
      </c>
      <c r="AD45" s="107" t="s">
        <v>1264</v>
      </c>
      <c r="AE45" s="479" t="s">
        <v>1249</v>
      </c>
      <c r="AF45" s="23"/>
      <c r="AG45" s="23"/>
      <c r="AZ45" s="912" t="s">
        <v>819</v>
      </c>
    </row>
    <row r="46" spans="5:52" ht="30" hidden="1" customHeight="1">
      <c r="E46" s="623">
        <v>30.8</v>
      </c>
      <c r="F46" s="714">
        <f t="shared" si="3"/>
        <v>0</v>
      </c>
      <c r="T46" s="645" t="b">
        <f t="shared" si="4"/>
        <v>0</v>
      </c>
      <c r="X46" s="1382"/>
      <c r="Z46" s="1382"/>
      <c r="AB46" s="111" t="s">
        <v>1265</v>
      </c>
      <c r="AC46" s="483" t="s">
        <v>1247</v>
      </c>
      <c r="AD46" s="107" t="s">
        <v>1248</v>
      </c>
      <c r="AE46" s="479" t="s">
        <v>1249</v>
      </c>
      <c r="AF46" s="23"/>
      <c r="AG46" s="23"/>
      <c r="AZ46" s="912" t="s">
        <v>1266</v>
      </c>
    </row>
    <row r="47" spans="5:52" ht="29.25" hidden="1" customHeight="1">
      <c r="E47" s="623">
        <v>30</v>
      </c>
      <c r="F47" s="714">
        <f t="shared" si="3"/>
        <v>0</v>
      </c>
      <c r="T47" s="645" t="b">
        <f t="shared" si="4"/>
        <v>0</v>
      </c>
      <c r="X47" s="1382"/>
      <c r="Z47" s="1382"/>
      <c r="AB47" s="111" t="s">
        <v>1267</v>
      </c>
      <c r="AC47" s="483" t="s">
        <v>1252</v>
      </c>
      <c r="AD47" s="107" t="s">
        <v>1253</v>
      </c>
      <c r="AE47" s="479" t="s">
        <v>1249</v>
      </c>
      <c r="AF47" s="23"/>
      <c r="AG47" s="23"/>
      <c r="AZ47" s="912" t="s">
        <v>1268</v>
      </c>
    </row>
    <row r="48" spans="5:52" ht="21.2" hidden="1" customHeight="1">
      <c r="E48" s="623">
        <v>21.8</v>
      </c>
      <c r="F48" s="714">
        <f t="shared" si="3"/>
        <v>0</v>
      </c>
      <c r="T48" s="645" t="b">
        <f t="shared" si="4"/>
        <v>0</v>
      </c>
      <c r="X48" s="1382"/>
      <c r="Z48" s="1382"/>
      <c r="AB48" s="111" t="s">
        <v>1269</v>
      </c>
      <c r="AC48" s="483" t="s">
        <v>1270</v>
      </c>
      <c r="AD48" s="107" t="s">
        <v>1257</v>
      </c>
      <c r="AE48" s="479" t="s">
        <v>1271</v>
      </c>
      <c r="AF48" s="23"/>
      <c r="AG48" s="23"/>
      <c r="AZ48" s="912" t="s">
        <v>1272</v>
      </c>
    </row>
    <row r="49" spans="5:52" ht="16.149999999999999" hidden="1" customHeight="1">
      <c r="E49" s="623">
        <v>16.5</v>
      </c>
      <c r="F49" s="714">
        <f t="shared" si="3"/>
        <v>0</v>
      </c>
      <c r="G49" s="566" t="s">
        <v>777</v>
      </c>
      <c r="T49" s="645" t="b">
        <f t="shared" si="4"/>
        <v>0</v>
      </c>
      <c r="X49" s="1382"/>
      <c r="Z49" s="1382"/>
      <c r="AB49" s="111" t="s">
        <v>1273</v>
      </c>
      <c r="AC49" s="447" t="s">
        <v>1274</v>
      </c>
      <c r="AD49" s="481"/>
      <c r="AE49" s="479" t="s">
        <v>1204</v>
      </c>
      <c r="AF49" s="23">
        <f ca="1">SUMIFS('Ресурсы (5.4)'!AF$26:AF$47,'Ресурсы (5.4)'!$F$26:$F$47,$F49,'Ресурсы (5.4)'!$G$26:$G$47,$G49)</f>
        <v>0</v>
      </c>
      <c r="AG49" s="23">
        <f ca="1">SUMIFS('Ресурсы (5.4)'!AG$26:AG$47,'Ресурсы (5.4)'!$F$26:$F$47,$F49,'Ресурсы (5.4)'!$G$26:$G$47,$G49)</f>
        <v>0</v>
      </c>
      <c r="AZ49" s="912" t="s">
        <v>1275</v>
      </c>
    </row>
    <row r="50" spans="5:52" ht="28.5" hidden="1" customHeight="1">
      <c r="E50" s="623">
        <v>29.3</v>
      </c>
      <c r="F50" s="714">
        <f t="shared" si="3"/>
        <v>0</v>
      </c>
      <c r="T50" s="645" t="b">
        <f t="shared" si="4"/>
        <v>0</v>
      </c>
      <c r="X50" s="1382"/>
      <c r="Z50" s="1382"/>
      <c r="AB50" s="111" t="s">
        <v>1276</v>
      </c>
      <c r="AC50" s="483" t="s">
        <v>1277</v>
      </c>
      <c r="AD50" s="107" t="s">
        <v>1278</v>
      </c>
      <c r="AE50" s="479" t="s">
        <v>598</v>
      </c>
      <c r="AF50" s="23"/>
      <c r="AG50" s="23"/>
      <c r="AZ50" s="912" t="s">
        <v>800</v>
      </c>
    </row>
    <row r="51" spans="5:52" ht="30.75" hidden="1" customHeight="1">
      <c r="E51" s="623">
        <v>31.5</v>
      </c>
      <c r="F51" s="714">
        <f t="shared" si="3"/>
        <v>0</v>
      </c>
      <c r="T51" s="645" t="b">
        <f t="shared" si="4"/>
        <v>0</v>
      </c>
      <c r="X51" s="1382"/>
      <c r="Z51" s="1382"/>
      <c r="AB51" s="111" t="s">
        <v>1279</v>
      </c>
      <c r="AC51" s="483" t="s">
        <v>1247</v>
      </c>
      <c r="AD51" s="107" t="s">
        <v>1248</v>
      </c>
      <c r="AE51" s="479" t="s">
        <v>1249</v>
      </c>
      <c r="AF51" s="23"/>
      <c r="AG51" s="23"/>
      <c r="AZ51" s="912" t="s">
        <v>1229</v>
      </c>
    </row>
    <row r="52" spans="5:52" ht="27.75" hidden="1" customHeight="1">
      <c r="E52" s="623">
        <v>28.5</v>
      </c>
      <c r="F52" s="714">
        <f t="shared" si="3"/>
        <v>0</v>
      </c>
      <c r="T52" s="645" t="b">
        <f t="shared" si="4"/>
        <v>0</v>
      </c>
      <c r="X52" s="1382"/>
      <c r="Z52" s="1382"/>
      <c r="AB52" s="111" t="s">
        <v>1280</v>
      </c>
      <c r="AC52" s="483" t="s">
        <v>1252</v>
      </c>
      <c r="AD52" s="107" t="s">
        <v>1253</v>
      </c>
      <c r="AE52" s="479" t="s">
        <v>1249</v>
      </c>
      <c r="AF52" s="23"/>
      <c r="AG52" s="23"/>
      <c r="AZ52" s="912" t="s">
        <v>1281</v>
      </c>
    </row>
    <row r="53" spans="5:52" ht="22.15" hidden="1" customHeight="1">
      <c r="E53" s="623">
        <v>22.8</v>
      </c>
      <c r="F53" s="714">
        <f t="shared" si="3"/>
        <v>0</v>
      </c>
      <c r="T53" s="645" t="b">
        <f t="shared" si="4"/>
        <v>0</v>
      </c>
      <c r="X53" s="1382"/>
      <c r="Z53" s="1382"/>
      <c r="AB53" s="111" t="s">
        <v>1282</v>
      </c>
      <c r="AC53" s="483" t="s">
        <v>1283</v>
      </c>
      <c r="AD53" s="107" t="s">
        <v>1257</v>
      </c>
      <c r="AE53" s="479" t="s">
        <v>738</v>
      </c>
      <c r="AF53" s="23"/>
      <c r="AG53" s="23"/>
      <c r="AZ53" s="912" t="s">
        <v>1284</v>
      </c>
    </row>
    <row r="54" spans="5:52" ht="16.149999999999999" hidden="1" customHeight="1">
      <c r="E54" s="623">
        <v>16.5</v>
      </c>
      <c r="F54" s="714">
        <f t="shared" si="3"/>
        <v>0</v>
      </c>
      <c r="G54" s="566" t="s">
        <v>821</v>
      </c>
      <c r="T54" s="645" t="b">
        <f t="shared" si="4"/>
        <v>0</v>
      </c>
      <c r="X54" s="1382"/>
      <c r="Z54" s="1382"/>
      <c r="AB54" s="111" t="s">
        <v>1285</v>
      </c>
      <c r="AC54" s="447" t="s">
        <v>1286</v>
      </c>
      <c r="AD54" s="481"/>
      <c r="AE54" s="479" t="s">
        <v>1204</v>
      </c>
      <c r="AF54" s="23">
        <f ca="1">SUMIFS('Ресурсы (5.4)'!AF$26:AF$47,'Ресурсы (5.4)'!$F$26:$F$47,$F54,'Ресурсы (5.4)'!$G$26:$G$47,$G54)</f>
        <v>0</v>
      </c>
      <c r="AG54" s="23">
        <f ca="1">SUMIFS('Ресурсы (5.4)'!AG$26:AG$47,'Ресурсы (5.4)'!$F$26:$F$47,$F54,'Ресурсы (5.4)'!$G$26:$G$47,$G54)</f>
        <v>0</v>
      </c>
      <c r="AZ54" s="912" t="s">
        <v>1287</v>
      </c>
    </row>
    <row r="55" spans="5:52" ht="28.5" hidden="1" customHeight="1">
      <c r="E55" s="623">
        <v>29.3</v>
      </c>
      <c r="F55" s="714">
        <f t="shared" si="3"/>
        <v>0</v>
      </c>
      <c r="T55" s="645" t="b">
        <f t="shared" si="4"/>
        <v>0</v>
      </c>
      <c r="X55" s="1382"/>
      <c r="Z55" s="1382"/>
      <c r="AB55" s="111" t="s">
        <v>1288</v>
      </c>
      <c r="AC55" s="483" t="s">
        <v>1289</v>
      </c>
      <c r="AD55" s="107" t="s">
        <v>1278</v>
      </c>
      <c r="AE55" s="479" t="s">
        <v>1249</v>
      </c>
      <c r="AF55" s="23"/>
      <c r="AG55" s="23"/>
      <c r="AZ55" s="912" t="s">
        <v>828</v>
      </c>
    </row>
    <row r="56" spans="5:52" ht="30.75" hidden="1" customHeight="1">
      <c r="E56" s="623">
        <v>31.5</v>
      </c>
      <c r="F56" s="714">
        <f t="shared" si="3"/>
        <v>0</v>
      </c>
      <c r="T56" s="645" t="b">
        <f t="shared" si="4"/>
        <v>0</v>
      </c>
      <c r="X56" s="1382"/>
      <c r="Z56" s="1382"/>
      <c r="AB56" s="111" t="s">
        <v>1290</v>
      </c>
      <c r="AC56" s="483" t="s">
        <v>1247</v>
      </c>
      <c r="AD56" s="107" t="s">
        <v>1248</v>
      </c>
      <c r="AE56" s="479" t="s">
        <v>1249</v>
      </c>
      <c r="AF56" s="23"/>
      <c r="AG56" s="23"/>
      <c r="AZ56" s="912" t="s">
        <v>1291</v>
      </c>
    </row>
    <row r="57" spans="5:52" ht="27.75" hidden="1" customHeight="1">
      <c r="E57" s="623">
        <v>28.5</v>
      </c>
      <c r="F57" s="714">
        <f t="shared" si="3"/>
        <v>0</v>
      </c>
      <c r="T57" s="645" t="b">
        <f t="shared" si="4"/>
        <v>0</v>
      </c>
      <c r="X57" s="1382"/>
      <c r="Z57" s="1382"/>
      <c r="AB57" s="111" t="s">
        <v>1292</v>
      </c>
      <c r="AC57" s="483" t="s">
        <v>1252</v>
      </c>
      <c r="AD57" s="107" t="s">
        <v>1253</v>
      </c>
      <c r="AE57" s="479" t="s">
        <v>1249</v>
      </c>
      <c r="AF57" s="23"/>
      <c r="AG57" s="23"/>
      <c r="AZ57" s="912" t="s">
        <v>1293</v>
      </c>
    </row>
    <row r="58" spans="5:52" ht="22.15" hidden="1" customHeight="1">
      <c r="E58" s="623">
        <v>22.8</v>
      </c>
      <c r="F58" s="714">
        <f t="shared" si="3"/>
        <v>0</v>
      </c>
      <c r="T58" s="645" t="b">
        <f t="shared" si="4"/>
        <v>0</v>
      </c>
      <c r="X58" s="1382"/>
      <c r="Z58" s="1382"/>
      <c r="AB58" s="111" t="s">
        <v>1294</v>
      </c>
      <c r="AC58" s="483" t="s">
        <v>1295</v>
      </c>
      <c r="AD58" s="107" t="s">
        <v>1257</v>
      </c>
      <c r="AE58" s="479" t="s">
        <v>1271</v>
      </c>
      <c r="AF58" s="23"/>
      <c r="AG58" s="23"/>
      <c r="AZ58" s="912" t="s">
        <v>1296</v>
      </c>
    </row>
    <row r="59" spans="5:52" ht="37.35" hidden="1" customHeight="1">
      <c r="E59" s="623">
        <v>38.299999999999997</v>
      </c>
      <c r="F59" s="714">
        <f t="shared" si="3"/>
        <v>0</v>
      </c>
      <c r="G59" s="566" t="s">
        <v>1154</v>
      </c>
      <c r="T59" s="645" t="b">
        <f t="shared" si="4"/>
        <v>0</v>
      </c>
      <c r="X59" s="1382"/>
      <c r="Z59" s="1382"/>
      <c r="AB59" s="111" t="s">
        <v>1297</v>
      </c>
      <c r="AC59" s="436" t="s">
        <v>1298</v>
      </c>
      <c r="AD59" s="481" t="s">
        <v>1299</v>
      </c>
      <c r="AE59" s="479" t="s">
        <v>648</v>
      </c>
      <c r="AF59" s="23">
        <f ca="1">SUMIFS('Калькуляция (5.9)'!AF$26:AF$115,'Калькуляция (5.9)'!$F$26:$F$115,$F59,'Калькуляция (5.9)'!$G$26:$G$115,$G59)</f>
        <v>0</v>
      </c>
      <c r="AG59" s="23">
        <f ca="1">SUMIFS('Калькуляция (5.9)'!AG$26:AG$115,'Калькуляция (5.9)'!$F$26:$F$115,$F59,'Калькуляция (5.9)'!$G$26:$G$115,$G59)</f>
        <v>0</v>
      </c>
      <c r="AZ59" s="912" t="s">
        <v>1300</v>
      </c>
    </row>
    <row r="60" spans="5:52" ht="20.45" hidden="1" customHeight="1">
      <c r="E60" s="623">
        <v>21</v>
      </c>
      <c r="F60" s="714">
        <f t="shared" si="3"/>
        <v>0</v>
      </c>
      <c r="G60" s="566" t="s">
        <v>1301</v>
      </c>
      <c r="T60" s="645" t="b">
        <f t="shared" si="4"/>
        <v>0</v>
      </c>
      <c r="X60" s="1382"/>
      <c r="Z60" s="1382"/>
      <c r="AB60" s="111" t="s">
        <v>1302</v>
      </c>
      <c r="AC60" s="104" t="s">
        <v>1303</v>
      </c>
      <c r="AD60" s="479"/>
      <c r="AE60" s="479" t="s">
        <v>648</v>
      </c>
      <c r="AF60" s="23">
        <f ca="1">SUMIFS('Калькуляция (5.9)'!AF$26:AF$115,'Калькуляция (5.9)'!$F$26:$F$115,$F60,'Калькуляция (5.9)'!$G$26:$G$115,$G60)</f>
        <v>0</v>
      </c>
      <c r="AG60" s="23">
        <f ca="1">SUMIFS('Калькуляция (5.9)'!AG$26:AG$115,'Калькуляция (5.9)'!$F$26:$F$115,$F60,'Калькуляция (5.9)'!$G$26:$G$115,$G60)</f>
        <v>0</v>
      </c>
      <c r="AZ60" s="912" t="s">
        <v>1304</v>
      </c>
    </row>
    <row r="61" spans="5:52" ht="20.45" hidden="1" customHeight="1">
      <c r="E61" s="623">
        <v>21</v>
      </c>
      <c r="F61" s="714">
        <f t="shared" si="3"/>
        <v>0</v>
      </c>
      <c r="T61" s="645" t="b">
        <f t="shared" si="4"/>
        <v>0</v>
      </c>
      <c r="X61" s="1382"/>
      <c r="Z61" s="1382"/>
      <c r="AB61" s="111" t="s">
        <v>1305</v>
      </c>
      <c r="AC61" s="807" t="s">
        <v>1306</v>
      </c>
      <c r="AD61" s="479"/>
      <c r="AE61" s="479" t="s">
        <v>388</v>
      </c>
      <c r="AF61" s="63"/>
      <c r="AG61" s="63"/>
      <c r="AZ61" s="912" t="s">
        <v>1307</v>
      </c>
    </row>
    <row r="62" spans="5:52" ht="21.95" hidden="1" customHeight="1">
      <c r="E62" s="623">
        <v>22.5</v>
      </c>
      <c r="F62" s="714">
        <f>F60</f>
        <v>0</v>
      </c>
      <c r="G62" s="566" t="s">
        <v>1308</v>
      </c>
      <c r="T62" s="645" t="b">
        <f>T60</f>
        <v>0</v>
      </c>
      <c r="X62" s="1382"/>
      <c r="Z62" s="1382"/>
      <c r="AB62" s="111" t="s">
        <v>1309</v>
      </c>
      <c r="AC62" s="104" t="s">
        <v>1310</v>
      </c>
      <c r="AD62" s="479"/>
      <c r="AE62" s="479" t="s">
        <v>648</v>
      </c>
      <c r="AF62" s="23">
        <f ca="1">SUMIFS('Калькуляция (5.9)'!AF$26:AF$115,'Калькуляция (5.9)'!$F$26:$F$115,$F62,'Калькуляция (5.9)'!$G$26:$G$115,$G62)</f>
        <v>0</v>
      </c>
      <c r="AG62" s="23">
        <f ca="1">SUMIFS('Калькуляция (5.9)'!AG$26:AG$115,'Калькуляция (5.9)'!$F$26:$F$115,$F62,'Калькуляция (5.9)'!$G$26:$G$115,$G62)</f>
        <v>0</v>
      </c>
      <c r="AZ62" s="912" t="s">
        <v>1311</v>
      </c>
    </row>
    <row r="63" spans="5:52" ht="22.15" hidden="1" customHeight="1">
      <c r="E63" s="623">
        <v>22.8</v>
      </c>
      <c r="F63" s="714">
        <f t="shared" ref="F63:F74" si="5">F62</f>
        <v>0</v>
      </c>
      <c r="G63" s="566" t="s">
        <v>541</v>
      </c>
      <c r="T63" s="645" t="b">
        <f t="shared" ref="T63:T74" si="6">T62</f>
        <v>0</v>
      </c>
      <c r="X63" s="1382"/>
      <c r="Z63" s="1382"/>
      <c r="AB63" s="111" t="s">
        <v>1312</v>
      </c>
      <c r="AC63" s="104" t="s">
        <v>1313</v>
      </c>
      <c r="AD63" s="479"/>
      <c r="AE63" s="479" t="s">
        <v>648</v>
      </c>
      <c r="AF63" s="23">
        <f ca="1">SUMIFS('Калькуляция (5.9)'!AF$26:AF$115,'Калькуляция (5.9)'!$F$26:$F$115,$F63,'Калькуляция (5.9)'!$G$26:$G$115,$G63)</f>
        <v>0</v>
      </c>
      <c r="AG63" s="23">
        <f ca="1">SUMIFS('Калькуляция (5.9)'!AG$26:AG$115,'Калькуляция (5.9)'!$F$26:$F$115,$F63,'Калькуляция (5.9)'!$G$26:$G$115,$G63)</f>
        <v>0</v>
      </c>
      <c r="AZ63" s="912" t="s">
        <v>1314</v>
      </c>
    </row>
    <row r="64" spans="5:52" ht="29.25" hidden="1" customHeight="1">
      <c r="E64" s="623">
        <v>30</v>
      </c>
      <c r="F64" s="714">
        <f t="shared" si="5"/>
        <v>0</v>
      </c>
      <c r="T64" s="645" t="b">
        <f t="shared" si="6"/>
        <v>0</v>
      </c>
      <c r="X64" s="1382"/>
      <c r="Z64" s="1382"/>
      <c r="AB64" s="111" t="s">
        <v>1315</v>
      </c>
      <c r="AC64" s="104" t="s">
        <v>1316</v>
      </c>
      <c r="AD64" s="482"/>
      <c r="AE64" s="479" t="s">
        <v>648</v>
      </c>
      <c r="AF64" s="23"/>
      <c r="AG64" s="23"/>
      <c r="AZ64" s="912" t="s">
        <v>1317</v>
      </c>
    </row>
    <row r="65" spans="1:52" ht="37.35" hidden="1" customHeight="1">
      <c r="E65" s="623">
        <v>38.299999999999997</v>
      </c>
      <c r="F65" s="714">
        <f t="shared" si="5"/>
        <v>0</v>
      </c>
      <c r="T65" s="645" t="b">
        <f t="shared" si="6"/>
        <v>0</v>
      </c>
      <c r="X65" s="1382"/>
      <c r="Z65" s="1382"/>
      <c r="AB65" s="111" t="s">
        <v>1318</v>
      </c>
      <c r="AC65" s="104" t="s">
        <v>1319</v>
      </c>
      <c r="AD65" s="479"/>
      <c r="AE65" s="479" t="s">
        <v>648</v>
      </c>
      <c r="AF65" s="23"/>
      <c r="AG65" s="23"/>
      <c r="AZ65" s="912" t="s">
        <v>1320</v>
      </c>
    </row>
    <row r="66" spans="1:52" ht="73.150000000000006" hidden="1" customHeight="1">
      <c r="E66" s="623">
        <v>75</v>
      </c>
      <c r="F66" s="714">
        <f t="shared" si="5"/>
        <v>0</v>
      </c>
      <c r="T66" s="645" t="b">
        <f t="shared" si="6"/>
        <v>0</v>
      </c>
      <c r="X66" s="1382"/>
      <c r="Z66" s="1382"/>
      <c r="AB66" s="111" t="s">
        <v>1321</v>
      </c>
      <c r="AC66" s="104" t="s">
        <v>1322</v>
      </c>
      <c r="AD66" s="479"/>
      <c r="AE66" s="479" t="s">
        <v>648</v>
      </c>
      <c r="AF66" s="23"/>
      <c r="AG66" s="23"/>
      <c r="AZ66" s="912" t="s">
        <v>1323</v>
      </c>
    </row>
    <row r="67" spans="1:52" ht="72.400000000000006" hidden="1" customHeight="1">
      <c r="E67" s="623">
        <v>74.3</v>
      </c>
      <c r="F67" s="714">
        <f t="shared" si="5"/>
        <v>0</v>
      </c>
      <c r="T67" s="645" t="b">
        <f t="shared" si="6"/>
        <v>0</v>
      </c>
      <c r="X67" s="1382"/>
      <c r="Z67" s="1382"/>
      <c r="AB67" s="111" t="s">
        <v>1324</v>
      </c>
      <c r="AC67" s="104" t="s">
        <v>1325</v>
      </c>
      <c r="AD67" s="479"/>
      <c r="AE67" s="479" t="s">
        <v>1204</v>
      </c>
      <c r="AF67" s="23"/>
      <c r="AG67" s="23"/>
      <c r="AZ67" s="912" t="s">
        <v>1326</v>
      </c>
    </row>
    <row r="68" spans="1:52" ht="55.5" hidden="1" customHeight="1">
      <c r="E68" s="623">
        <v>57</v>
      </c>
      <c r="F68" s="714">
        <f t="shared" si="5"/>
        <v>0</v>
      </c>
      <c r="T68" s="645" t="b">
        <f t="shared" si="6"/>
        <v>0</v>
      </c>
      <c r="X68" s="1382"/>
      <c r="Z68" s="1382"/>
      <c r="AB68" s="111" t="s">
        <v>343</v>
      </c>
      <c r="AC68" s="477" t="s">
        <v>1327</v>
      </c>
      <c r="AD68" s="107" t="s">
        <v>1328</v>
      </c>
      <c r="AE68" s="479" t="s">
        <v>1204</v>
      </c>
      <c r="AF68" s="23"/>
      <c r="AG68" s="23"/>
      <c r="AZ68" s="912" t="s">
        <v>1329</v>
      </c>
    </row>
    <row r="69" spans="1:52" ht="11.1" hidden="1" customHeight="1">
      <c r="E69" s="623">
        <v>11.4</v>
      </c>
      <c r="F69" s="714">
        <f t="shared" si="5"/>
        <v>0</v>
      </c>
      <c r="T69" s="645" t="b">
        <f t="shared" si="6"/>
        <v>0</v>
      </c>
      <c r="X69" s="1382"/>
      <c r="Z69" s="1382"/>
    </row>
    <row r="70" spans="1:52" ht="11.1" hidden="1" customHeight="1">
      <c r="E70" s="623">
        <v>11.3</v>
      </c>
      <c r="F70" s="714">
        <f t="shared" si="5"/>
        <v>0</v>
      </c>
      <c r="T70" s="645" t="b">
        <f t="shared" si="6"/>
        <v>0</v>
      </c>
      <c r="X70" s="1382"/>
      <c r="Z70" s="1382"/>
      <c r="AB70" s="1506" t="s">
        <v>1200</v>
      </c>
      <c r="AC70" s="1520" t="s">
        <v>386</v>
      </c>
      <c r="AD70" s="1521"/>
      <c r="AE70" s="1522"/>
      <c r="AF70" s="1518" t="s">
        <v>964</v>
      </c>
      <c r="AG70" s="96">
        <f>god-2</f>
        <v>2024</v>
      </c>
      <c r="AH70" s="96">
        <f>god-1</f>
        <v>2025</v>
      </c>
      <c r="AI70" s="1518" t="s">
        <v>1330</v>
      </c>
      <c r="AJ70" s="239">
        <f>god</f>
        <v>2026</v>
      </c>
      <c r="AK70" s="96">
        <f>god+1</f>
        <v>2027</v>
      </c>
      <c r="AL70" s="96">
        <f>god+2</f>
        <v>2028</v>
      </c>
      <c r="AM70" s="96">
        <f>god+3</f>
        <v>2029</v>
      </c>
      <c r="AN70" s="96">
        <f>god+4</f>
        <v>2030</v>
      </c>
      <c r="AO70" s="1518" t="s">
        <v>1330</v>
      </c>
      <c r="AP70" s="239">
        <f>god</f>
        <v>2026</v>
      </c>
      <c r="AQ70" s="96">
        <f>god+1</f>
        <v>2027</v>
      </c>
      <c r="AR70" s="96">
        <f>god+2</f>
        <v>2028</v>
      </c>
      <c r="AS70" s="96">
        <f>god+3</f>
        <v>2029</v>
      </c>
      <c r="AT70" s="96">
        <f>god+4</f>
        <v>2030</v>
      </c>
      <c r="AW70" s="1519" t="s">
        <v>1331</v>
      </c>
    </row>
    <row r="71" spans="1:52" ht="21.95" hidden="1" customHeight="1">
      <c r="E71" s="623">
        <v>22.5</v>
      </c>
      <c r="F71" s="714">
        <f t="shared" si="5"/>
        <v>0</v>
      </c>
      <c r="T71" s="645" t="b">
        <f t="shared" si="6"/>
        <v>0</v>
      </c>
      <c r="X71" s="1382"/>
      <c r="Z71" s="1382"/>
      <c r="AB71" s="1507"/>
      <c r="AC71" s="1523"/>
      <c r="AD71" s="1524"/>
      <c r="AE71" s="1525"/>
      <c r="AF71" s="1518"/>
      <c r="AG71" s="111" t="s">
        <v>1332</v>
      </c>
      <c r="AH71" s="111" t="s">
        <v>1332</v>
      </c>
      <c r="AI71" s="1518"/>
      <c r="AJ71" s="111" t="s">
        <v>1333</v>
      </c>
      <c r="AK71" s="111" t="s">
        <v>1333</v>
      </c>
      <c r="AL71" s="111" t="s">
        <v>1333</v>
      </c>
      <c r="AM71" s="111" t="s">
        <v>1333</v>
      </c>
      <c r="AN71" s="111" t="s">
        <v>1333</v>
      </c>
      <c r="AO71" s="1518"/>
      <c r="AP71" s="111" t="s">
        <v>1334</v>
      </c>
      <c r="AQ71" s="111" t="s">
        <v>1334</v>
      </c>
      <c r="AR71" s="111" t="s">
        <v>1334</v>
      </c>
      <c r="AS71" s="111" t="s">
        <v>1334</v>
      </c>
      <c r="AT71" s="111" t="s">
        <v>1334</v>
      </c>
      <c r="AW71" s="1519"/>
    </row>
    <row r="72" spans="1:52" ht="15.4" hidden="1" customHeight="1">
      <c r="E72" s="623">
        <v>15.8</v>
      </c>
      <c r="F72" s="714">
        <f t="shared" si="5"/>
        <v>0</v>
      </c>
      <c r="T72" s="645" t="b">
        <f t="shared" si="6"/>
        <v>0</v>
      </c>
      <c r="X72" s="1382"/>
      <c r="Z72" s="1382"/>
      <c r="AB72" s="222" t="s">
        <v>520</v>
      </c>
      <c r="AC72" s="1510" t="s">
        <v>1335</v>
      </c>
      <c r="AD72" s="1511"/>
      <c r="AE72" s="1512"/>
      <c r="AF72" s="479" t="s">
        <v>648</v>
      </c>
      <c r="AG72" s="647" t="s">
        <v>1336</v>
      </c>
      <c r="AH72" s="647" t="s">
        <v>1336</v>
      </c>
      <c r="AI72" s="331">
        <f ca="1">AF29</f>
        <v>0</v>
      </c>
      <c r="AJ72" s="1194"/>
      <c r="AK72" s="64"/>
      <c r="AL72" s="64"/>
      <c r="AM72" s="64"/>
      <c r="AN72" s="789"/>
      <c r="AO72" s="331">
        <f ca="1">AG29</f>
        <v>0</v>
      </c>
      <c r="AP72" s="1195"/>
      <c r="AQ72" s="65"/>
      <c r="AR72" s="65"/>
      <c r="AS72" s="790"/>
      <c r="AT72" s="790"/>
      <c r="AW72" s="66"/>
      <c r="AZ72" s="912" t="s">
        <v>1337</v>
      </c>
    </row>
    <row r="73" spans="1:52" ht="27.2" hidden="1" customHeight="1">
      <c r="E73" s="623">
        <v>27.8</v>
      </c>
      <c r="F73" s="714">
        <f t="shared" si="5"/>
        <v>0</v>
      </c>
      <c r="T73" s="645" t="b">
        <f t="shared" si="6"/>
        <v>0</v>
      </c>
      <c r="X73" s="1382"/>
      <c r="Z73" s="1382"/>
      <c r="AB73" s="222" t="s">
        <v>527</v>
      </c>
      <c r="AC73" s="1513" t="s">
        <v>1338</v>
      </c>
      <c r="AD73" s="1514"/>
      <c r="AE73" s="1515"/>
      <c r="AF73" s="479" t="s">
        <v>648</v>
      </c>
      <c r="AG73" s="64"/>
      <c r="AH73" s="789"/>
      <c r="AI73" s="331">
        <f>SUM(AJ73:AN73)</f>
        <v>0</v>
      </c>
      <c r="AJ73" s="1194"/>
      <c r="AK73" s="64"/>
      <c r="AL73" s="64"/>
      <c r="AM73" s="64"/>
      <c r="AN73" s="789"/>
      <c r="AO73" s="331">
        <f>SUM(AP73:AT73)</f>
        <v>0</v>
      </c>
      <c r="AP73" s="1195"/>
      <c r="AQ73" s="65"/>
      <c r="AR73" s="65"/>
      <c r="AS73" s="790"/>
      <c r="AT73" s="790"/>
      <c r="AW73" s="66"/>
      <c r="AZ73" s="912" t="s">
        <v>1339</v>
      </c>
    </row>
    <row r="74" spans="1:52" ht="15.4" hidden="1" customHeight="1">
      <c r="E74" s="623">
        <v>15.8</v>
      </c>
      <c r="F74" s="714">
        <f t="shared" si="5"/>
        <v>0</v>
      </c>
      <c r="G74" s="566" t="s">
        <v>1340</v>
      </c>
      <c r="T74" s="645" t="b">
        <f t="shared" si="6"/>
        <v>0</v>
      </c>
      <c r="X74" s="1382"/>
      <c r="Z74" s="1382"/>
      <c r="AB74" s="244" t="s">
        <v>534</v>
      </c>
      <c r="AC74" s="1516" t="s">
        <v>1341</v>
      </c>
      <c r="AD74" s="1517"/>
      <c r="AE74" s="1442"/>
      <c r="AF74" s="479" t="s">
        <v>648</v>
      </c>
      <c r="AG74" s="331">
        <f>AG73</f>
        <v>0</v>
      </c>
      <c r="AH74" s="331">
        <f>AH73</f>
        <v>0</v>
      </c>
      <c r="AI74" s="331">
        <f t="shared" ref="AI74:AT74" ca="1" si="7">AI72+AI73</f>
        <v>0</v>
      </c>
      <c r="AJ74" s="331">
        <f t="shared" si="7"/>
        <v>0</v>
      </c>
      <c r="AK74" s="331">
        <f t="shared" si="7"/>
        <v>0</v>
      </c>
      <c r="AL74" s="331">
        <f t="shared" si="7"/>
        <v>0</v>
      </c>
      <c r="AM74" s="331">
        <f t="shared" si="7"/>
        <v>0</v>
      </c>
      <c r="AN74" s="331">
        <f t="shared" si="7"/>
        <v>0</v>
      </c>
      <c r="AO74" s="331">
        <f t="shared" ca="1" si="7"/>
        <v>0</v>
      </c>
      <c r="AP74" s="331">
        <f t="shared" si="7"/>
        <v>0</v>
      </c>
      <c r="AQ74" s="331">
        <f t="shared" si="7"/>
        <v>0</v>
      </c>
      <c r="AR74" s="331">
        <f t="shared" si="7"/>
        <v>0</v>
      </c>
      <c r="AS74" s="331">
        <f t="shared" si="7"/>
        <v>0</v>
      </c>
      <c r="AT74" s="331">
        <f t="shared" si="7"/>
        <v>0</v>
      </c>
      <c r="AW74" s="66"/>
      <c r="AZ74" s="912" t="s">
        <v>1342</v>
      </c>
    </row>
    <row r="75" spans="1:52" s="1196" customFormat="1" ht="10.5" customHeight="1">
      <c r="A75" s="157"/>
      <c r="B75" s="157"/>
      <c r="C75" s="157"/>
      <c r="D75" s="157"/>
      <c r="E75" s="623">
        <v>11.4</v>
      </c>
      <c r="F75" s="714" t="str">
        <f>X75</f>
        <v>1</v>
      </c>
      <c r="G75" s="157"/>
      <c r="H75" s="157"/>
      <c r="I75" s="157"/>
      <c r="J75" s="157"/>
      <c r="K75" s="157"/>
      <c r="L75" s="157"/>
      <c r="M75" s="157"/>
      <c r="N75" s="157"/>
      <c r="O75" s="157"/>
      <c r="P75" s="157"/>
      <c r="Q75" s="157"/>
      <c r="R75" s="157"/>
      <c r="S75" s="157"/>
      <c r="T75" s="634" t="b">
        <f>X75&gt;0</f>
        <v>1</v>
      </c>
      <c r="U75" s="157"/>
      <c r="V75" s="113" t="str">
        <f>'Ресурсы (5.4)'!$AB$37</f>
        <v>Тариф 1 (Теплоснабжение) - Тарифы на теплоноситель (Не определено)</v>
      </c>
      <c r="W75" s="157"/>
      <c r="X75" s="1405" t="s">
        <v>247</v>
      </c>
      <c r="Y75" s="157"/>
      <c r="Z75" s="1403"/>
      <c r="AA75" s="157"/>
      <c r="AB75" s="247" t="str">
        <f>IF(ISBLANK('Ресурсы (5.4)'!$AB$37),"",'Ресурсы (5.4)'!$AB$37)</f>
        <v>Тариф 1 (Теплоснабжение) - Тарифы на теплоноситель (Не определено)</v>
      </c>
      <c r="AC75" s="248"/>
      <c r="AD75" s="248"/>
      <c r="AE75" s="248"/>
      <c r="AF75" s="248"/>
      <c r="AG75" s="248"/>
      <c r="AH75" s="157"/>
      <c r="AI75" s="157"/>
      <c r="AJ75" s="157"/>
      <c r="AK75" s="157"/>
      <c r="AL75" s="157"/>
      <c r="AM75" s="157"/>
      <c r="AN75" s="157"/>
      <c r="AO75" s="157"/>
      <c r="AP75" s="157"/>
      <c r="AQ75" s="157"/>
      <c r="AR75" s="157"/>
      <c r="AS75" s="157"/>
      <c r="AT75" s="157"/>
      <c r="AU75" s="157"/>
      <c r="AV75" s="157"/>
      <c r="AW75" s="157"/>
      <c r="AX75" s="157"/>
      <c r="AY75" s="157"/>
      <c r="AZ75" s="912"/>
    </row>
    <row r="76" spans="1:52" s="1057" customFormat="1" ht="50.25" customHeight="1">
      <c r="A76" s="1016"/>
      <c r="B76" s="718"/>
      <c r="C76" s="1016"/>
      <c r="D76" s="1016"/>
      <c r="E76" s="623">
        <v>51.8</v>
      </c>
      <c r="F76" s="714" t="str">
        <f t="shared" ref="F76:F108" si="8">F75</f>
        <v>1</v>
      </c>
      <c r="G76" s="750"/>
      <c r="H76" s="750"/>
      <c r="I76" s="750"/>
      <c r="J76" s="750"/>
      <c r="K76" s="750"/>
      <c r="L76" s="750"/>
      <c r="M76" s="750"/>
      <c r="N76" s="750"/>
      <c r="O76" s="750"/>
      <c r="P76" s="750"/>
      <c r="Q76" s="719"/>
      <c r="R76" s="719"/>
      <c r="S76" s="750"/>
      <c r="T76" s="645" t="b">
        <f t="shared" ref="T76:T108" si="9">T75</f>
        <v>1</v>
      </c>
      <c r="U76" s="1016"/>
      <c r="V76" s="1016"/>
      <c r="W76" s="1016"/>
      <c r="X76" s="1382"/>
      <c r="Y76" s="1016"/>
      <c r="Z76" s="1382"/>
      <c r="AA76" s="726"/>
      <c r="AB76" s="250" t="s">
        <v>247</v>
      </c>
      <c r="AC76" s="477" t="s">
        <v>59</v>
      </c>
      <c r="AD76" s="478" t="s">
        <v>1203</v>
      </c>
      <c r="AE76" s="479" t="s">
        <v>1204</v>
      </c>
      <c r="AF76" s="288">
        <f ca="1">AF77-AF115</f>
        <v>1.0000000002037268E-3</v>
      </c>
      <c r="AG76" s="288">
        <f ca="1">AG77-AG115</f>
        <v>0</v>
      </c>
      <c r="AH76" s="424"/>
      <c r="AI76" s="424"/>
      <c r="AJ76" s="424"/>
      <c r="AK76" s="424"/>
      <c r="AL76" s="424"/>
      <c r="AM76" s="424"/>
      <c r="AN76" s="424"/>
      <c r="AO76" s="424"/>
      <c r="AP76" s="424"/>
      <c r="AQ76" s="424"/>
      <c r="AR76" s="424"/>
      <c r="AS76" s="424"/>
      <c r="AT76" s="424"/>
      <c r="AU76" s="424"/>
      <c r="AV76" s="424"/>
      <c r="AW76" s="424"/>
      <c r="AX76" s="424"/>
      <c r="AY76" s="424"/>
      <c r="AZ76" s="912" t="s">
        <v>1205</v>
      </c>
    </row>
    <row r="77" spans="1:52" s="1057" customFormat="1" ht="51" customHeight="1">
      <c r="A77" s="1016"/>
      <c r="B77" s="718"/>
      <c r="C77" s="1016"/>
      <c r="D77" s="1016"/>
      <c r="E77" s="623">
        <v>52.5</v>
      </c>
      <c r="F77" s="714" t="str">
        <f t="shared" si="8"/>
        <v>1</v>
      </c>
      <c r="G77" s="750"/>
      <c r="H77" s="750"/>
      <c r="I77" s="750"/>
      <c r="J77" s="750"/>
      <c r="K77" s="750"/>
      <c r="L77" s="750"/>
      <c r="M77" s="750"/>
      <c r="N77" s="750"/>
      <c r="O77" s="750"/>
      <c r="P77" s="750"/>
      <c r="Q77" s="719"/>
      <c r="R77" s="719"/>
      <c r="S77" s="750"/>
      <c r="T77" s="645" t="b">
        <f t="shared" si="9"/>
        <v>1</v>
      </c>
      <c r="U77" s="1016"/>
      <c r="V77" s="1016"/>
      <c r="W77" s="1016"/>
      <c r="X77" s="1382"/>
      <c r="Y77" s="1016"/>
      <c r="Z77" s="1382"/>
      <c r="AA77" s="726"/>
      <c r="AB77" s="111" t="s">
        <v>339</v>
      </c>
      <c r="AC77" s="102" t="s">
        <v>1206</v>
      </c>
      <c r="AD77" s="478" t="s">
        <v>1343</v>
      </c>
      <c r="AE77" s="479" t="s">
        <v>1204</v>
      </c>
      <c r="AF77" s="288">
        <f ca="1">AF79+AF80+AF106+AF107+AF109+AF110+AF111+AF112-AF113+AF114</f>
        <v>3439.0210000000002</v>
      </c>
      <c r="AG77" s="1107">
        <f ca="1">AG79+AG80+AG106+AG107+AG109+AG110+AG111+AG112-AG113+AG114</f>
        <v>3439.02</v>
      </c>
      <c r="AH77" s="424"/>
      <c r="AI77" s="424"/>
      <c r="AJ77" s="424"/>
      <c r="AK77" s="424"/>
      <c r="AL77" s="424"/>
      <c r="AM77" s="424"/>
      <c r="AN77" s="424"/>
      <c r="AO77" s="424"/>
      <c r="AP77" s="424"/>
      <c r="AQ77" s="424"/>
      <c r="AR77" s="424"/>
      <c r="AS77" s="424"/>
      <c r="AT77" s="424"/>
      <c r="AU77" s="424"/>
      <c r="AV77" s="424"/>
      <c r="AW77" s="424"/>
      <c r="AX77" s="424"/>
      <c r="AY77" s="424"/>
      <c r="AZ77" s="912" t="s">
        <v>1208</v>
      </c>
    </row>
    <row r="78" spans="1:52" s="1057" customFormat="1" ht="27" customHeight="1">
      <c r="A78" s="1016"/>
      <c r="B78" s="718"/>
      <c r="C78" s="1016"/>
      <c r="D78" s="1016"/>
      <c r="E78" s="623">
        <v>27.8</v>
      </c>
      <c r="F78" s="714" t="str">
        <f t="shared" si="8"/>
        <v>1</v>
      </c>
      <c r="G78" s="750"/>
      <c r="H78" s="750"/>
      <c r="I78" s="750"/>
      <c r="J78" s="750"/>
      <c r="K78" s="750"/>
      <c r="L78" s="750"/>
      <c r="M78" s="750"/>
      <c r="N78" s="750"/>
      <c r="O78" s="750"/>
      <c r="P78" s="750"/>
      <c r="Q78" s="719"/>
      <c r="R78" s="719"/>
      <c r="S78" s="750"/>
      <c r="T78" s="645" t="b">
        <f t="shared" si="9"/>
        <v>1</v>
      </c>
      <c r="U78" s="1016"/>
      <c r="V78" s="1016"/>
      <c r="W78" s="1016"/>
      <c r="X78" s="1382"/>
      <c r="Y78" s="1016"/>
      <c r="Z78" s="1382"/>
      <c r="AA78" s="726"/>
      <c r="AB78" s="111"/>
      <c r="AC78" s="484" t="s">
        <v>1209</v>
      </c>
      <c r="AD78" s="480" t="s">
        <v>1344</v>
      </c>
      <c r="AE78" s="479" t="s">
        <v>1204</v>
      </c>
      <c r="AF78" s="1107"/>
      <c r="AG78" s="1107"/>
      <c r="AH78" s="424"/>
      <c r="AI78" s="424"/>
      <c r="AJ78" s="424"/>
      <c r="AK78" s="424"/>
      <c r="AL78" s="424"/>
      <c r="AM78" s="424"/>
      <c r="AN78" s="424"/>
      <c r="AO78" s="424"/>
      <c r="AP78" s="424"/>
      <c r="AQ78" s="424"/>
      <c r="AR78" s="424"/>
      <c r="AS78" s="424"/>
      <c r="AT78" s="424"/>
      <c r="AU78" s="424"/>
      <c r="AV78" s="424"/>
      <c r="AW78" s="424"/>
      <c r="AX78" s="424"/>
      <c r="AY78" s="424"/>
      <c r="AZ78" s="912" t="s">
        <v>1211</v>
      </c>
    </row>
    <row r="79" spans="1:52" s="1057" customFormat="1" ht="29.25" customHeight="1">
      <c r="A79" s="1016"/>
      <c r="B79" s="718"/>
      <c r="C79" s="1016"/>
      <c r="D79" s="1016"/>
      <c r="E79" s="623">
        <v>30</v>
      </c>
      <c r="F79" s="714" t="str">
        <f t="shared" si="8"/>
        <v>1</v>
      </c>
      <c r="G79" s="566" t="s">
        <v>1094</v>
      </c>
      <c r="H79" s="750"/>
      <c r="I79" s="750"/>
      <c r="J79" s="750"/>
      <c r="K79" s="750"/>
      <c r="L79" s="750"/>
      <c r="M79" s="750"/>
      <c r="N79" s="750"/>
      <c r="O79" s="750"/>
      <c r="P79" s="750"/>
      <c r="Q79" s="719"/>
      <c r="R79" s="719"/>
      <c r="S79" s="750"/>
      <c r="T79" s="645" t="b">
        <f t="shared" si="9"/>
        <v>1</v>
      </c>
      <c r="U79" s="1016"/>
      <c r="V79" s="1016"/>
      <c r="W79" s="1016"/>
      <c r="X79" s="1382"/>
      <c r="Y79" s="1016"/>
      <c r="Z79" s="1382"/>
      <c r="AA79" s="726"/>
      <c r="AB79" s="111" t="s">
        <v>970</v>
      </c>
      <c r="AC79" s="436" t="s">
        <v>1212</v>
      </c>
      <c r="AD79" s="481" t="s">
        <v>1345</v>
      </c>
      <c r="AE79" s="478" t="s">
        <v>1204</v>
      </c>
      <c r="AF79" s="1107">
        <f ca="1">SUMIFS('Операционные (5.1)'!AF$26:AF$75,'Операционные (5.1)'!$F$26:$F$75,$F79,'Операционные (5.1)'!$G$26:$G$75,$G79)</f>
        <v>0</v>
      </c>
      <c r="AG79" s="1107">
        <f ca="1">SUMIFS('Операционные (5.1)'!AG$26:AG$75,'Операционные (5.1)'!$F$26:$F$75,$F79,'Операционные (5.1)'!$G$26:$G$75,$G79)</f>
        <v>0</v>
      </c>
      <c r="AH79" s="424"/>
      <c r="AI79" s="424"/>
      <c r="AJ79" s="424"/>
      <c r="AK79" s="424"/>
      <c r="AL79" s="424"/>
      <c r="AM79" s="424"/>
      <c r="AN79" s="424"/>
      <c r="AO79" s="424"/>
      <c r="AP79" s="424"/>
      <c r="AQ79" s="424"/>
      <c r="AR79" s="424"/>
      <c r="AS79" s="424"/>
      <c r="AT79" s="424"/>
      <c r="AU79" s="424"/>
      <c r="AV79" s="424"/>
      <c r="AW79" s="424"/>
      <c r="AX79" s="424"/>
      <c r="AY79" s="424"/>
      <c r="AZ79" s="912" t="s">
        <v>1214</v>
      </c>
    </row>
    <row r="80" spans="1:52" s="1057" customFormat="1" ht="39.75" customHeight="1">
      <c r="A80" s="1016"/>
      <c r="B80" s="718"/>
      <c r="C80" s="1016"/>
      <c r="D80" s="1016"/>
      <c r="E80" s="623">
        <v>41.3</v>
      </c>
      <c r="F80" s="714" t="str">
        <f t="shared" si="8"/>
        <v>1</v>
      </c>
      <c r="G80" s="750"/>
      <c r="H80" s="750"/>
      <c r="I80" s="750"/>
      <c r="J80" s="750"/>
      <c r="K80" s="750"/>
      <c r="L80" s="750"/>
      <c r="M80" s="750"/>
      <c r="N80" s="750"/>
      <c r="O80" s="750"/>
      <c r="P80" s="750"/>
      <c r="Q80" s="719"/>
      <c r="R80" s="719"/>
      <c r="S80" s="750"/>
      <c r="T80" s="645" t="b">
        <f t="shared" si="9"/>
        <v>1</v>
      </c>
      <c r="U80" s="1016"/>
      <c r="V80" s="1016"/>
      <c r="W80" s="1016"/>
      <c r="X80" s="1382"/>
      <c r="Y80" s="1016"/>
      <c r="Z80" s="1382"/>
      <c r="AA80" s="726"/>
      <c r="AB80" s="111" t="s">
        <v>974</v>
      </c>
      <c r="AC80" s="436" t="s">
        <v>1215</v>
      </c>
      <c r="AD80" s="481" t="s">
        <v>1216</v>
      </c>
      <c r="AE80" s="478" t="s">
        <v>1204</v>
      </c>
      <c r="AF80" s="288">
        <f ca="1">AF81+AF85</f>
        <v>3439.0210000000002</v>
      </c>
      <c r="AG80" s="288">
        <f ca="1">AG81+AG85</f>
        <v>3439.02</v>
      </c>
      <c r="AH80" s="424"/>
      <c r="AI80" s="424"/>
      <c r="AJ80" s="424"/>
      <c r="AK80" s="424"/>
      <c r="AL80" s="424"/>
      <c r="AM80" s="424"/>
      <c r="AN80" s="424"/>
      <c r="AO80" s="424"/>
      <c r="AP80" s="424"/>
      <c r="AQ80" s="424"/>
      <c r="AR80" s="424"/>
      <c r="AS80" s="424"/>
      <c r="AT80" s="424"/>
      <c r="AU80" s="424"/>
      <c r="AV80" s="424"/>
      <c r="AW80" s="424"/>
      <c r="AX80" s="424"/>
      <c r="AY80" s="424"/>
      <c r="AZ80" s="912" t="s">
        <v>1217</v>
      </c>
    </row>
    <row r="81" spans="1:52" s="1057" customFormat="1" ht="55.5" customHeight="1">
      <c r="A81" s="1016"/>
      <c r="B81" s="718"/>
      <c r="C81" s="1016"/>
      <c r="D81" s="1016"/>
      <c r="E81" s="623">
        <v>57</v>
      </c>
      <c r="F81" s="714" t="str">
        <f t="shared" si="8"/>
        <v>1</v>
      </c>
      <c r="G81" s="566" t="s">
        <v>1189</v>
      </c>
      <c r="H81" s="750"/>
      <c r="I81" s="750"/>
      <c r="J81" s="750"/>
      <c r="K81" s="750"/>
      <c r="L81" s="750"/>
      <c r="M81" s="750"/>
      <c r="N81" s="750"/>
      <c r="O81" s="750"/>
      <c r="P81" s="750"/>
      <c r="Q81" s="719"/>
      <c r="R81" s="719"/>
      <c r="S81" s="750"/>
      <c r="T81" s="645" t="b">
        <f t="shared" si="9"/>
        <v>1</v>
      </c>
      <c r="U81" s="1016"/>
      <c r="V81" s="1016"/>
      <c r="W81" s="1016"/>
      <c r="X81" s="1382"/>
      <c r="Y81" s="1016"/>
      <c r="Z81" s="1382"/>
      <c r="AA81" s="726"/>
      <c r="AB81" s="111" t="s">
        <v>1218</v>
      </c>
      <c r="AC81" s="447" t="s">
        <v>1219</v>
      </c>
      <c r="AD81" s="107" t="s">
        <v>1220</v>
      </c>
      <c r="AE81" s="479" t="s">
        <v>1204</v>
      </c>
      <c r="AF81" s="1107">
        <f ca="1">SUMIFS('Ресурсы (5.4)'!AF$26:AF$47,'Ресурсы (5.4)'!$F$26:$F$47,$F81,'Ресурсы (5.4)'!$G$26:$G$47,$G81)</f>
        <v>0</v>
      </c>
      <c r="AG81" s="1107">
        <f ca="1">SUMIFS('Ресурсы (5.4)'!AG$26:AG$47,'Ресурсы (5.4)'!$F$26:$F$47,$F81,'Ресурсы (5.4)'!$G$26:$G$47,$G81)</f>
        <v>0</v>
      </c>
      <c r="AH81" s="424"/>
      <c r="AI81" s="424"/>
      <c r="AJ81" s="424"/>
      <c r="AK81" s="424"/>
      <c r="AL81" s="424"/>
      <c r="AM81" s="424"/>
      <c r="AN81" s="424"/>
      <c r="AO81" s="424"/>
      <c r="AP81" s="424"/>
      <c r="AQ81" s="424"/>
      <c r="AR81" s="424"/>
      <c r="AS81" s="424"/>
      <c r="AT81" s="424"/>
      <c r="AU81" s="424"/>
      <c r="AV81" s="424"/>
      <c r="AW81" s="424"/>
      <c r="AX81" s="424"/>
      <c r="AY81" s="424"/>
      <c r="AZ81" s="912" t="s">
        <v>1221</v>
      </c>
    </row>
    <row r="82" spans="1:52" s="1057" customFormat="1" ht="24.75" customHeight="1">
      <c r="A82" s="1016"/>
      <c r="B82" s="718"/>
      <c r="C82" s="1016"/>
      <c r="D82" s="1016"/>
      <c r="E82" s="623">
        <v>25.5</v>
      </c>
      <c r="F82" s="714" t="str">
        <f t="shared" si="8"/>
        <v>1</v>
      </c>
      <c r="G82" s="750"/>
      <c r="H82" s="750"/>
      <c r="I82" s="750"/>
      <c r="J82" s="750"/>
      <c r="K82" s="750"/>
      <c r="L82" s="750"/>
      <c r="M82" s="750"/>
      <c r="N82" s="750"/>
      <c r="O82" s="750"/>
      <c r="P82" s="750"/>
      <c r="Q82" s="719"/>
      <c r="R82" s="719"/>
      <c r="S82" s="750"/>
      <c r="T82" s="645" t="b">
        <f t="shared" si="9"/>
        <v>1</v>
      </c>
      <c r="U82" s="1016"/>
      <c r="V82" s="1016"/>
      <c r="W82" s="1016"/>
      <c r="X82" s="1382"/>
      <c r="Y82" s="1016"/>
      <c r="Z82" s="1382"/>
      <c r="AA82" s="726"/>
      <c r="AB82" s="111" t="s">
        <v>1222</v>
      </c>
      <c r="AC82" s="483" t="s">
        <v>1223</v>
      </c>
      <c r="AD82" s="107" t="s">
        <v>1224</v>
      </c>
      <c r="AE82" s="479" t="s">
        <v>616</v>
      </c>
      <c r="AF82" s="1107"/>
      <c r="AG82" s="1107"/>
      <c r="AH82" s="424"/>
      <c r="AI82" s="424"/>
      <c r="AJ82" s="424"/>
      <c r="AK82" s="424"/>
      <c r="AL82" s="424"/>
      <c r="AM82" s="424"/>
      <c r="AN82" s="424"/>
      <c r="AO82" s="424"/>
      <c r="AP82" s="424"/>
      <c r="AQ82" s="424"/>
      <c r="AR82" s="424"/>
      <c r="AS82" s="424"/>
      <c r="AT82" s="424"/>
      <c r="AU82" s="424"/>
      <c r="AV82" s="424"/>
      <c r="AW82" s="424"/>
      <c r="AX82" s="424"/>
      <c r="AY82" s="424"/>
      <c r="AZ82" s="912" t="s">
        <v>1225</v>
      </c>
    </row>
    <row r="83" spans="1:52" s="1057" customFormat="1" ht="38.25" customHeight="1">
      <c r="A83" s="1016"/>
      <c r="B83" s="718"/>
      <c r="C83" s="1016"/>
      <c r="D83" s="1016"/>
      <c r="E83" s="623">
        <v>39.799999999999997</v>
      </c>
      <c r="F83" s="714" t="str">
        <f t="shared" si="8"/>
        <v>1</v>
      </c>
      <c r="G83" s="750"/>
      <c r="H83" s="750"/>
      <c r="I83" s="750"/>
      <c r="J83" s="750"/>
      <c r="K83" s="750"/>
      <c r="L83" s="750"/>
      <c r="M83" s="750"/>
      <c r="N83" s="750"/>
      <c r="O83" s="750"/>
      <c r="P83" s="750"/>
      <c r="Q83" s="719"/>
      <c r="R83" s="719"/>
      <c r="S83" s="750"/>
      <c r="T83" s="645" t="b">
        <f t="shared" si="9"/>
        <v>1</v>
      </c>
      <c r="U83" s="1016"/>
      <c r="V83" s="1016"/>
      <c r="W83" s="1016"/>
      <c r="X83" s="1382"/>
      <c r="Y83" s="1016"/>
      <c r="Z83" s="1382"/>
      <c r="AA83" s="726"/>
      <c r="AB83" s="111" t="s">
        <v>1226</v>
      </c>
      <c r="AC83" s="483" t="s">
        <v>1227</v>
      </c>
      <c r="AD83" s="107" t="s">
        <v>1228</v>
      </c>
      <c r="AE83" s="479" t="s">
        <v>598</v>
      </c>
      <c r="AF83" s="1107"/>
      <c r="AG83" s="1107"/>
      <c r="AH83" s="424"/>
      <c r="AI83" s="424"/>
      <c r="AJ83" s="424"/>
      <c r="AK83" s="424"/>
      <c r="AL83" s="424"/>
      <c r="AM83" s="424"/>
      <c r="AN83" s="424"/>
      <c r="AO83" s="424"/>
      <c r="AP83" s="424"/>
      <c r="AQ83" s="424"/>
      <c r="AR83" s="424"/>
      <c r="AS83" s="424"/>
      <c r="AT83" s="424"/>
      <c r="AU83" s="424"/>
      <c r="AV83" s="424"/>
      <c r="AW83" s="424"/>
      <c r="AX83" s="424"/>
      <c r="AY83" s="424"/>
      <c r="AZ83" s="912" t="s">
        <v>1229</v>
      </c>
    </row>
    <row r="84" spans="1:52" s="1057" customFormat="1" ht="23.25" customHeight="1">
      <c r="A84" s="1016"/>
      <c r="B84" s="718"/>
      <c r="C84" s="1016"/>
      <c r="D84" s="1016"/>
      <c r="E84" s="623">
        <v>24</v>
      </c>
      <c r="F84" s="714" t="str">
        <f t="shared" si="8"/>
        <v>1</v>
      </c>
      <c r="G84" s="750"/>
      <c r="H84" s="750"/>
      <c r="I84" s="750"/>
      <c r="J84" s="750"/>
      <c r="K84" s="750"/>
      <c r="L84" s="750"/>
      <c r="M84" s="750"/>
      <c r="N84" s="750"/>
      <c r="O84" s="750"/>
      <c r="P84" s="750"/>
      <c r="Q84" s="719"/>
      <c r="R84" s="719"/>
      <c r="S84" s="750"/>
      <c r="T84" s="645" t="b">
        <f t="shared" si="9"/>
        <v>1</v>
      </c>
      <c r="U84" s="1016"/>
      <c r="V84" s="1016"/>
      <c r="W84" s="1016"/>
      <c r="X84" s="1382"/>
      <c r="Y84" s="1016"/>
      <c r="Z84" s="1382"/>
      <c r="AA84" s="726"/>
      <c r="AB84" s="111" t="s">
        <v>1230</v>
      </c>
      <c r="AC84" s="483" t="s">
        <v>1231</v>
      </c>
      <c r="AD84" s="107" t="s">
        <v>1346</v>
      </c>
      <c r="AE84" s="479" t="s">
        <v>1233</v>
      </c>
      <c r="AF84" s="1107"/>
      <c r="AG84" s="1107"/>
      <c r="AH84" s="424"/>
      <c r="AI84" s="424"/>
      <c r="AJ84" s="424"/>
      <c r="AK84" s="424"/>
      <c r="AL84" s="424"/>
      <c r="AM84" s="424"/>
      <c r="AN84" s="424"/>
      <c r="AO84" s="424"/>
      <c r="AP84" s="424"/>
      <c r="AQ84" s="424"/>
      <c r="AR84" s="424"/>
      <c r="AS84" s="424"/>
      <c r="AT84" s="424"/>
      <c r="AU84" s="424"/>
      <c r="AV84" s="424"/>
      <c r="AW84" s="424"/>
      <c r="AX84" s="424"/>
      <c r="AY84" s="424"/>
      <c r="AZ84" s="912" t="s">
        <v>1234</v>
      </c>
    </row>
    <row r="85" spans="1:52" s="1057" customFormat="1" ht="56.25" customHeight="1">
      <c r="A85" s="1016"/>
      <c r="B85" s="718"/>
      <c r="C85" s="1016"/>
      <c r="D85" s="1016"/>
      <c r="E85" s="623">
        <v>57.8</v>
      </c>
      <c r="F85" s="714" t="str">
        <f t="shared" si="8"/>
        <v>1</v>
      </c>
      <c r="G85" s="750"/>
      <c r="H85" s="750"/>
      <c r="I85" s="750"/>
      <c r="J85" s="750"/>
      <c r="K85" s="750"/>
      <c r="L85" s="750"/>
      <c r="M85" s="750"/>
      <c r="N85" s="750"/>
      <c r="O85" s="750"/>
      <c r="P85" s="750"/>
      <c r="Q85" s="719"/>
      <c r="R85" s="719"/>
      <c r="S85" s="750"/>
      <c r="T85" s="645" t="b">
        <f t="shared" si="9"/>
        <v>1</v>
      </c>
      <c r="U85" s="1016"/>
      <c r="V85" s="1016"/>
      <c r="W85" s="1016"/>
      <c r="X85" s="1382"/>
      <c r="Y85" s="1016"/>
      <c r="Z85" s="1382"/>
      <c r="AA85" s="726"/>
      <c r="AB85" s="111" t="s">
        <v>1235</v>
      </c>
      <c r="AC85" s="436" t="s">
        <v>1236</v>
      </c>
      <c r="AD85" s="107" t="s">
        <v>1237</v>
      </c>
      <c r="AE85" s="479" t="s">
        <v>1204</v>
      </c>
      <c r="AF85" s="288">
        <f ca="1">AF86+AF91+AF96+AF101</f>
        <v>3439.0210000000002</v>
      </c>
      <c r="AG85" s="288">
        <f ca="1">AG86+AG91+AG96+AG101</f>
        <v>3439.02</v>
      </c>
      <c r="AH85" s="424"/>
      <c r="AI85" s="424"/>
      <c r="AJ85" s="424"/>
      <c r="AK85" s="424"/>
      <c r="AL85" s="424"/>
      <c r="AM85" s="424"/>
      <c r="AN85" s="424"/>
      <c r="AO85" s="424"/>
      <c r="AP85" s="424"/>
      <c r="AQ85" s="424"/>
      <c r="AR85" s="424"/>
      <c r="AS85" s="424"/>
      <c r="AT85" s="424"/>
      <c r="AU85" s="424"/>
      <c r="AV85" s="424"/>
      <c r="AW85" s="424"/>
      <c r="AX85" s="424"/>
      <c r="AY85" s="424"/>
      <c r="AZ85" s="912" t="s">
        <v>1238</v>
      </c>
    </row>
    <row r="86" spans="1:52" s="1057" customFormat="1" ht="19.5" customHeight="1">
      <c r="A86" s="1016"/>
      <c r="B86" s="718"/>
      <c r="C86" s="1016"/>
      <c r="D86" s="1016"/>
      <c r="E86" s="623">
        <v>20.3</v>
      </c>
      <c r="F86" s="714" t="str">
        <f t="shared" si="8"/>
        <v>1</v>
      </c>
      <c r="G86" s="566" t="s">
        <v>742</v>
      </c>
      <c r="H86" s="750"/>
      <c r="I86" s="750"/>
      <c r="J86" s="750"/>
      <c r="K86" s="750"/>
      <c r="L86" s="750"/>
      <c r="M86" s="750"/>
      <c r="N86" s="750"/>
      <c r="O86" s="750"/>
      <c r="P86" s="750"/>
      <c r="Q86" s="719"/>
      <c r="R86" s="719"/>
      <c r="S86" s="750"/>
      <c r="T86" s="645" t="b">
        <f t="shared" si="9"/>
        <v>1</v>
      </c>
      <c r="U86" s="1016"/>
      <c r="V86" s="1016"/>
      <c r="W86" s="1016"/>
      <c r="X86" s="1382"/>
      <c r="Y86" s="1016"/>
      <c r="Z86" s="1382"/>
      <c r="AA86" s="726"/>
      <c r="AB86" s="111" t="s">
        <v>1239</v>
      </c>
      <c r="AC86" s="447" t="s">
        <v>1240</v>
      </c>
      <c r="AD86" s="481"/>
      <c r="AE86" s="479" t="s">
        <v>1204</v>
      </c>
      <c r="AF86" s="1107">
        <f ca="1">SUMIFS('Ресурсы (5.4)'!AF$26:AF$47,'Ресурсы (5.4)'!$F$26:$F$47,$F86,'Ресурсы (5.4)'!$G$26:$G$47,$G86)</f>
        <v>0</v>
      </c>
      <c r="AG86" s="1107">
        <f ca="1">SUMIFS('Ресурсы (5.4)'!AG$26:AG$47,'Ресурсы (5.4)'!$F$26:$F$47,$F86,'Ресурсы (5.4)'!$G$26:$G$47,$G86)</f>
        <v>0</v>
      </c>
      <c r="AH86" s="424"/>
      <c r="AI86" s="424"/>
      <c r="AJ86" s="424"/>
      <c r="AK86" s="424"/>
      <c r="AL86" s="424"/>
      <c r="AM86" s="424"/>
      <c r="AN86" s="424"/>
      <c r="AO86" s="424"/>
      <c r="AP86" s="424"/>
      <c r="AQ86" s="424"/>
      <c r="AR86" s="424"/>
      <c r="AS86" s="424"/>
      <c r="AT86" s="424"/>
      <c r="AU86" s="424"/>
      <c r="AV86" s="424"/>
      <c r="AW86" s="424"/>
      <c r="AX86" s="424"/>
      <c r="AY86" s="424"/>
      <c r="AZ86" s="912" t="s">
        <v>1241</v>
      </c>
    </row>
    <row r="87" spans="1:52" s="1057" customFormat="1" ht="27" customHeight="1">
      <c r="A87" s="1016"/>
      <c r="B87" s="718"/>
      <c r="C87" s="1016"/>
      <c r="D87" s="1016"/>
      <c r="E87" s="623">
        <v>27.8</v>
      </c>
      <c r="F87" s="714" t="str">
        <f t="shared" si="8"/>
        <v>1</v>
      </c>
      <c r="G87" s="750"/>
      <c r="H87" s="750"/>
      <c r="I87" s="750"/>
      <c r="J87" s="750"/>
      <c r="K87" s="750"/>
      <c r="L87" s="750"/>
      <c r="M87" s="750"/>
      <c r="N87" s="750"/>
      <c r="O87" s="750"/>
      <c r="P87" s="750"/>
      <c r="Q87" s="719"/>
      <c r="R87" s="719"/>
      <c r="S87" s="750"/>
      <c r="T87" s="645" t="b">
        <f t="shared" si="9"/>
        <v>1</v>
      </c>
      <c r="U87" s="1016"/>
      <c r="V87" s="1016"/>
      <c r="W87" s="1016"/>
      <c r="X87" s="1382"/>
      <c r="Y87" s="1016"/>
      <c r="Z87" s="1382"/>
      <c r="AA87" s="726"/>
      <c r="AB87" s="111" t="s">
        <v>1242</v>
      </c>
      <c r="AC87" s="483" t="s">
        <v>1243</v>
      </c>
      <c r="AD87" s="107" t="s">
        <v>1347</v>
      </c>
      <c r="AE87" s="96" t="s">
        <v>1245</v>
      </c>
      <c r="AF87" s="1107"/>
      <c r="AG87" s="1107"/>
      <c r="AH87" s="424"/>
      <c r="AI87" s="424"/>
      <c r="AJ87" s="424"/>
      <c r="AK87" s="424"/>
      <c r="AL87" s="424"/>
      <c r="AM87" s="424"/>
      <c r="AN87" s="424"/>
      <c r="AO87" s="424"/>
      <c r="AP87" s="424"/>
      <c r="AQ87" s="424"/>
      <c r="AR87" s="424"/>
      <c r="AS87" s="424"/>
      <c r="AT87" s="424"/>
      <c r="AU87" s="424"/>
      <c r="AV87" s="424"/>
      <c r="AW87" s="424"/>
      <c r="AX87" s="424"/>
      <c r="AY87" s="424"/>
      <c r="AZ87" s="912" t="s">
        <v>763</v>
      </c>
    </row>
    <row r="88" spans="1:52" s="1057" customFormat="1" ht="26.25" customHeight="1">
      <c r="A88" s="1016"/>
      <c r="B88" s="718"/>
      <c r="C88" s="1016"/>
      <c r="D88" s="1016"/>
      <c r="E88" s="623">
        <v>27</v>
      </c>
      <c r="F88" s="714" t="str">
        <f t="shared" si="8"/>
        <v>1</v>
      </c>
      <c r="G88" s="750"/>
      <c r="H88" s="750"/>
      <c r="I88" s="750"/>
      <c r="J88" s="750"/>
      <c r="K88" s="750"/>
      <c r="L88" s="750"/>
      <c r="M88" s="750"/>
      <c r="N88" s="750"/>
      <c r="O88" s="750"/>
      <c r="P88" s="750"/>
      <c r="Q88" s="719"/>
      <c r="R88" s="719"/>
      <c r="S88" s="750"/>
      <c r="T88" s="645" t="b">
        <f t="shared" si="9"/>
        <v>1</v>
      </c>
      <c r="U88" s="1016"/>
      <c r="V88" s="1016"/>
      <c r="W88" s="1016"/>
      <c r="X88" s="1382"/>
      <c r="Y88" s="1016"/>
      <c r="Z88" s="1382"/>
      <c r="AA88" s="726"/>
      <c r="AB88" s="111" t="s">
        <v>1246</v>
      </c>
      <c r="AC88" s="483" t="s">
        <v>1247</v>
      </c>
      <c r="AD88" s="107" t="s">
        <v>1348</v>
      </c>
      <c r="AE88" s="479" t="s">
        <v>1249</v>
      </c>
      <c r="AF88" s="1107"/>
      <c r="AG88" s="1107"/>
      <c r="AH88" s="424"/>
      <c r="AI88" s="424"/>
      <c r="AJ88" s="424"/>
      <c r="AK88" s="424"/>
      <c r="AL88" s="424"/>
      <c r="AM88" s="424"/>
      <c r="AN88" s="424"/>
      <c r="AO88" s="424"/>
      <c r="AP88" s="424"/>
      <c r="AQ88" s="424"/>
      <c r="AR88" s="424"/>
      <c r="AS88" s="424"/>
      <c r="AT88" s="424"/>
      <c r="AU88" s="424"/>
      <c r="AV88" s="424"/>
      <c r="AW88" s="424"/>
      <c r="AX88" s="424"/>
      <c r="AY88" s="424"/>
      <c r="AZ88" s="912" t="s">
        <v>1250</v>
      </c>
    </row>
    <row r="89" spans="1:52" s="1057" customFormat="1" ht="28.5" customHeight="1">
      <c r="A89" s="1016"/>
      <c r="B89" s="718"/>
      <c r="C89" s="1016"/>
      <c r="D89" s="1016"/>
      <c r="E89" s="623">
        <v>29.3</v>
      </c>
      <c r="F89" s="714" t="str">
        <f t="shared" si="8"/>
        <v>1</v>
      </c>
      <c r="G89" s="750"/>
      <c r="H89" s="750"/>
      <c r="I89" s="750"/>
      <c r="J89" s="750"/>
      <c r="K89" s="750"/>
      <c r="L89" s="750"/>
      <c r="M89" s="750"/>
      <c r="N89" s="750"/>
      <c r="O89" s="750"/>
      <c r="P89" s="750"/>
      <c r="Q89" s="719"/>
      <c r="R89" s="719"/>
      <c r="S89" s="750"/>
      <c r="T89" s="645" t="b">
        <f t="shared" si="9"/>
        <v>1</v>
      </c>
      <c r="U89" s="1016"/>
      <c r="V89" s="1016"/>
      <c r="W89" s="1016"/>
      <c r="X89" s="1382"/>
      <c r="Y89" s="1016"/>
      <c r="Z89" s="1382"/>
      <c r="AA89" s="726"/>
      <c r="AB89" s="111" t="s">
        <v>1251</v>
      </c>
      <c r="AC89" s="483" t="s">
        <v>1252</v>
      </c>
      <c r="AD89" s="107" t="s">
        <v>1349</v>
      </c>
      <c r="AE89" s="479" t="s">
        <v>1249</v>
      </c>
      <c r="AF89" s="1107"/>
      <c r="AG89" s="1107"/>
      <c r="AH89" s="424"/>
      <c r="AI89" s="424"/>
      <c r="AJ89" s="424"/>
      <c r="AK89" s="424"/>
      <c r="AL89" s="424"/>
      <c r="AM89" s="424"/>
      <c r="AN89" s="424"/>
      <c r="AO89" s="424"/>
      <c r="AP89" s="424"/>
      <c r="AQ89" s="424"/>
      <c r="AR89" s="424"/>
      <c r="AS89" s="424"/>
      <c r="AT89" s="424"/>
      <c r="AU89" s="424"/>
      <c r="AV89" s="424"/>
      <c r="AW89" s="424"/>
      <c r="AX89" s="424"/>
      <c r="AY89" s="424"/>
      <c r="AZ89" s="912" t="s">
        <v>1254</v>
      </c>
    </row>
    <row r="90" spans="1:52" s="1057" customFormat="1" ht="33" customHeight="1">
      <c r="A90" s="1016"/>
      <c r="B90" s="718"/>
      <c r="C90" s="1016"/>
      <c r="D90" s="1016"/>
      <c r="E90" s="623">
        <v>34.5</v>
      </c>
      <c r="F90" s="714" t="str">
        <f t="shared" si="8"/>
        <v>1</v>
      </c>
      <c r="G90" s="750"/>
      <c r="H90" s="750"/>
      <c r="I90" s="750"/>
      <c r="J90" s="750"/>
      <c r="K90" s="750"/>
      <c r="L90" s="750"/>
      <c r="M90" s="750"/>
      <c r="N90" s="750"/>
      <c r="O90" s="750"/>
      <c r="P90" s="750"/>
      <c r="Q90" s="719"/>
      <c r="R90" s="719"/>
      <c r="S90" s="750"/>
      <c r="T90" s="645" t="b">
        <f t="shared" si="9"/>
        <v>1</v>
      </c>
      <c r="U90" s="1016"/>
      <c r="V90" s="1016"/>
      <c r="W90" s="1016"/>
      <c r="X90" s="1382"/>
      <c r="Y90" s="1016"/>
      <c r="Z90" s="1382"/>
      <c r="AA90" s="726"/>
      <c r="AB90" s="111" t="s">
        <v>1255</v>
      </c>
      <c r="AC90" s="483" t="s">
        <v>1256</v>
      </c>
      <c r="AD90" s="107" t="s">
        <v>1350</v>
      </c>
      <c r="AE90" s="479" t="s">
        <v>751</v>
      </c>
      <c r="AF90" s="1107"/>
      <c r="AG90" s="1107"/>
      <c r="AH90" s="424"/>
      <c r="AI90" s="424"/>
      <c r="AJ90" s="424"/>
      <c r="AK90" s="424"/>
      <c r="AL90" s="424"/>
      <c r="AM90" s="424"/>
      <c r="AN90" s="424"/>
      <c r="AO90" s="424"/>
      <c r="AP90" s="424"/>
      <c r="AQ90" s="424"/>
      <c r="AR90" s="424"/>
      <c r="AS90" s="424"/>
      <c r="AT90" s="424"/>
      <c r="AU90" s="424"/>
      <c r="AV90" s="424"/>
      <c r="AW90" s="424"/>
      <c r="AX90" s="424"/>
      <c r="AY90" s="424"/>
      <c r="AZ90" s="912" t="s">
        <v>1258</v>
      </c>
    </row>
    <row r="91" spans="1:52" s="1057" customFormat="1" ht="16.5" customHeight="1">
      <c r="A91" s="1016"/>
      <c r="B91" s="718"/>
      <c r="C91" s="1016"/>
      <c r="D91" s="1016"/>
      <c r="E91" s="623">
        <v>17.3</v>
      </c>
      <c r="F91" s="714" t="str">
        <f t="shared" si="8"/>
        <v>1</v>
      </c>
      <c r="G91" s="566" t="s">
        <v>810</v>
      </c>
      <c r="H91" s="750"/>
      <c r="I91" s="750"/>
      <c r="J91" s="750"/>
      <c r="K91" s="750"/>
      <c r="L91" s="750"/>
      <c r="M91" s="750"/>
      <c r="N91" s="750"/>
      <c r="O91" s="750"/>
      <c r="P91" s="750"/>
      <c r="Q91" s="719"/>
      <c r="R91" s="719"/>
      <c r="S91" s="750"/>
      <c r="T91" s="645" t="b">
        <f t="shared" si="9"/>
        <v>1</v>
      </c>
      <c r="U91" s="1016"/>
      <c r="V91" s="1016"/>
      <c r="W91" s="1016"/>
      <c r="X91" s="1382"/>
      <c r="Y91" s="1016"/>
      <c r="Z91" s="1382"/>
      <c r="AA91" s="726"/>
      <c r="AB91" s="111" t="s">
        <v>1259</v>
      </c>
      <c r="AC91" s="447" t="s">
        <v>1260</v>
      </c>
      <c r="AD91" s="481"/>
      <c r="AE91" s="479" t="s">
        <v>1204</v>
      </c>
      <c r="AF91" s="1107">
        <f ca="1">SUMIFS('Ресурсы (5.4)'!AF$26:AF$47,'Ресурсы (5.4)'!$F$26:$F$47,$F91,'Ресурсы (5.4)'!$G$26:$G$47,$G91)</f>
        <v>3439.0210000000002</v>
      </c>
      <c r="AG91" s="1107">
        <f ca="1">SUMIFS('Ресурсы (5.4)'!AG$26:AG$47,'Ресурсы (5.4)'!$F$26:$F$47,$F91,'Ресурсы (5.4)'!$G$26:$G$47,$G91)</f>
        <v>3439.02</v>
      </c>
      <c r="AH91" s="424"/>
      <c r="AI91" s="424"/>
      <c r="AJ91" s="424"/>
      <c r="AK91" s="424"/>
      <c r="AL91" s="424"/>
      <c r="AM91" s="424"/>
      <c r="AN91" s="424"/>
      <c r="AO91" s="424"/>
      <c r="AP91" s="424"/>
      <c r="AQ91" s="424"/>
      <c r="AR91" s="424"/>
      <c r="AS91" s="424"/>
      <c r="AT91" s="424"/>
      <c r="AU91" s="424"/>
      <c r="AV91" s="424"/>
      <c r="AW91" s="424"/>
      <c r="AX91" s="424"/>
      <c r="AY91" s="424"/>
      <c r="AZ91" s="912" t="s">
        <v>1261</v>
      </c>
    </row>
    <row r="92" spans="1:52" s="1057" customFormat="1" ht="30" customHeight="1">
      <c r="A92" s="1016"/>
      <c r="B92" s="718"/>
      <c r="C92" s="1016"/>
      <c r="D92" s="1016"/>
      <c r="E92" s="623">
        <v>30.8</v>
      </c>
      <c r="F92" s="714" t="str">
        <f t="shared" si="8"/>
        <v>1</v>
      </c>
      <c r="G92" s="750"/>
      <c r="H92" s="750"/>
      <c r="I92" s="750"/>
      <c r="J92" s="750"/>
      <c r="K92" s="750"/>
      <c r="L92" s="750"/>
      <c r="M92" s="750"/>
      <c r="N92" s="750"/>
      <c r="O92" s="750"/>
      <c r="P92" s="750"/>
      <c r="Q92" s="719"/>
      <c r="R92" s="719"/>
      <c r="S92" s="750"/>
      <c r="T92" s="645" t="b">
        <f t="shared" si="9"/>
        <v>1</v>
      </c>
      <c r="U92" s="1016"/>
      <c r="V92" s="1016"/>
      <c r="W92" s="1016"/>
      <c r="X92" s="1382"/>
      <c r="Y92" s="1016"/>
      <c r="Z92" s="1382"/>
      <c r="AA92" s="726"/>
      <c r="AB92" s="111" t="s">
        <v>1262</v>
      </c>
      <c r="AC92" s="483" t="s">
        <v>1263</v>
      </c>
      <c r="AD92" s="107" t="s">
        <v>1351</v>
      </c>
      <c r="AE92" s="479" t="s">
        <v>1249</v>
      </c>
      <c r="AF92" s="1107"/>
      <c r="AG92" s="1107"/>
      <c r="AH92" s="424"/>
      <c r="AI92" s="424"/>
      <c r="AJ92" s="424"/>
      <c r="AK92" s="424"/>
      <c r="AL92" s="424"/>
      <c r="AM92" s="424"/>
      <c r="AN92" s="424"/>
      <c r="AO92" s="424"/>
      <c r="AP92" s="424"/>
      <c r="AQ92" s="424"/>
      <c r="AR92" s="424"/>
      <c r="AS92" s="424"/>
      <c r="AT92" s="424"/>
      <c r="AU92" s="424"/>
      <c r="AV92" s="424"/>
      <c r="AW92" s="424"/>
      <c r="AX92" s="424"/>
      <c r="AY92" s="424"/>
      <c r="AZ92" s="912" t="s">
        <v>819</v>
      </c>
    </row>
    <row r="93" spans="1:52" s="1057" customFormat="1" ht="30" customHeight="1">
      <c r="A93" s="1016"/>
      <c r="B93" s="718"/>
      <c r="C93" s="1016"/>
      <c r="D93" s="1016"/>
      <c r="E93" s="623">
        <v>30.8</v>
      </c>
      <c r="F93" s="714" t="str">
        <f t="shared" si="8"/>
        <v>1</v>
      </c>
      <c r="G93" s="750"/>
      <c r="H93" s="750"/>
      <c r="I93" s="750"/>
      <c r="J93" s="750"/>
      <c r="K93" s="750"/>
      <c r="L93" s="750"/>
      <c r="M93" s="750"/>
      <c r="N93" s="750"/>
      <c r="O93" s="750"/>
      <c r="P93" s="750"/>
      <c r="Q93" s="719"/>
      <c r="R93" s="719"/>
      <c r="S93" s="750"/>
      <c r="T93" s="645" t="b">
        <f t="shared" si="9"/>
        <v>1</v>
      </c>
      <c r="U93" s="1016"/>
      <c r="V93" s="1016"/>
      <c r="W93" s="1016"/>
      <c r="X93" s="1382"/>
      <c r="Y93" s="1016"/>
      <c r="Z93" s="1382"/>
      <c r="AA93" s="726"/>
      <c r="AB93" s="111" t="s">
        <v>1265</v>
      </c>
      <c r="AC93" s="483" t="s">
        <v>1247</v>
      </c>
      <c r="AD93" s="107" t="s">
        <v>1348</v>
      </c>
      <c r="AE93" s="479" t="s">
        <v>1249</v>
      </c>
      <c r="AF93" s="1107"/>
      <c r="AG93" s="1107"/>
      <c r="AH93" s="424"/>
      <c r="AI93" s="424"/>
      <c r="AJ93" s="424"/>
      <c r="AK93" s="424"/>
      <c r="AL93" s="424"/>
      <c r="AM93" s="424"/>
      <c r="AN93" s="424"/>
      <c r="AO93" s="424"/>
      <c r="AP93" s="424"/>
      <c r="AQ93" s="424"/>
      <c r="AR93" s="424"/>
      <c r="AS93" s="424"/>
      <c r="AT93" s="424"/>
      <c r="AU93" s="424"/>
      <c r="AV93" s="424"/>
      <c r="AW93" s="424"/>
      <c r="AX93" s="424"/>
      <c r="AY93" s="424"/>
      <c r="AZ93" s="912" t="s">
        <v>1266</v>
      </c>
    </row>
    <row r="94" spans="1:52" s="1057" customFormat="1" ht="29.25" customHeight="1">
      <c r="A94" s="1016"/>
      <c r="B94" s="718"/>
      <c r="C94" s="1016"/>
      <c r="D94" s="1016"/>
      <c r="E94" s="623">
        <v>30</v>
      </c>
      <c r="F94" s="714" t="str">
        <f t="shared" si="8"/>
        <v>1</v>
      </c>
      <c r="G94" s="750"/>
      <c r="H94" s="750"/>
      <c r="I94" s="750"/>
      <c r="J94" s="750"/>
      <c r="K94" s="750"/>
      <c r="L94" s="750"/>
      <c r="M94" s="750"/>
      <c r="N94" s="750"/>
      <c r="O94" s="750"/>
      <c r="P94" s="750"/>
      <c r="Q94" s="719"/>
      <c r="R94" s="719"/>
      <c r="S94" s="750"/>
      <c r="T94" s="645" t="b">
        <f t="shared" si="9"/>
        <v>1</v>
      </c>
      <c r="U94" s="1016"/>
      <c r="V94" s="1016"/>
      <c r="W94" s="1016"/>
      <c r="X94" s="1382"/>
      <c r="Y94" s="1016"/>
      <c r="Z94" s="1382"/>
      <c r="AA94" s="726"/>
      <c r="AB94" s="111" t="s">
        <v>1267</v>
      </c>
      <c r="AC94" s="483" t="s">
        <v>1252</v>
      </c>
      <c r="AD94" s="107" t="s">
        <v>1349</v>
      </c>
      <c r="AE94" s="479" t="s">
        <v>1249</v>
      </c>
      <c r="AF94" s="1107"/>
      <c r="AG94" s="1107"/>
      <c r="AH94" s="424"/>
      <c r="AI94" s="424"/>
      <c r="AJ94" s="424"/>
      <c r="AK94" s="424"/>
      <c r="AL94" s="424"/>
      <c r="AM94" s="424"/>
      <c r="AN94" s="424"/>
      <c r="AO94" s="424"/>
      <c r="AP94" s="424"/>
      <c r="AQ94" s="424"/>
      <c r="AR94" s="424"/>
      <c r="AS94" s="424"/>
      <c r="AT94" s="424"/>
      <c r="AU94" s="424"/>
      <c r="AV94" s="424"/>
      <c r="AW94" s="424"/>
      <c r="AX94" s="424"/>
      <c r="AY94" s="424"/>
      <c r="AZ94" s="912" t="s">
        <v>1268</v>
      </c>
    </row>
    <row r="95" spans="1:52" s="1057" customFormat="1" ht="21" customHeight="1">
      <c r="A95" s="1016"/>
      <c r="B95" s="718"/>
      <c r="C95" s="1016"/>
      <c r="D95" s="1016"/>
      <c r="E95" s="623">
        <v>21.8</v>
      </c>
      <c r="F95" s="714" t="str">
        <f t="shared" si="8"/>
        <v>1</v>
      </c>
      <c r="G95" s="750"/>
      <c r="H95" s="750"/>
      <c r="I95" s="750"/>
      <c r="J95" s="750"/>
      <c r="K95" s="750"/>
      <c r="L95" s="750"/>
      <c r="M95" s="750"/>
      <c r="N95" s="750"/>
      <c r="O95" s="750"/>
      <c r="P95" s="750"/>
      <c r="Q95" s="719"/>
      <c r="R95" s="719"/>
      <c r="S95" s="750"/>
      <c r="T95" s="645" t="b">
        <f t="shared" si="9"/>
        <v>1</v>
      </c>
      <c r="U95" s="1016"/>
      <c r="V95" s="1016"/>
      <c r="W95" s="1016"/>
      <c r="X95" s="1382"/>
      <c r="Y95" s="1016"/>
      <c r="Z95" s="1382"/>
      <c r="AA95" s="726"/>
      <c r="AB95" s="111" t="s">
        <v>1269</v>
      </c>
      <c r="AC95" s="483" t="s">
        <v>1270</v>
      </c>
      <c r="AD95" s="107" t="s">
        <v>1350</v>
      </c>
      <c r="AE95" s="479" t="s">
        <v>1271</v>
      </c>
      <c r="AF95" s="1107"/>
      <c r="AG95" s="1107"/>
      <c r="AH95" s="424"/>
      <c r="AI95" s="424"/>
      <c r="AJ95" s="424"/>
      <c r="AK95" s="424"/>
      <c r="AL95" s="424"/>
      <c r="AM95" s="424"/>
      <c r="AN95" s="424"/>
      <c r="AO95" s="424"/>
      <c r="AP95" s="424"/>
      <c r="AQ95" s="424"/>
      <c r="AR95" s="424"/>
      <c r="AS95" s="424"/>
      <c r="AT95" s="424"/>
      <c r="AU95" s="424"/>
      <c r="AV95" s="424"/>
      <c r="AW95" s="424"/>
      <c r="AX95" s="424"/>
      <c r="AY95" s="424"/>
      <c r="AZ95" s="912" t="s">
        <v>1272</v>
      </c>
    </row>
    <row r="96" spans="1:52" s="1057" customFormat="1" ht="15.75" customHeight="1">
      <c r="A96" s="1016"/>
      <c r="B96" s="718"/>
      <c r="C96" s="1016"/>
      <c r="D96" s="1016"/>
      <c r="E96" s="623">
        <v>16.5</v>
      </c>
      <c r="F96" s="714" t="str">
        <f t="shared" si="8"/>
        <v>1</v>
      </c>
      <c r="G96" s="566" t="s">
        <v>777</v>
      </c>
      <c r="H96" s="750"/>
      <c r="I96" s="750"/>
      <c r="J96" s="750"/>
      <c r="K96" s="750"/>
      <c r="L96" s="750"/>
      <c r="M96" s="750"/>
      <c r="N96" s="750"/>
      <c r="O96" s="750"/>
      <c r="P96" s="750"/>
      <c r="Q96" s="719"/>
      <c r="R96" s="719"/>
      <c r="S96" s="750"/>
      <c r="T96" s="645" t="b">
        <f t="shared" si="9"/>
        <v>1</v>
      </c>
      <c r="U96" s="1016"/>
      <c r="V96" s="1016"/>
      <c r="W96" s="1016"/>
      <c r="X96" s="1382"/>
      <c r="Y96" s="1016"/>
      <c r="Z96" s="1382"/>
      <c r="AA96" s="726"/>
      <c r="AB96" s="111" t="s">
        <v>1273</v>
      </c>
      <c r="AC96" s="447" t="s">
        <v>1274</v>
      </c>
      <c r="AD96" s="481"/>
      <c r="AE96" s="479" t="s">
        <v>1204</v>
      </c>
      <c r="AF96" s="1107">
        <f ca="1">SUMIFS('Ресурсы (5.4)'!AF$26:AF$47,'Ресурсы (5.4)'!$F$26:$F$47,$F96,'Ресурсы (5.4)'!$G$26:$G$47,$G96)</f>
        <v>0</v>
      </c>
      <c r="AG96" s="1107">
        <f ca="1">SUMIFS('Ресурсы (5.4)'!AG$26:AG$47,'Ресурсы (5.4)'!$F$26:$F$47,$F96,'Ресурсы (5.4)'!$G$26:$G$47,$G96)</f>
        <v>0</v>
      </c>
      <c r="AH96" s="424"/>
      <c r="AI96" s="424"/>
      <c r="AJ96" s="424"/>
      <c r="AK96" s="424"/>
      <c r="AL96" s="424"/>
      <c r="AM96" s="424"/>
      <c r="AN96" s="424"/>
      <c r="AO96" s="424"/>
      <c r="AP96" s="424"/>
      <c r="AQ96" s="424"/>
      <c r="AR96" s="424"/>
      <c r="AS96" s="424"/>
      <c r="AT96" s="424"/>
      <c r="AU96" s="424"/>
      <c r="AV96" s="424"/>
      <c r="AW96" s="424"/>
      <c r="AX96" s="424"/>
      <c r="AY96" s="424"/>
      <c r="AZ96" s="912" t="s">
        <v>1275</v>
      </c>
    </row>
    <row r="97" spans="1:52" s="1057" customFormat="1" ht="28.5" customHeight="1">
      <c r="A97" s="1016"/>
      <c r="B97" s="718"/>
      <c r="C97" s="1016"/>
      <c r="D97" s="1016"/>
      <c r="E97" s="623">
        <v>29.3</v>
      </c>
      <c r="F97" s="714" t="str">
        <f t="shared" si="8"/>
        <v>1</v>
      </c>
      <c r="G97" s="750"/>
      <c r="H97" s="750"/>
      <c r="I97" s="750"/>
      <c r="J97" s="750"/>
      <c r="K97" s="750"/>
      <c r="L97" s="750"/>
      <c r="M97" s="750"/>
      <c r="N97" s="750"/>
      <c r="O97" s="750"/>
      <c r="P97" s="750"/>
      <c r="Q97" s="719"/>
      <c r="R97" s="719"/>
      <c r="S97" s="750"/>
      <c r="T97" s="645" t="b">
        <f t="shared" si="9"/>
        <v>1</v>
      </c>
      <c r="U97" s="1016"/>
      <c r="V97" s="1016"/>
      <c r="W97" s="1016"/>
      <c r="X97" s="1382"/>
      <c r="Y97" s="1016"/>
      <c r="Z97" s="1382"/>
      <c r="AA97" s="726"/>
      <c r="AB97" s="111" t="s">
        <v>1276</v>
      </c>
      <c r="AC97" s="483" t="s">
        <v>1277</v>
      </c>
      <c r="AD97" s="107" t="s">
        <v>1352</v>
      </c>
      <c r="AE97" s="479" t="s">
        <v>598</v>
      </c>
      <c r="AF97" s="1107"/>
      <c r="AG97" s="1107"/>
      <c r="AH97" s="424"/>
      <c r="AI97" s="424"/>
      <c r="AJ97" s="424"/>
      <c r="AK97" s="424"/>
      <c r="AL97" s="424"/>
      <c r="AM97" s="424"/>
      <c r="AN97" s="424"/>
      <c r="AO97" s="424"/>
      <c r="AP97" s="424"/>
      <c r="AQ97" s="424"/>
      <c r="AR97" s="424"/>
      <c r="AS97" s="424"/>
      <c r="AT97" s="424"/>
      <c r="AU97" s="424"/>
      <c r="AV97" s="424"/>
      <c r="AW97" s="424"/>
      <c r="AX97" s="424"/>
      <c r="AY97" s="424"/>
      <c r="AZ97" s="912" t="s">
        <v>800</v>
      </c>
    </row>
    <row r="98" spans="1:52" s="1057" customFormat="1" ht="30" customHeight="1">
      <c r="A98" s="1016"/>
      <c r="B98" s="718"/>
      <c r="C98" s="1016"/>
      <c r="D98" s="1016"/>
      <c r="E98" s="623">
        <v>31.5</v>
      </c>
      <c r="F98" s="714" t="str">
        <f t="shared" si="8"/>
        <v>1</v>
      </c>
      <c r="G98" s="750"/>
      <c r="H98" s="750"/>
      <c r="I98" s="750"/>
      <c r="J98" s="750"/>
      <c r="K98" s="750"/>
      <c r="L98" s="750"/>
      <c r="M98" s="750"/>
      <c r="N98" s="750"/>
      <c r="O98" s="750"/>
      <c r="P98" s="750"/>
      <c r="Q98" s="719"/>
      <c r="R98" s="719"/>
      <c r="S98" s="750"/>
      <c r="T98" s="645" t="b">
        <f t="shared" si="9"/>
        <v>1</v>
      </c>
      <c r="U98" s="1016"/>
      <c r="V98" s="1016"/>
      <c r="W98" s="1016"/>
      <c r="X98" s="1382"/>
      <c r="Y98" s="1016"/>
      <c r="Z98" s="1382"/>
      <c r="AA98" s="726"/>
      <c r="AB98" s="111" t="s">
        <v>1279</v>
      </c>
      <c r="AC98" s="483" t="s">
        <v>1247</v>
      </c>
      <c r="AD98" s="107" t="s">
        <v>1348</v>
      </c>
      <c r="AE98" s="479" t="s">
        <v>1249</v>
      </c>
      <c r="AF98" s="1107"/>
      <c r="AG98" s="1107"/>
      <c r="AH98" s="424"/>
      <c r="AI98" s="424"/>
      <c r="AJ98" s="424"/>
      <c r="AK98" s="424"/>
      <c r="AL98" s="424"/>
      <c r="AM98" s="424"/>
      <c r="AN98" s="424"/>
      <c r="AO98" s="424"/>
      <c r="AP98" s="424"/>
      <c r="AQ98" s="424"/>
      <c r="AR98" s="424"/>
      <c r="AS98" s="424"/>
      <c r="AT98" s="424"/>
      <c r="AU98" s="424"/>
      <c r="AV98" s="424"/>
      <c r="AW98" s="424"/>
      <c r="AX98" s="424"/>
      <c r="AY98" s="424"/>
      <c r="AZ98" s="912" t="s">
        <v>1229</v>
      </c>
    </row>
    <row r="99" spans="1:52" s="1057" customFormat="1" ht="27.75" customHeight="1">
      <c r="A99" s="1016"/>
      <c r="B99" s="718"/>
      <c r="C99" s="1016"/>
      <c r="D99" s="1016"/>
      <c r="E99" s="623">
        <v>28.5</v>
      </c>
      <c r="F99" s="714" t="str">
        <f t="shared" si="8"/>
        <v>1</v>
      </c>
      <c r="G99" s="750"/>
      <c r="H99" s="750"/>
      <c r="I99" s="750"/>
      <c r="J99" s="750"/>
      <c r="K99" s="750"/>
      <c r="L99" s="750"/>
      <c r="M99" s="750"/>
      <c r="N99" s="750"/>
      <c r="O99" s="750"/>
      <c r="P99" s="750"/>
      <c r="Q99" s="719"/>
      <c r="R99" s="719"/>
      <c r="S99" s="750"/>
      <c r="T99" s="645" t="b">
        <f t="shared" si="9"/>
        <v>1</v>
      </c>
      <c r="U99" s="1016"/>
      <c r="V99" s="1016"/>
      <c r="W99" s="1016"/>
      <c r="X99" s="1382"/>
      <c r="Y99" s="1016"/>
      <c r="Z99" s="1382"/>
      <c r="AA99" s="726"/>
      <c r="AB99" s="111" t="s">
        <v>1280</v>
      </c>
      <c r="AC99" s="483" t="s">
        <v>1252</v>
      </c>
      <c r="AD99" s="107" t="s">
        <v>1349</v>
      </c>
      <c r="AE99" s="479" t="s">
        <v>1249</v>
      </c>
      <c r="AF99" s="1107"/>
      <c r="AG99" s="1107"/>
      <c r="AH99" s="424"/>
      <c r="AI99" s="424"/>
      <c r="AJ99" s="424"/>
      <c r="AK99" s="424"/>
      <c r="AL99" s="424"/>
      <c r="AM99" s="424"/>
      <c r="AN99" s="424"/>
      <c r="AO99" s="424"/>
      <c r="AP99" s="424"/>
      <c r="AQ99" s="424"/>
      <c r="AR99" s="424"/>
      <c r="AS99" s="424"/>
      <c r="AT99" s="424"/>
      <c r="AU99" s="424"/>
      <c r="AV99" s="424"/>
      <c r="AW99" s="424"/>
      <c r="AX99" s="424"/>
      <c r="AY99" s="424"/>
      <c r="AZ99" s="912" t="s">
        <v>1281</v>
      </c>
    </row>
    <row r="100" spans="1:52" s="1057" customFormat="1" ht="21.75" customHeight="1">
      <c r="A100" s="1016"/>
      <c r="B100" s="718"/>
      <c r="C100" s="1016"/>
      <c r="D100" s="1016"/>
      <c r="E100" s="623">
        <v>22.8</v>
      </c>
      <c r="F100" s="714" t="str">
        <f t="shared" si="8"/>
        <v>1</v>
      </c>
      <c r="G100" s="750"/>
      <c r="H100" s="750"/>
      <c r="I100" s="750"/>
      <c r="J100" s="750"/>
      <c r="K100" s="750"/>
      <c r="L100" s="750"/>
      <c r="M100" s="750"/>
      <c r="N100" s="750"/>
      <c r="O100" s="750"/>
      <c r="P100" s="750"/>
      <c r="Q100" s="719"/>
      <c r="R100" s="719"/>
      <c r="S100" s="750"/>
      <c r="T100" s="645" t="b">
        <f t="shared" si="9"/>
        <v>1</v>
      </c>
      <c r="U100" s="1016"/>
      <c r="V100" s="1016"/>
      <c r="W100" s="1016"/>
      <c r="X100" s="1382"/>
      <c r="Y100" s="1016"/>
      <c r="Z100" s="1382"/>
      <c r="AA100" s="726"/>
      <c r="AB100" s="111" t="s">
        <v>1282</v>
      </c>
      <c r="AC100" s="483" t="s">
        <v>1283</v>
      </c>
      <c r="AD100" s="107" t="s">
        <v>1350</v>
      </c>
      <c r="AE100" s="479" t="s">
        <v>738</v>
      </c>
      <c r="AF100" s="1107"/>
      <c r="AG100" s="1107"/>
      <c r="AH100" s="424"/>
      <c r="AI100" s="424"/>
      <c r="AJ100" s="424"/>
      <c r="AK100" s="424"/>
      <c r="AL100" s="424"/>
      <c r="AM100" s="424"/>
      <c r="AN100" s="424"/>
      <c r="AO100" s="424"/>
      <c r="AP100" s="424"/>
      <c r="AQ100" s="424"/>
      <c r="AR100" s="424"/>
      <c r="AS100" s="424"/>
      <c r="AT100" s="424"/>
      <c r="AU100" s="424"/>
      <c r="AV100" s="424"/>
      <c r="AW100" s="424"/>
      <c r="AX100" s="424"/>
      <c r="AY100" s="424"/>
      <c r="AZ100" s="912" t="s">
        <v>1284</v>
      </c>
    </row>
    <row r="101" spans="1:52" s="1057" customFormat="1" ht="15.75" customHeight="1">
      <c r="A101" s="1016"/>
      <c r="B101" s="718"/>
      <c r="C101" s="1016"/>
      <c r="D101" s="1016"/>
      <c r="E101" s="623">
        <v>16.5</v>
      </c>
      <c r="F101" s="714" t="str">
        <f t="shared" si="8"/>
        <v>1</v>
      </c>
      <c r="G101" s="566" t="s">
        <v>821</v>
      </c>
      <c r="H101" s="750"/>
      <c r="I101" s="750"/>
      <c r="J101" s="750"/>
      <c r="K101" s="750"/>
      <c r="L101" s="750"/>
      <c r="M101" s="750"/>
      <c r="N101" s="750"/>
      <c r="O101" s="750"/>
      <c r="P101" s="750"/>
      <c r="Q101" s="719"/>
      <c r="R101" s="719"/>
      <c r="S101" s="750"/>
      <c r="T101" s="645" t="b">
        <f t="shared" si="9"/>
        <v>1</v>
      </c>
      <c r="U101" s="1016"/>
      <c r="V101" s="1016"/>
      <c r="W101" s="1016"/>
      <c r="X101" s="1382"/>
      <c r="Y101" s="1016"/>
      <c r="Z101" s="1382"/>
      <c r="AA101" s="726"/>
      <c r="AB101" s="111" t="s">
        <v>1285</v>
      </c>
      <c r="AC101" s="447" t="s">
        <v>1286</v>
      </c>
      <c r="AD101" s="481"/>
      <c r="AE101" s="479" t="s">
        <v>1204</v>
      </c>
      <c r="AF101" s="1107">
        <f ca="1">SUMIFS('Ресурсы (5.4)'!AF$26:AF$47,'Ресурсы (5.4)'!$F$26:$F$47,$F101,'Ресурсы (5.4)'!$G$26:$G$47,$G101)</f>
        <v>0</v>
      </c>
      <c r="AG101" s="1107">
        <f ca="1">SUMIFS('Ресурсы (5.4)'!AG$26:AG$47,'Ресурсы (5.4)'!$F$26:$F$47,$F101,'Ресурсы (5.4)'!$G$26:$G$47,$G101)</f>
        <v>0</v>
      </c>
      <c r="AH101" s="424"/>
      <c r="AI101" s="424"/>
      <c r="AJ101" s="424"/>
      <c r="AK101" s="424"/>
      <c r="AL101" s="424"/>
      <c r="AM101" s="424"/>
      <c r="AN101" s="424"/>
      <c r="AO101" s="424"/>
      <c r="AP101" s="424"/>
      <c r="AQ101" s="424"/>
      <c r="AR101" s="424"/>
      <c r="AS101" s="424"/>
      <c r="AT101" s="424"/>
      <c r="AU101" s="424"/>
      <c r="AV101" s="424"/>
      <c r="AW101" s="424"/>
      <c r="AX101" s="424"/>
      <c r="AY101" s="424"/>
      <c r="AZ101" s="912" t="s">
        <v>1287</v>
      </c>
    </row>
    <row r="102" spans="1:52" s="1057" customFormat="1" ht="28.5" customHeight="1">
      <c r="A102" s="1016"/>
      <c r="B102" s="718"/>
      <c r="C102" s="1016"/>
      <c r="D102" s="1016"/>
      <c r="E102" s="623">
        <v>29.3</v>
      </c>
      <c r="F102" s="714" t="str">
        <f t="shared" si="8"/>
        <v>1</v>
      </c>
      <c r="G102" s="750"/>
      <c r="H102" s="750"/>
      <c r="I102" s="750"/>
      <c r="J102" s="750"/>
      <c r="K102" s="750"/>
      <c r="L102" s="750"/>
      <c r="M102" s="750"/>
      <c r="N102" s="750"/>
      <c r="O102" s="750"/>
      <c r="P102" s="750"/>
      <c r="Q102" s="719"/>
      <c r="R102" s="719"/>
      <c r="S102" s="750"/>
      <c r="T102" s="645" t="b">
        <f t="shared" si="9"/>
        <v>1</v>
      </c>
      <c r="U102" s="1016"/>
      <c r="V102" s="1016"/>
      <c r="W102" s="1016"/>
      <c r="X102" s="1382"/>
      <c r="Y102" s="1016"/>
      <c r="Z102" s="1382"/>
      <c r="AA102" s="726"/>
      <c r="AB102" s="111" t="s">
        <v>1288</v>
      </c>
      <c r="AC102" s="483" t="s">
        <v>1289</v>
      </c>
      <c r="AD102" s="107" t="s">
        <v>1352</v>
      </c>
      <c r="AE102" s="479" t="s">
        <v>1249</v>
      </c>
      <c r="AF102" s="1107"/>
      <c r="AG102" s="1107"/>
      <c r="AH102" s="424"/>
      <c r="AI102" s="424"/>
      <c r="AJ102" s="424"/>
      <c r="AK102" s="424"/>
      <c r="AL102" s="424"/>
      <c r="AM102" s="424"/>
      <c r="AN102" s="424"/>
      <c r="AO102" s="424"/>
      <c r="AP102" s="424"/>
      <c r="AQ102" s="424"/>
      <c r="AR102" s="424"/>
      <c r="AS102" s="424"/>
      <c r="AT102" s="424"/>
      <c r="AU102" s="424"/>
      <c r="AV102" s="424"/>
      <c r="AW102" s="424"/>
      <c r="AX102" s="424"/>
      <c r="AY102" s="424"/>
      <c r="AZ102" s="912" t="s">
        <v>828</v>
      </c>
    </row>
    <row r="103" spans="1:52" s="1057" customFormat="1" ht="30" customHeight="1">
      <c r="A103" s="1016"/>
      <c r="B103" s="718"/>
      <c r="C103" s="1016"/>
      <c r="D103" s="1016"/>
      <c r="E103" s="623">
        <v>31.5</v>
      </c>
      <c r="F103" s="714" t="str">
        <f t="shared" si="8"/>
        <v>1</v>
      </c>
      <c r="G103" s="750"/>
      <c r="H103" s="750"/>
      <c r="I103" s="750"/>
      <c r="J103" s="750"/>
      <c r="K103" s="750"/>
      <c r="L103" s="750"/>
      <c r="M103" s="750"/>
      <c r="N103" s="750"/>
      <c r="O103" s="750"/>
      <c r="P103" s="750"/>
      <c r="Q103" s="719"/>
      <c r="R103" s="719"/>
      <c r="S103" s="750"/>
      <c r="T103" s="645" t="b">
        <f t="shared" si="9"/>
        <v>1</v>
      </c>
      <c r="U103" s="1016"/>
      <c r="V103" s="1016"/>
      <c r="W103" s="1016"/>
      <c r="X103" s="1382"/>
      <c r="Y103" s="1016"/>
      <c r="Z103" s="1382"/>
      <c r="AA103" s="726"/>
      <c r="AB103" s="111" t="s">
        <v>1290</v>
      </c>
      <c r="AC103" s="483" t="s">
        <v>1247</v>
      </c>
      <c r="AD103" s="107" t="s">
        <v>1348</v>
      </c>
      <c r="AE103" s="479" t="s">
        <v>1249</v>
      </c>
      <c r="AF103" s="1107"/>
      <c r="AG103" s="1107"/>
      <c r="AH103" s="424"/>
      <c r="AI103" s="424"/>
      <c r="AJ103" s="424"/>
      <c r="AK103" s="424"/>
      <c r="AL103" s="424"/>
      <c r="AM103" s="424"/>
      <c r="AN103" s="424"/>
      <c r="AO103" s="424"/>
      <c r="AP103" s="424"/>
      <c r="AQ103" s="424"/>
      <c r="AR103" s="424"/>
      <c r="AS103" s="424"/>
      <c r="AT103" s="424"/>
      <c r="AU103" s="424"/>
      <c r="AV103" s="424"/>
      <c r="AW103" s="424"/>
      <c r="AX103" s="424"/>
      <c r="AY103" s="424"/>
      <c r="AZ103" s="912" t="s">
        <v>1291</v>
      </c>
    </row>
    <row r="104" spans="1:52" s="1057" customFormat="1" ht="27.75" customHeight="1">
      <c r="A104" s="1016"/>
      <c r="B104" s="718"/>
      <c r="C104" s="1016"/>
      <c r="D104" s="1016"/>
      <c r="E104" s="623">
        <v>28.5</v>
      </c>
      <c r="F104" s="714" t="str">
        <f t="shared" si="8"/>
        <v>1</v>
      </c>
      <c r="G104" s="750"/>
      <c r="H104" s="750"/>
      <c r="I104" s="750"/>
      <c r="J104" s="750"/>
      <c r="K104" s="750"/>
      <c r="L104" s="750"/>
      <c r="M104" s="750"/>
      <c r="N104" s="750"/>
      <c r="O104" s="750"/>
      <c r="P104" s="750"/>
      <c r="Q104" s="719"/>
      <c r="R104" s="719"/>
      <c r="S104" s="750"/>
      <c r="T104" s="645" t="b">
        <f t="shared" si="9"/>
        <v>1</v>
      </c>
      <c r="U104" s="1016"/>
      <c r="V104" s="1016"/>
      <c r="W104" s="1016"/>
      <c r="X104" s="1382"/>
      <c r="Y104" s="1016"/>
      <c r="Z104" s="1382"/>
      <c r="AA104" s="726"/>
      <c r="AB104" s="111" t="s">
        <v>1292</v>
      </c>
      <c r="AC104" s="483" t="s">
        <v>1252</v>
      </c>
      <c r="AD104" s="107" t="s">
        <v>1349</v>
      </c>
      <c r="AE104" s="479" t="s">
        <v>1249</v>
      </c>
      <c r="AF104" s="1107"/>
      <c r="AG104" s="1107"/>
      <c r="AH104" s="424"/>
      <c r="AI104" s="424"/>
      <c r="AJ104" s="424"/>
      <c r="AK104" s="424"/>
      <c r="AL104" s="424"/>
      <c r="AM104" s="424"/>
      <c r="AN104" s="424"/>
      <c r="AO104" s="424"/>
      <c r="AP104" s="424"/>
      <c r="AQ104" s="424"/>
      <c r="AR104" s="424"/>
      <c r="AS104" s="424"/>
      <c r="AT104" s="424"/>
      <c r="AU104" s="424"/>
      <c r="AV104" s="424"/>
      <c r="AW104" s="424"/>
      <c r="AX104" s="424"/>
      <c r="AY104" s="424"/>
      <c r="AZ104" s="912" t="s">
        <v>1293</v>
      </c>
    </row>
    <row r="105" spans="1:52" s="1057" customFormat="1" ht="21.75" customHeight="1">
      <c r="A105" s="1016"/>
      <c r="B105" s="718"/>
      <c r="C105" s="1016"/>
      <c r="D105" s="1016"/>
      <c r="E105" s="623">
        <v>22.8</v>
      </c>
      <c r="F105" s="714" t="str">
        <f t="shared" si="8"/>
        <v>1</v>
      </c>
      <c r="G105" s="750"/>
      <c r="H105" s="750"/>
      <c r="I105" s="750"/>
      <c r="J105" s="750"/>
      <c r="K105" s="750"/>
      <c r="L105" s="750"/>
      <c r="M105" s="750"/>
      <c r="N105" s="750"/>
      <c r="O105" s="750"/>
      <c r="P105" s="750"/>
      <c r="Q105" s="719"/>
      <c r="R105" s="719"/>
      <c r="S105" s="750"/>
      <c r="T105" s="645" t="b">
        <f t="shared" si="9"/>
        <v>1</v>
      </c>
      <c r="U105" s="1016"/>
      <c r="V105" s="1016"/>
      <c r="W105" s="1016"/>
      <c r="X105" s="1382"/>
      <c r="Y105" s="1016"/>
      <c r="Z105" s="1382"/>
      <c r="AA105" s="726"/>
      <c r="AB105" s="111" t="s">
        <v>1294</v>
      </c>
      <c r="AC105" s="483" t="s">
        <v>1295</v>
      </c>
      <c r="AD105" s="107" t="s">
        <v>1350</v>
      </c>
      <c r="AE105" s="479" t="s">
        <v>1271</v>
      </c>
      <c r="AF105" s="1107"/>
      <c r="AG105" s="1107"/>
      <c r="AH105" s="424"/>
      <c r="AI105" s="424"/>
      <c r="AJ105" s="424"/>
      <c r="AK105" s="424"/>
      <c r="AL105" s="424"/>
      <c r="AM105" s="424"/>
      <c r="AN105" s="424"/>
      <c r="AO105" s="424"/>
      <c r="AP105" s="424"/>
      <c r="AQ105" s="424"/>
      <c r="AR105" s="424"/>
      <c r="AS105" s="424"/>
      <c r="AT105" s="424"/>
      <c r="AU105" s="424"/>
      <c r="AV105" s="424"/>
      <c r="AW105" s="424"/>
      <c r="AX105" s="424"/>
      <c r="AY105" s="424"/>
      <c r="AZ105" s="912" t="s">
        <v>1296</v>
      </c>
    </row>
    <row r="106" spans="1:52" s="1057" customFormat="1" ht="36.75" customHeight="1">
      <c r="A106" s="1016"/>
      <c r="B106" s="718"/>
      <c r="C106" s="1016"/>
      <c r="D106" s="1016"/>
      <c r="E106" s="623">
        <v>38.299999999999997</v>
      </c>
      <c r="F106" s="714" t="str">
        <f t="shared" si="8"/>
        <v>1</v>
      </c>
      <c r="G106" s="566" t="s">
        <v>1154</v>
      </c>
      <c r="H106" s="750"/>
      <c r="I106" s="750"/>
      <c r="J106" s="750"/>
      <c r="K106" s="750"/>
      <c r="L106" s="750"/>
      <c r="M106" s="750"/>
      <c r="N106" s="750"/>
      <c r="O106" s="750"/>
      <c r="P106" s="750"/>
      <c r="Q106" s="719"/>
      <c r="R106" s="719"/>
      <c r="S106" s="750"/>
      <c r="T106" s="645" t="b">
        <f t="shared" si="9"/>
        <v>1</v>
      </c>
      <c r="U106" s="1016"/>
      <c r="V106" s="1016"/>
      <c r="W106" s="1016"/>
      <c r="X106" s="1382"/>
      <c r="Y106" s="1016"/>
      <c r="Z106" s="1382"/>
      <c r="AA106" s="726"/>
      <c r="AB106" s="111" t="s">
        <v>1297</v>
      </c>
      <c r="AC106" s="436" t="s">
        <v>1298</v>
      </c>
      <c r="AD106" s="481" t="s">
        <v>1299</v>
      </c>
      <c r="AE106" s="479" t="s">
        <v>648</v>
      </c>
      <c r="AF106" s="1107">
        <f ca="1">SUMIFS('Калькуляция (5.9)'!AF$26:AF$115,'Калькуляция (5.9)'!$F$26:$F$115,$F106,'Калькуляция (5.9)'!$G$26:$G$115,$G106)</f>
        <v>0</v>
      </c>
      <c r="AG106" s="1107">
        <f ca="1">SUMIFS('Калькуляция (5.9)'!AG$26:AG$115,'Калькуляция (5.9)'!$F$26:$F$115,$F106,'Калькуляция (5.9)'!$G$26:$G$115,$G106)</f>
        <v>0</v>
      </c>
      <c r="AH106" s="424"/>
      <c r="AI106" s="424"/>
      <c r="AJ106" s="424"/>
      <c r="AK106" s="424"/>
      <c r="AL106" s="424"/>
      <c r="AM106" s="424"/>
      <c r="AN106" s="424"/>
      <c r="AO106" s="424"/>
      <c r="AP106" s="424"/>
      <c r="AQ106" s="424"/>
      <c r="AR106" s="424"/>
      <c r="AS106" s="424"/>
      <c r="AT106" s="424"/>
      <c r="AU106" s="424"/>
      <c r="AV106" s="424"/>
      <c r="AW106" s="424"/>
      <c r="AX106" s="424"/>
      <c r="AY106" s="424"/>
      <c r="AZ106" s="912" t="s">
        <v>1300</v>
      </c>
    </row>
    <row r="107" spans="1:52" s="1057" customFormat="1" ht="20.25" customHeight="1">
      <c r="A107" s="1016"/>
      <c r="B107" s="718"/>
      <c r="C107" s="1016"/>
      <c r="D107" s="1016"/>
      <c r="E107" s="623">
        <v>21</v>
      </c>
      <c r="F107" s="714" t="str">
        <f t="shared" si="8"/>
        <v>1</v>
      </c>
      <c r="G107" s="566" t="s">
        <v>1301</v>
      </c>
      <c r="H107" s="750"/>
      <c r="I107" s="750"/>
      <c r="J107" s="750"/>
      <c r="K107" s="750"/>
      <c r="L107" s="750"/>
      <c r="M107" s="750"/>
      <c r="N107" s="750"/>
      <c r="O107" s="750"/>
      <c r="P107" s="750"/>
      <c r="Q107" s="719"/>
      <c r="R107" s="719"/>
      <c r="S107" s="750"/>
      <c r="T107" s="645" t="b">
        <f t="shared" si="9"/>
        <v>1</v>
      </c>
      <c r="U107" s="1016"/>
      <c r="V107" s="1016"/>
      <c r="W107" s="1016"/>
      <c r="X107" s="1382"/>
      <c r="Y107" s="1016"/>
      <c r="Z107" s="1382"/>
      <c r="AA107" s="726"/>
      <c r="AB107" s="111" t="s">
        <v>1302</v>
      </c>
      <c r="AC107" s="104" t="s">
        <v>1303</v>
      </c>
      <c r="AD107" s="479"/>
      <c r="AE107" s="479" t="s">
        <v>648</v>
      </c>
      <c r="AF107" s="1107">
        <f ca="1">SUMIFS('Калькуляция (5.9)'!AF$26:AF$115,'Калькуляция (5.9)'!$F$26:$F$115,$F107,'Калькуляция (5.9)'!$G$26:$G$115,$G107)</f>
        <v>0</v>
      </c>
      <c r="AG107" s="1107">
        <f ca="1">SUMIFS('Калькуляция (5.9)'!AG$26:AG$115,'Калькуляция (5.9)'!$F$26:$F$115,$F107,'Калькуляция (5.9)'!$G$26:$G$115,$G107)</f>
        <v>0</v>
      </c>
      <c r="AH107" s="424"/>
      <c r="AI107" s="424"/>
      <c r="AJ107" s="424"/>
      <c r="AK107" s="424"/>
      <c r="AL107" s="424"/>
      <c r="AM107" s="424"/>
      <c r="AN107" s="424"/>
      <c r="AO107" s="424"/>
      <c r="AP107" s="424"/>
      <c r="AQ107" s="424"/>
      <c r="AR107" s="424"/>
      <c r="AS107" s="424"/>
      <c r="AT107" s="424"/>
      <c r="AU107" s="424"/>
      <c r="AV107" s="424"/>
      <c r="AW107" s="424"/>
      <c r="AX107" s="424"/>
      <c r="AY107" s="424"/>
      <c r="AZ107" s="912" t="s">
        <v>1304</v>
      </c>
    </row>
    <row r="108" spans="1:52" s="1057" customFormat="1" ht="20.25" customHeight="1">
      <c r="A108" s="1016"/>
      <c r="B108" s="718"/>
      <c r="C108" s="1016"/>
      <c r="D108" s="1016"/>
      <c r="E108" s="623">
        <v>21</v>
      </c>
      <c r="F108" s="714" t="str">
        <f t="shared" si="8"/>
        <v>1</v>
      </c>
      <c r="G108" s="750"/>
      <c r="H108" s="750"/>
      <c r="I108" s="750"/>
      <c r="J108" s="750"/>
      <c r="K108" s="750"/>
      <c r="L108" s="750"/>
      <c r="M108" s="750"/>
      <c r="N108" s="750"/>
      <c r="O108" s="750"/>
      <c r="P108" s="750"/>
      <c r="Q108" s="719"/>
      <c r="R108" s="719"/>
      <c r="S108" s="750"/>
      <c r="T108" s="645" t="b">
        <f t="shared" si="9"/>
        <v>1</v>
      </c>
      <c r="U108" s="1016"/>
      <c r="V108" s="1016"/>
      <c r="W108" s="1016"/>
      <c r="X108" s="1382"/>
      <c r="Y108" s="1016"/>
      <c r="Z108" s="1382"/>
      <c r="AA108" s="726"/>
      <c r="AB108" s="111" t="s">
        <v>1305</v>
      </c>
      <c r="AC108" s="807" t="s">
        <v>1306</v>
      </c>
      <c r="AD108" s="479"/>
      <c r="AE108" s="479" t="s">
        <v>388</v>
      </c>
      <c r="AF108" s="1197"/>
      <c r="AG108" s="1197"/>
      <c r="AH108" s="424"/>
      <c r="AI108" s="424"/>
      <c r="AJ108" s="424"/>
      <c r="AK108" s="424"/>
      <c r="AL108" s="424"/>
      <c r="AM108" s="424"/>
      <c r="AN108" s="424"/>
      <c r="AO108" s="424"/>
      <c r="AP108" s="424"/>
      <c r="AQ108" s="424"/>
      <c r="AR108" s="424"/>
      <c r="AS108" s="424"/>
      <c r="AT108" s="424"/>
      <c r="AU108" s="424"/>
      <c r="AV108" s="424"/>
      <c r="AW108" s="424"/>
      <c r="AX108" s="424"/>
      <c r="AY108" s="424"/>
      <c r="AZ108" s="912" t="s">
        <v>1307</v>
      </c>
    </row>
    <row r="109" spans="1:52" s="1057" customFormat="1" ht="21.75" customHeight="1">
      <c r="A109" s="1016"/>
      <c r="B109" s="718"/>
      <c r="C109" s="1016"/>
      <c r="D109" s="1016"/>
      <c r="E109" s="623">
        <v>22.5</v>
      </c>
      <c r="F109" s="714" t="str">
        <f>F107</f>
        <v>1</v>
      </c>
      <c r="G109" s="566" t="s">
        <v>1308</v>
      </c>
      <c r="H109" s="750"/>
      <c r="I109" s="750"/>
      <c r="J109" s="750"/>
      <c r="K109" s="750"/>
      <c r="L109" s="750"/>
      <c r="M109" s="750"/>
      <c r="N109" s="750"/>
      <c r="O109" s="750"/>
      <c r="P109" s="750"/>
      <c r="Q109" s="719"/>
      <c r="R109" s="719"/>
      <c r="S109" s="750"/>
      <c r="T109" s="645" t="b">
        <f>T107</f>
        <v>1</v>
      </c>
      <c r="U109" s="1016"/>
      <c r="V109" s="1016"/>
      <c r="W109" s="1016"/>
      <c r="X109" s="1382"/>
      <c r="Y109" s="1016"/>
      <c r="Z109" s="1382"/>
      <c r="AA109" s="726"/>
      <c r="AB109" s="111" t="s">
        <v>1309</v>
      </c>
      <c r="AC109" s="104" t="s">
        <v>1310</v>
      </c>
      <c r="AD109" s="479"/>
      <c r="AE109" s="479" t="s">
        <v>648</v>
      </c>
      <c r="AF109" s="1107">
        <f ca="1">SUMIFS('Калькуляция (5.9)'!AF$26:AF$115,'Калькуляция (5.9)'!$F$26:$F$115,$F109,'Калькуляция (5.9)'!$G$26:$G$115,$G109)</f>
        <v>0</v>
      </c>
      <c r="AG109" s="1107">
        <f ca="1">SUMIFS('Калькуляция (5.9)'!AG$26:AG$115,'Калькуляция (5.9)'!$F$26:$F$115,$F109,'Калькуляция (5.9)'!$G$26:$G$115,$G109)</f>
        <v>0</v>
      </c>
      <c r="AH109" s="424"/>
      <c r="AI109" s="424"/>
      <c r="AJ109" s="424"/>
      <c r="AK109" s="424"/>
      <c r="AL109" s="424"/>
      <c r="AM109" s="424"/>
      <c r="AN109" s="424"/>
      <c r="AO109" s="424"/>
      <c r="AP109" s="424"/>
      <c r="AQ109" s="424"/>
      <c r="AR109" s="424"/>
      <c r="AS109" s="424"/>
      <c r="AT109" s="424"/>
      <c r="AU109" s="424"/>
      <c r="AV109" s="424"/>
      <c r="AW109" s="424"/>
      <c r="AX109" s="424"/>
      <c r="AY109" s="424"/>
      <c r="AZ109" s="912" t="s">
        <v>1311</v>
      </c>
    </row>
    <row r="110" spans="1:52" s="1057" customFormat="1" ht="21.75" customHeight="1">
      <c r="A110" s="1016"/>
      <c r="B110" s="718"/>
      <c r="C110" s="1016"/>
      <c r="D110" s="1016"/>
      <c r="E110" s="623">
        <v>22.8</v>
      </c>
      <c r="F110" s="714" t="str">
        <f t="shared" ref="F110:F121" si="10">F109</f>
        <v>1</v>
      </c>
      <c r="G110" s="566" t="s">
        <v>541</v>
      </c>
      <c r="H110" s="750"/>
      <c r="I110" s="750"/>
      <c r="J110" s="750"/>
      <c r="K110" s="750"/>
      <c r="L110" s="750"/>
      <c r="M110" s="750"/>
      <c r="N110" s="750"/>
      <c r="O110" s="750"/>
      <c r="P110" s="750"/>
      <c r="Q110" s="719"/>
      <c r="R110" s="719"/>
      <c r="S110" s="750"/>
      <c r="T110" s="645" t="b">
        <f t="shared" ref="T110:T121" si="11">T109</f>
        <v>1</v>
      </c>
      <c r="U110" s="1016"/>
      <c r="V110" s="1016"/>
      <c r="W110" s="1016"/>
      <c r="X110" s="1382"/>
      <c r="Y110" s="1016"/>
      <c r="Z110" s="1382"/>
      <c r="AA110" s="726"/>
      <c r="AB110" s="111" t="s">
        <v>1312</v>
      </c>
      <c r="AC110" s="104" t="s">
        <v>1313</v>
      </c>
      <c r="AD110" s="479"/>
      <c r="AE110" s="479" t="s">
        <v>648</v>
      </c>
      <c r="AF110" s="1107">
        <f ca="1">SUMIFS('Калькуляция (5.9)'!AF$26:AF$115,'Калькуляция (5.9)'!$F$26:$F$115,$F110,'Калькуляция (5.9)'!$G$26:$G$115,$G110)</f>
        <v>0</v>
      </c>
      <c r="AG110" s="1107">
        <f ca="1">SUMIFS('Калькуляция (5.9)'!AG$26:AG$115,'Калькуляция (5.9)'!$F$26:$F$115,$F110,'Калькуляция (5.9)'!$G$26:$G$115,$G110)</f>
        <v>0</v>
      </c>
      <c r="AH110" s="424"/>
      <c r="AI110" s="424"/>
      <c r="AJ110" s="424"/>
      <c r="AK110" s="424"/>
      <c r="AL110" s="424"/>
      <c r="AM110" s="424"/>
      <c r="AN110" s="424"/>
      <c r="AO110" s="424"/>
      <c r="AP110" s="424"/>
      <c r="AQ110" s="424"/>
      <c r="AR110" s="424"/>
      <c r="AS110" s="424"/>
      <c r="AT110" s="424"/>
      <c r="AU110" s="424"/>
      <c r="AV110" s="424"/>
      <c r="AW110" s="424"/>
      <c r="AX110" s="424"/>
      <c r="AY110" s="424"/>
      <c r="AZ110" s="912" t="s">
        <v>1314</v>
      </c>
    </row>
    <row r="111" spans="1:52" s="1057" customFormat="1" ht="29.25" customHeight="1">
      <c r="A111" s="1016"/>
      <c r="B111" s="718"/>
      <c r="C111" s="1016"/>
      <c r="D111" s="1016"/>
      <c r="E111" s="623">
        <v>30</v>
      </c>
      <c r="F111" s="714" t="str">
        <f t="shared" si="10"/>
        <v>1</v>
      </c>
      <c r="G111" s="750"/>
      <c r="H111" s="750"/>
      <c r="I111" s="750"/>
      <c r="J111" s="750"/>
      <c r="K111" s="750"/>
      <c r="L111" s="750"/>
      <c r="M111" s="750"/>
      <c r="N111" s="750"/>
      <c r="O111" s="750"/>
      <c r="P111" s="750"/>
      <c r="Q111" s="719"/>
      <c r="R111" s="719"/>
      <c r="S111" s="750"/>
      <c r="T111" s="645" t="b">
        <f t="shared" si="11"/>
        <v>1</v>
      </c>
      <c r="U111" s="1016"/>
      <c r="V111" s="1016"/>
      <c r="W111" s="1016"/>
      <c r="X111" s="1382"/>
      <c r="Y111" s="1016"/>
      <c r="Z111" s="1382"/>
      <c r="AA111" s="726"/>
      <c r="AB111" s="111" t="s">
        <v>1315</v>
      </c>
      <c r="AC111" s="104" t="s">
        <v>1316</v>
      </c>
      <c r="AD111" s="482"/>
      <c r="AE111" s="479" t="s">
        <v>648</v>
      </c>
      <c r="AF111" s="1107"/>
      <c r="AG111" s="1107"/>
      <c r="AH111" s="424"/>
      <c r="AI111" s="424"/>
      <c r="AJ111" s="424"/>
      <c r="AK111" s="424"/>
      <c r="AL111" s="424"/>
      <c r="AM111" s="424"/>
      <c r="AN111" s="424"/>
      <c r="AO111" s="424"/>
      <c r="AP111" s="424"/>
      <c r="AQ111" s="424"/>
      <c r="AR111" s="424"/>
      <c r="AS111" s="424"/>
      <c r="AT111" s="424"/>
      <c r="AU111" s="424"/>
      <c r="AV111" s="424"/>
      <c r="AW111" s="424"/>
      <c r="AX111" s="424"/>
      <c r="AY111" s="424"/>
      <c r="AZ111" s="912" t="s">
        <v>1317</v>
      </c>
    </row>
    <row r="112" spans="1:52" s="1057" customFormat="1" ht="36.75" customHeight="1">
      <c r="A112" s="1016"/>
      <c r="B112" s="718"/>
      <c r="C112" s="1016"/>
      <c r="D112" s="1016"/>
      <c r="E112" s="623">
        <v>38.299999999999997</v>
      </c>
      <c r="F112" s="714" t="str">
        <f t="shared" si="10"/>
        <v>1</v>
      </c>
      <c r="G112" s="750"/>
      <c r="H112" s="750"/>
      <c r="I112" s="750"/>
      <c r="J112" s="750"/>
      <c r="K112" s="750"/>
      <c r="L112" s="750"/>
      <c r="M112" s="750"/>
      <c r="N112" s="750"/>
      <c r="O112" s="750"/>
      <c r="P112" s="750"/>
      <c r="Q112" s="719"/>
      <c r="R112" s="719"/>
      <c r="S112" s="750"/>
      <c r="T112" s="645" t="b">
        <f t="shared" si="11"/>
        <v>1</v>
      </c>
      <c r="U112" s="1016"/>
      <c r="V112" s="1016"/>
      <c r="W112" s="1016"/>
      <c r="X112" s="1382"/>
      <c r="Y112" s="1016"/>
      <c r="Z112" s="1382"/>
      <c r="AA112" s="726"/>
      <c r="AB112" s="111" t="s">
        <v>1318</v>
      </c>
      <c r="AC112" s="104" t="s">
        <v>1319</v>
      </c>
      <c r="AD112" s="479"/>
      <c r="AE112" s="479" t="s">
        <v>648</v>
      </c>
      <c r="AF112" s="1107"/>
      <c r="AG112" s="1107"/>
      <c r="AH112" s="424"/>
      <c r="AI112" s="424"/>
      <c r="AJ112" s="424"/>
      <c r="AK112" s="424"/>
      <c r="AL112" s="424"/>
      <c r="AM112" s="424"/>
      <c r="AN112" s="424"/>
      <c r="AO112" s="424"/>
      <c r="AP112" s="424"/>
      <c r="AQ112" s="424"/>
      <c r="AR112" s="424"/>
      <c r="AS112" s="424"/>
      <c r="AT112" s="424"/>
      <c r="AU112" s="424"/>
      <c r="AV112" s="424"/>
      <c r="AW112" s="424"/>
      <c r="AX112" s="424"/>
      <c r="AY112" s="424"/>
      <c r="AZ112" s="912" t="s">
        <v>1320</v>
      </c>
    </row>
    <row r="113" spans="1:52" s="1057" customFormat="1" ht="72.75" customHeight="1">
      <c r="A113" s="1016"/>
      <c r="B113" s="718"/>
      <c r="C113" s="1016"/>
      <c r="D113" s="1016"/>
      <c r="E113" s="623">
        <v>75</v>
      </c>
      <c r="F113" s="714" t="str">
        <f t="shared" si="10"/>
        <v>1</v>
      </c>
      <c r="G113" s="750"/>
      <c r="H113" s="750"/>
      <c r="I113" s="750"/>
      <c r="J113" s="750"/>
      <c r="K113" s="750"/>
      <c r="L113" s="750"/>
      <c r="M113" s="750"/>
      <c r="N113" s="750"/>
      <c r="O113" s="750"/>
      <c r="P113" s="750"/>
      <c r="Q113" s="719"/>
      <c r="R113" s="719"/>
      <c r="S113" s="750"/>
      <c r="T113" s="645" t="b">
        <f t="shared" si="11"/>
        <v>1</v>
      </c>
      <c r="U113" s="1016"/>
      <c r="V113" s="1016"/>
      <c r="W113" s="1016"/>
      <c r="X113" s="1382"/>
      <c r="Y113" s="1016"/>
      <c r="Z113" s="1382"/>
      <c r="AA113" s="726"/>
      <c r="AB113" s="111" t="s">
        <v>1321</v>
      </c>
      <c r="AC113" s="104" t="s">
        <v>1322</v>
      </c>
      <c r="AD113" s="479"/>
      <c r="AE113" s="479" t="s">
        <v>648</v>
      </c>
      <c r="AF113" s="1107"/>
      <c r="AG113" s="1107"/>
      <c r="AH113" s="424"/>
      <c r="AI113" s="424"/>
      <c r="AJ113" s="424"/>
      <c r="AK113" s="424"/>
      <c r="AL113" s="424"/>
      <c r="AM113" s="424"/>
      <c r="AN113" s="424"/>
      <c r="AO113" s="424"/>
      <c r="AP113" s="424"/>
      <c r="AQ113" s="424"/>
      <c r="AR113" s="424"/>
      <c r="AS113" s="424"/>
      <c r="AT113" s="424"/>
      <c r="AU113" s="424"/>
      <c r="AV113" s="424"/>
      <c r="AW113" s="424"/>
      <c r="AX113" s="424"/>
      <c r="AY113" s="424"/>
      <c r="AZ113" s="912" t="s">
        <v>1323</v>
      </c>
    </row>
    <row r="114" spans="1:52" s="1057" customFormat="1" ht="72" customHeight="1">
      <c r="A114" s="1016"/>
      <c r="B114" s="718"/>
      <c r="C114" s="1016"/>
      <c r="D114" s="1016"/>
      <c r="E114" s="623">
        <v>74.3</v>
      </c>
      <c r="F114" s="714" t="str">
        <f t="shared" si="10"/>
        <v>1</v>
      </c>
      <c r="G114" s="750"/>
      <c r="H114" s="750"/>
      <c r="I114" s="750"/>
      <c r="J114" s="750"/>
      <c r="K114" s="750"/>
      <c r="L114" s="750"/>
      <c r="M114" s="750"/>
      <c r="N114" s="750"/>
      <c r="O114" s="750"/>
      <c r="P114" s="750"/>
      <c r="Q114" s="719"/>
      <c r="R114" s="719"/>
      <c r="S114" s="750"/>
      <c r="T114" s="645" t="b">
        <f t="shared" si="11"/>
        <v>1</v>
      </c>
      <c r="U114" s="1016"/>
      <c r="V114" s="1016"/>
      <c r="W114" s="1016"/>
      <c r="X114" s="1382"/>
      <c r="Y114" s="1016"/>
      <c r="Z114" s="1382"/>
      <c r="AA114" s="726"/>
      <c r="AB114" s="111" t="s">
        <v>1324</v>
      </c>
      <c r="AC114" s="104" t="s">
        <v>1325</v>
      </c>
      <c r="AD114" s="479"/>
      <c r="AE114" s="479" t="s">
        <v>1204</v>
      </c>
      <c r="AF114" s="1107"/>
      <c r="AG114" s="1107"/>
      <c r="AH114" s="424"/>
      <c r="AI114" s="424"/>
      <c r="AJ114" s="424"/>
      <c r="AK114" s="424"/>
      <c r="AL114" s="424"/>
      <c r="AM114" s="424"/>
      <c r="AN114" s="424"/>
      <c r="AO114" s="424"/>
      <c r="AP114" s="424"/>
      <c r="AQ114" s="424"/>
      <c r="AR114" s="424"/>
      <c r="AS114" s="424"/>
      <c r="AT114" s="424"/>
      <c r="AU114" s="424"/>
      <c r="AV114" s="424"/>
      <c r="AW114" s="424"/>
      <c r="AX114" s="424"/>
      <c r="AY114" s="424"/>
      <c r="AZ114" s="912" t="s">
        <v>1326</v>
      </c>
    </row>
    <row r="115" spans="1:52" s="1057" customFormat="1" ht="55.5" customHeight="1">
      <c r="A115" s="1016"/>
      <c r="B115" s="718"/>
      <c r="C115" s="1016"/>
      <c r="D115" s="1016"/>
      <c r="E115" s="623">
        <v>57</v>
      </c>
      <c r="F115" s="714" t="str">
        <f t="shared" si="10"/>
        <v>1</v>
      </c>
      <c r="G115" s="750"/>
      <c r="H115" s="750"/>
      <c r="I115" s="750"/>
      <c r="J115" s="750"/>
      <c r="K115" s="750"/>
      <c r="L115" s="750"/>
      <c r="M115" s="750"/>
      <c r="N115" s="750"/>
      <c r="O115" s="750"/>
      <c r="P115" s="750"/>
      <c r="Q115" s="719"/>
      <c r="R115" s="719"/>
      <c r="S115" s="750"/>
      <c r="T115" s="645" t="b">
        <f t="shared" si="11"/>
        <v>1</v>
      </c>
      <c r="U115" s="1016"/>
      <c r="V115" s="1016"/>
      <c r="W115" s="1016"/>
      <c r="X115" s="1382"/>
      <c r="Y115" s="1016"/>
      <c r="Z115" s="1382"/>
      <c r="AA115" s="726"/>
      <c r="AB115" s="111" t="s">
        <v>343</v>
      </c>
      <c r="AC115" s="477" t="s">
        <v>1327</v>
      </c>
      <c r="AD115" s="107" t="s">
        <v>1353</v>
      </c>
      <c r="AE115" s="479" t="s">
        <v>1204</v>
      </c>
      <c r="AF115" s="1107">
        <v>3439.02</v>
      </c>
      <c r="AG115" s="1107">
        <v>3439.02</v>
      </c>
      <c r="AH115" s="424"/>
      <c r="AI115" s="424"/>
      <c r="AJ115" s="424"/>
      <c r="AK115" s="424"/>
      <c r="AL115" s="424"/>
      <c r="AM115" s="424"/>
      <c r="AN115" s="424"/>
      <c r="AO115" s="424"/>
      <c r="AP115" s="424"/>
      <c r="AQ115" s="424"/>
      <c r="AR115" s="424"/>
      <c r="AS115" s="424"/>
      <c r="AT115" s="424"/>
      <c r="AU115" s="424"/>
      <c r="AV115" s="424"/>
      <c r="AW115" s="424"/>
      <c r="AX115" s="424"/>
      <c r="AY115" s="424"/>
      <c r="AZ115" s="912" t="s">
        <v>1329</v>
      </c>
    </row>
    <row r="116" spans="1:52" s="1057" customFormat="1" ht="10.5" customHeight="1">
      <c r="A116" s="1016"/>
      <c r="B116" s="718"/>
      <c r="C116" s="1016"/>
      <c r="D116" s="1016"/>
      <c r="E116" s="623">
        <v>11.4</v>
      </c>
      <c r="F116" s="714" t="str">
        <f t="shared" si="10"/>
        <v>1</v>
      </c>
      <c r="G116" s="750"/>
      <c r="H116" s="750"/>
      <c r="I116" s="750"/>
      <c r="J116" s="750"/>
      <c r="K116" s="750"/>
      <c r="L116" s="750"/>
      <c r="M116" s="750"/>
      <c r="N116" s="750"/>
      <c r="O116" s="750"/>
      <c r="P116" s="750"/>
      <c r="Q116" s="719"/>
      <c r="R116" s="719"/>
      <c r="S116" s="750"/>
      <c r="T116" s="645" t="b">
        <f t="shared" si="11"/>
        <v>1</v>
      </c>
      <c r="U116" s="1016"/>
      <c r="V116" s="1016"/>
      <c r="W116" s="1016"/>
      <c r="X116" s="1382"/>
      <c r="Y116" s="1016"/>
      <c r="Z116" s="1382"/>
      <c r="AA116" s="726"/>
      <c r="AB116" s="755"/>
      <c r="AC116" s="755"/>
      <c r="AD116" s="755"/>
      <c r="AE116" s="755"/>
      <c r="AF116" s="755"/>
      <c r="AG116" s="755"/>
      <c r="AH116" s="424"/>
      <c r="AI116" s="424"/>
      <c r="AJ116" s="424"/>
      <c r="AK116" s="424"/>
      <c r="AL116" s="424"/>
      <c r="AM116" s="424"/>
      <c r="AN116" s="424"/>
      <c r="AO116" s="424"/>
      <c r="AP116" s="424"/>
      <c r="AQ116" s="424"/>
      <c r="AR116" s="424"/>
      <c r="AS116" s="424"/>
      <c r="AT116" s="424"/>
      <c r="AU116" s="424"/>
      <c r="AV116" s="424"/>
      <c r="AW116" s="424"/>
      <c r="AX116" s="424"/>
      <c r="AY116" s="424"/>
      <c r="AZ116" s="956"/>
    </row>
    <row r="117" spans="1:52" s="1057" customFormat="1" ht="10.5" customHeight="1">
      <c r="A117" s="1016"/>
      <c r="B117" s="718"/>
      <c r="C117" s="1016"/>
      <c r="D117" s="1016"/>
      <c r="E117" s="623">
        <v>11.3</v>
      </c>
      <c r="F117" s="714" t="str">
        <f t="shared" si="10"/>
        <v>1</v>
      </c>
      <c r="G117" s="750"/>
      <c r="H117" s="750"/>
      <c r="I117" s="750"/>
      <c r="J117" s="750"/>
      <c r="K117" s="750"/>
      <c r="L117" s="750"/>
      <c r="M117" s="750"/>
      <c r="N117" s="750"/>
      <c r="O117" s="750"/>
      <c r="P117" s="750"/>
      <c r="Q117" s="719"/>
      <c r="R117" s="719"/>
      <c r="S117" s="750"/>
      <c r="T117" s="645" t="b">
        <f t="shared" si="11"/>
        <v>1</v>
      </c>
      <c r="U117" s="1016"/>
      <c r="V117" s="1016"/>
      <c r="W117" s="1016"/>
      <c r="X117" s="1382"/>
      <c r="Y117" s="1016"/>
      <c r="Z117" s="1382"/>
      <c r="AA117" s="726"/>
      <c r="AB117" s="1506" t="s">
        <v>1200</v>
      </c>
      <c r="AC117" s="1520" t="s">
        <v>386</v>
      </c>
      <c r="AD117" s="1521"/>
      <c r="AE117" s="1522"/>
      <c r="AF117" s="1518" t="s">
        <v>964</v>
      </c>
      <c r="AG117" s="96">
        <f>god-2</f>
        <v>2024</v>
      </c>
      <c r="AH117" s="96">
        <f>god-1</f>
        <v>2025</v>
      </c>
      <c r="AI117" s="1518" t="s">
        <v>1330</v>
      </c>
      <c r="AJ117" s="239">
        <f>god</f>
        <v>2026</v>
      </c>
      <c r="AK117" s="96">
        <f>god+1</f>
        <v>2027</v>
      </c>
      <c r="AL117" s="96">
        <f>god+2</f>
        <v>2028</v>
      </c>
      <c r="AM117" s="96">
        <f>god+3</f>
        <v>2029</v>
      </c>
      <c r="AN117" s="96">
        <f>god+4</f>
        <v>2030</v>
      </c>
      <c r="AO117" s="1518" t="s">
        <v>1330</v>
      </c>
      <c r="AP117" s="239">
        <f>god</f>
        <v>2026</v>
      </c>
      <c r="AQ117" s="96">
        <f>god+1</f>
        <v>2027</v>
      </c>
      <c r="AR117" s="96">
        <f>god+2</f>
        <v>2028</v>
      </c>
      <c r="AS117" s="96">
        <f>god+3</f>
        <v>2029</v>
      </c>
      <c r="AT117" s="96">
        <f>god+4</f>
        <v>2030</v>
      </c>
      <c r="AU117" s="424"/>
      <c r="AV117" s="424"/>
      <c r="AW117" s="1519" t="s">
        <v>1331</v>
      </c>
      <c r="AX117" s="424"/>
      <c r="AY117" s="424"/>
      <c r="AZ117" s="956"/>
    </row>
    <row r="118" spans="1:52" s="1057" customFormat="1" ht="21.75" customHeight="1">
      <c r="A118" s="1016"/>
      <c r="B118" s="718"/>
      <c r="C118" s="1016"/>
      <c r="D118" s="1016"/>
      <c r="E118" s="623">
        <v>22.5</v>
      </c>
      <c r="F118" s="714" t="str">
        <f t="shared" si="10"/>
        <v>1</v>
      </c>
      <c r="G118" s="750"/>
      <c r="H118" s="750"/>
      <c r="I118" s="750"/>
      <c r="J118" s="750"/>
      <c r="K118" s="750"/>
      <c r="L118" s="750"/>
      <c r="M118" s="750"/>
      <c r="N118" s="750"/>
      <c r="O118" s="750"/>
      <c r="P118" s="750"/>
      <c r="Q118" s="719"/>
      <c r="R118" s="719"/>
      <c r="S118" s="750"/>
      <c r="T118" s="645" t="b">
        <f t="shared" si="11"/>
        <v>1</v>
      </c>
      <c r="U118" s="1016"/>
      <c r="V118" s="1016"/>
      <c r="W118" s="1016"/>
      <c r="X118" s="1382"/>
      <c r="Y118" s="1016"/>
      <c r="Z118" s="1382"/>
      <c r="AA118" s="726"/>
      <c r="AB118" s="1507"/>
      <c r="AC118" s="1523"/>
      <c r="AD118" s="1524"/>
      <c r="AE118" s="1525"/>
      <c r="AF118" s="1518"/>
      <c r="AG118" s="111" t="s">
        <v>1332</v>
      </c>
      <c r="AH118" s="111" t="s">
        <v>1332</v>
      </c>
      <c r="AI118" s="1518"/>
      <c r="AJ118" s="111" t="s">
        <v>1333</v>
      </c>
      <c r="AK118" s="111" t="s">
        <v>1333</v>
      </c>
      <c r="AL118" s="111" t="s">
        <v>1333</v>
      </c>
      <c r="AM118" s="111" t="s">
        <v>1333</v>
      </c>
      <c r="AN118" s="111" t="s">
        <v>1333</v>
      </c>
      <c r="AO118" s="1518"/>
      <c r="AP118" s="111" t="s">
        <v>1334</v>
      </c>
      <c r="AQ118" s="111" t="s">
        <v>1334</v>
      </c>
      <c r="AR118" s="111" t="s">
        <v>1334</v>
      </c>
      <c r="AS118" s="111" t="s">
        <v>1334</v>
      </c>
      <c r="AT118" s="111" t="s">
        <v>1334</v>
      </c>
      <c r="AU118" s="424"/>
      <c r="AV118" s="424"/>
      <c r="AW118" s="1519"/>
      <c r="AX118" s="424"/>
      <c r="AY118" s="424"/>
      <c r="AZ118" s="956"/>
    </row>
    <row r="119" spans="1:52" s="1057" customFormat="1" ht="15" customHeight="1">
      <c r="A119" s="1016"/>
      <c r="B119" s="718"/>
      <c r="C119" s="1016"/>
      <c r="D119" s="1016"/>
      <c r="E119" s="623">
        <v>15.8</v>
      </c>
      <c r="F119" s="714" t="str">
        <f t="shared" si="10"/>
        <v>1</v>
      </c>
      <c r="G119" s="750"/>
      <c r="H119" s="750"/>
      <c r="I119" s="750"/>
      <c r="J119" s="750"/>
      <c r="K119" s="750"/>
      <c r="L119" s="750"/>
      <c r="M119" s="750"/>
      <c r="N119" s="750"/>
      <c r="O119" s="750"/>
      <c r="P119" s="750"/>
      <c r="Q119" s="719"/>
      <c r="R119" s="719"/>
      <c r="S119" s="750"/>
      <c r="T119" s="645" t="b">
        <f t="shared" si="11"/>
        <v>1</v>
      </c>
      <c r="U119" s="1016"/>
      <c r="V119" s="1016"/>
      <c r="W119" s="1016"/>
      <c r="X119" s="1382"/>
      <c r="Y119" s="1016"/>
      <c r="Z119" s="1382"/>
      <c r="AA119" s="726"/>
      <c r="AB119" s="222" t="s">
        <v>520</v>
      </c>
      <c r="AC119" s="1510" t="s">
        <v>1335</v>
      </c>
      <c r="AD119" s="1511"/>
      <c r="AE119" s="1512"/>
      <c r="AF119" s="479" t="s">
        <v>648</v>
      </c>
      <c r="AG119" s="647" t="s">
        <v>1336</v>
      </c>
      <c r="AH119" s="647" t="s">
        <v>1336</v>
      </c>
      <c r="AI119" s="331">
        <f ca="1">AF76</f>
        <v>1.0000000002037268E-3</v>
      </c>
      <c r="AJ119" s="1194"/>
      <c r="AK119" s="1198"/>
      <c r="AL119" s="1198"/>
      <c r="AM119" s="1198"/>
      <c r="AN119" s="789"/>
      <c r="AO119" s="331">
        <f ca="1">AG76</f>
        <v>0</v>
      </c>
      <c r="AP119" s="1195"/>
      <c r="AQ119" s="1199"/>
      <c r="AR119" s="1199"/>
      <c r="AS119" s="790"/>
      <c r="AT119" s="790"/>
      <c r="AU119" s="424"/>
      <c r="AV119" s="424"/>
      <c r="AW119" s="66"/>
      <c r="AX119" s="424"/>
      <c r="AY119" s="424"/>
      <c r="AZ119" s="912" t="s">
        <v>1337</v>
      </c>
    </row>
    <row r="120" spans="1:52" s="1057" customFormat="1" ht="27" customHeight="1">
      <c r="A120" s="1016"/>
      <c r="B120" s="718"/>
      <c r="C120" s="1016"/>
      <c r="D120" s="1016"/>
      <c r="E120" s="623">
        <v>27.8</v>
      </c>
      <c r="F120" s="714" t="str">
        <f t="shared" si="10"/>
        <v>1</v>
      </c>
      <c r="G120" s="750"/>
      <c r="H120" s="750"/>
      <c r="I120" s="750"/>
      <c r="J120" s="750"/>
      <c r="K120" s="750"/>
      <c r="L120" s="750"/>
      <c r="M120" s="750"/>
      <c r="N120" s="750"/>
      <c r="O120" s="750"/>
      <c r="P120" s="750"/>
      <c r="Q120" s="719"/>
      <c r="R120" s="719"/>
      <c r="S120" s="750"/>
      <c r="T120" s="645" t="b">
        <f t="shared" si="11"/>
        <v>1</v>
      </c>
      <c r="U120" s="1016"/>
      <c r="V120" s="1016"/>
      <c r="W120" s="1016"/>
      <c r="X120" s="1382"/>
      <c r="Y120" s="1016"/>
      <c r="Z120" s="1382"/>
      <c r="AA120" s="726"/>
      <c r="AB120" s="222" t="s">
        <v>527</v>
      </c>
      <c r="AC120" s="1513" t="s">
        <v>1338</v>
      </c>
      <c r="AD120" s="1514"/>
      <c r="AE120" s="1515"/>
      <c r="AF120" s="479" t="s">
        <v>648</v>
      </c>
      <c r="AG120" s="1198"/>
      <c r="AH120" s="789"/>
      <c r="AI120" s="331">
        <f>SUM(AJ120:AN120)</f>
        <v>0</v>
      </c>
      <c r="AJ120" s="1194"/>
      <c r="AK120" s="1198"/>
      <c r="AL120" s="1198"/>
      <c r="AM120" s="1198"/>
      <c r="AN120" s="789"/>
      <c r="AO120" s="331">
        <f>SUM(AP120:AT120)</f>
        <v>0</v>
      </c>
      <c r="AP120" s="1195"/>
      <c r="AQ120" s="1199"/>
      <c r="AR120" s="1199"/>
      <c r="AS120" s="790"/>
      <c r="AT120" s="790"/>
      <c r="AU120" s="424"/>
      <c r="AV120" s="424"/>
      <c r="AW120" s="66"/>
      <c r="AX120" s="424"/>
      <c r="AY120" s="424"/>
      <c r="AZ120" s="912" t="s">
        <v>1339</v>
      </c>
    </row>
    <row r="121" spans="1:52" s="1057" customFormat="1" ht="15" customHeight="1">
      <c r="A121" s="1016"/>
      <c r="B121" s="718"/>
      <c r="C121" s="1016"/>
      <c r="D121" s="1016"/>
      <c r="E121" s="623">
        <v>15.8</v>
      </c>
      <c r="F121" s="714" t="str">
        <f t="shared" si="10"/>
        <v>1</v>
      </c>
      <c r="G121" s="566" t="s">
        <v>1340</v>
      </c>
      <c r="H121" s="750"/>
      <c r="I121" s="750"/>
      <c r="J121" s="750"/>
      <c r="K121" s="750"/>
      <c r="L121" s="750"/>
      <c r="M121" s="750"/>
      <c r="N121" s="750"/>
      <c r="O121" s="750"/>
      <c r="P121" s="750"/>
      <c r="Q121" s="719"/>
      <c r="R121" s="719"/>
      <c r="S121" s="750"/>
      <c r="T121" s="645" t="b">
        <f t="shared" si="11"/>
        <v>1</v>
      </c>
      <c r="U121" s="1016"/>
      <c r="V121" s="1016"/>
      <c r="W121" s="1016"/>
      <c r="X121" s="1382"/>
      <c r="Y121" s="1016"/>
      <c r="Z121" s="1382"/>
      <c r="AA121" s="726"/>
      <c r="AB121" s="244" t="s">
        <v>534</v>
      </c>
      <c r="AC121" s="1516" t="s">
        <v>1341</v>
      </c>
      <c r="AD121" s="1517"/>
      <c r="AE121" s="1442"/>
      <c r="AF121" s="479" t="s">
        <v>648</v>
      </c>
      <c r="AG121" s="331">
        <f>AG120</f>
        <v>0</v>
      </c>
      <c r="AH121" s="331">
        <f>AH120</f>
        <v>0</v>
      </c>
      <c r="AI121" s="331">
        <f t="shared" ref="AI121:AT121" ca="1" si="12">AI119+AI120</f>
        <v>1.0000000002037268E-3</v>
      </c>
      <c r="AJ121" s="331">
        <f t="shared" si="12"/>
        <v>0</v>
      </c>
      <c r="AK121" s="331">
        <f t="shared" si="12"/>
        <v>0</v>
      </c>
      <c r="AL121" s="331">
        <f t="shared" si="12"/>
        <v>0</v>
      </c>
      <c r="AM121" s="331">
        <f t="shared" si="12"/>
        <v>0</v>
      </c>
      <c r="AN121" s="331">
        <f t="shared" si="12"/>
        <v>0</v>
      </c>
      <c r="AO121" s="331">
        <f t="shared" ca="1" si="12"/>
        <v>0</v>
      </c>
      <c r="AP121" s="331">
        <f t="shared" si="12"/>
        <v>0</v>
      </c>
      <c r="AQ121" s="331">
        <f t="shared" si="12"/>
        <v>0</v>
      </c>
      <c r="AR121" s="331">
        <f t="shared" si="12"/>
        <v>0</v>
      </c>
      <c r="AS121" s="331">
        <f t="shared" si="12"/>
        <v>0</v>
      </c>
      <c r="AT121" s="331">
        <f t="shared" si="12"/>
        <v>0</v>
      </c>
      <c r="AU121" s="424"/>
      <c r="AV121" s="424"/>
      <c r="AW121" s="66"/>
      <c r="AX121" s="424"/>
      <c r="AY121" s="424"/>
      <c r="AZ121" s="912" t="s">
        <v>1342</v>
      </c>
    </row>
    <row r="122" spans="1:52" ht="11.1" customHeight="1">
      <c r="E122" s="623">
        <v>11.4</v>
      </c>
      <c r="U122" s="116" t="s">
        <v>172</v>
      </c>
      <c r="V122" s="109" t="s">
        <v>1354</v>
      </c>
      <c r="AB122" s="426"/>
      <c r="AC122" s="426"/>
      <c r="AD122" s="426"/>
      <c r="AE122" s="426"/>
      <c r="AF122" s="426"/>
      <c r="AG122" s="426"/>
      <c r="AH122" s="429"/>
      <c r="AI122" s="429"/>
      <c r="AJ122" s="429"/>
      <c r="AV122" s="423"/>
    </row>
  </sheetData>
  <sheetProtection formatColumns="0" formatRows="0" insertRows="0" deleteColumns="0" deleteRows="0" sort="0" autoFilter="0"/>
  <mergeCells count="26">
    <mergeCell ref="AO117:AO118"/>
    <mergeCell ref="AW117:AW118"/>
    <mergeCell ref="AB117:AB118"/>
    <mergeCell ref="AF117:AF118"/>
    <mergeCell ref="AI117:AI118"/>
    <mergeCell ref="AC117:AE118"/>
    <mergeCell ref="X75:X121"/>
    <mergeCell ref="Z75:Z121"/>
    <mergeCell ref="AC119:AE119"/>
    <mergeCell ref="AC120:AE120"/>
    <mergeCell ref="AC121:AE121"/>
    <mergeCell ref="AO70:AO71"/>
    <mergeCell ref="AW70:AW71"/>
    <mergeCell ref="AB70:AB71"/>
    <mergeCell ref="AF70:AF71"/>
    <mergeCell ref="AI70:AI71"/>
    <mergeCell ref="AC70:AE71"/>
    <mergeCell ref="AB25:AB26"/>
    <mergeCell ref="AC25:AC26"/>
    <mergeCell ref="AD25:AD26"/>
    <mergeCell ref="AE25:AE26"/>
    <mergeCell ref="X28:X74"/>
    <mergeCell ref="Z28:Z74"/>
    <mergeCell ref="AC72:AE72"/>
    <mergeCell ref="AC73:AE73"/>
    <mergeCell ref="AC74:AE74"/>
  </mergeCells>
  <pageMargins left="0.7" right="0.7" top="0.75" bottom="0.75" header="0.3" footer="0.3"/>
  <pageSetup paperSize="9" orientation="portrait"/>
  <headerFooter>
    <oddHeader>&amp;L&amp;C&amp;R</oddHeader>
    <oddFooter>&amp;L&amp;C&amp;R</oddFooter>
    <evenHeader>&amp;L&amp;C&amp;R</evenHeader>
    <evenFooter>&amp;L&amp;C&amp;R</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heetPr>
  <dimension ref="A1:AL51"/>
  <sheetViews>
    <sheetView showGridLines="0" topLeftCell="AA21" workbookViewId="0">
      <selection activeCell="AA21" sqref="AA21"/>
    </sheetView>
  </sheetViews>
  <sheetFormatPr defaultColWidth="9.140625" defaultRowHeight="11.25" customHeight="1"/>
  <cols>
    <col min="1" max="1" width="3.5703125" style="869" hidden="1" customWidth="1"/>
    <col min="2" max="2" width="8.5703125" style="620" hidden="1" customWidth="1"/>
    <col min="3" max="4" width="3.5703125" style="869" hidden="1" customWidth="1"/>
    <col min="5" max="5" width="8.42578125" style="717" hidden="1" customWidth="1"/>
    <col min="6" max="26" width="3.5703125" style="869" hidden="1" customWidth="1"/>
    <col min="27" max="27" width="3" style="424" customWidth="1"/>
    <col min="28" max="28" width="8" style="755" customWidth="1"/>
    <col min="29" max="29" width="65.28515625" style="755" customWidth="1"/>
    <col min="30" max="30" width="20.5703125" style="755" customWidth="1"/>
    <col min="31" max="31" width="21" style="755" customWidth="1"/>
    <col min="32" max="32" width="21.140625" style="755" customWidth="1"/>
    <col min="33" max="33" width="21" style="755" customWidth="1"/>
    <col min="34" max="34" width="21.140625" style="755" customWidth="1"/>
    <col min="35" max="35" width="21" style="755" customWidth="1"/>
    <col min="36" max="36" width="21.140625" style="755" customWidth="1"/>
    <col min="37" max="37" width="21" style="755" customWidth="1"/>
    <col min="38" max="38" width="21.140625" style="755" customWidth="1"/>
  </cols>
  <sheetData>
    <row r="1" spans="1:38" s="869" customFormat="1" ht="12" hidden="1" customHeight="1">
      <c r="B1" s="615"/>
      <c r="E1" s="614"/>
    </row>
    <row r="2" spans="1:38" s="620" customFormat="1" ht="12" hidden="1" customHeight="1">
      <c r="B2" s="619" t="s">
        <v>15</v>
      </c>
      <c r="E2" s="614"/>
    </row>
    <row r="3" spans="1:38" s="869" customFormat="1" ht="12" hidden="1" customHeight="1">
      <c r="B3" s="615"/>
      <c r="E3" s="614"/>
    </row>
    <row r="4" spans="1:38" s="869" customFormat="1" ht="12" hidden="1" customHeight="1">
      <c r="B4" s="615"/>
      <c r="E4" s="614"/>
    </row>
    <row r="5" spans="1:38" s="717" customFormat="1" ht="12" hidden="1" customHeight="1">
      <c r="A5" s="614"/>
      <c r="B5" s="614"/>
      <c r="C5" s="614"/>
      <c r="D5" s="614"/>
      <c r="E5" s="623" t="s">
        <v>16</v>
      </c>
      <c r="AA5" s="623">
        <v>3</v>
      </c>
      <c r="AB5" s="623">
        <v>8</v>
      </c>
      <c r="AC5" s="623">
        <v>65.25</v>
      </c>
      <c r="AD5" s="623">
        <v>20.63</v>
      </c>
      <c r="AE5" s="623">
        <v>21</v>
      </c>
      <c r="AF5" s="623">
        <v>21.13</v>
      </c>
      <c r="AG5" s="623">
        <v>21</v>
      </c>
      <c r="AH5" s="623">
        <v>21.13</v>
      </c>
      <c r="AI5" s="623">
        <v>21</v>
      </c>
      <c r="AJ5" s="623">
        <v>21.13</v>
      </c>
      <c r="AK5" s="623">
        <v>21</v>
      </c>
      <c r="AL5" s="623">
        <v>21.13</v>
      </c>
    </row>
    <row r="6" spans="1:38" s="869" customFormat="1" ht="12" hidden="1" customHeight="1">
      <c r="B6" s="615"/>
      <c r="E6" s="623"/>
    </row>
    <row r="7" spans="1:38" s="755" customFormat="1" ht="12" hidden="1" customHeight="1">
      <c r="A7" s="736"/>
      <c r="B7" s="615"/>
      <c r="C7" s="736"/>
      <c r="D7" s="736"/>
      <c r="E7" s="623"/>
    </row>
    <row r="8" spans="1:38" s="755" customFormat="1" ht="12" hidden="1" customHeight="1">
      <c r="A8" s="736"/>
      <c r="B8" s="615"/>
      <c r="C8" s="736"/>
      <c r="D8" s="736"/>
      <c r="E8" s="623"/>
    </row>
    <row r="9" spans="1:38" s="869" customFormat="1" ht="12" hidden="1" customHeight="1">
      <c r="B9" s="615"/>
      <c r="E9" s="623"/>
    </row>
    <row r="10" spans="1:38" s="869" customFormat="1" ht="12" hidden="1" customHeight="1">
      <c r="B10" s="615"/>
      <c r="E10" s="623"/>
    </row>
    <row r="11" spans="1:38" s="869" customFormat="1" ht="12" hidden="1" customHeight="1">
      <c r="B11" s="615"/>
      <c r="E11" s="623"/>
    </row>
    <row r="12" spans="1:38" s="869" customFormat="1" ht="12" hidden="1" customHeight="1">
      <c r="B12" s="615"/>
      <c r="E12" s="623"/>
    </row>
    <row r="13" spans="1:38" s="869" customFormat="1" ht="12" hidden="1" customHeight="1">
      <c r="B13" s="615"/>
      <c r="E13" s="623"/>
    </row>
    <row r="14" spans="1:38" s="869" customFormat="1" ht="12" hidden="1" customHeight="1">
      <c r="B14" s="615"/>
      <c r="E14" s="623"/>
    </row>
    <row r="15" spans="1:38" s="869" customFormat="1" ht="12" hidden="1" customHeight="1">
      <c r="B15" s="615"/>
      <c r="E15" s="623"/>
    </row>
    <row r="16" spans="1:38" s="869" customFormat="1" ht="12" hidden="1" customHeight="1">
      <c r="B16" s="615"/>
      <c r="E16" s="623"/>
    </row>
    <row r="17" spans="1:38" s="869" customFormat="1" ht="12" hidden="1" customHeight="1">
      <c r="B17" s="615"/>
      <c r="E17" s="623"/>
    </row>
    <row r="18" spans="1:38" s="869" customFormat="1" ht="12" hidden="1" customHeight="1">
      <c r="B18" s="615"/>
      <c r="E18" s="623"/>
    </row>
    <row r="19" spans="1:38" s="869" customFormat="1" ht="12" hidden="1" customHeight="1">
      <c r="B19" s="615"/>
      <c r="E19" s="623"/>
    </row>
    <row r="20" spans="1:38" s="869" customFormat="1" ht="12" hidden="1" customHeight="1">
      <c r="B20" s="615"/>
      <c r="E20" s="623"/>
    </row>
    <row r="21" spans="1:38" ht="11.1" customHeight="1">
      <c r="E21" s="623">
        <v>11.4</v>
      </c>
      <c r="AA21" s="1"/>
      <c r="AB21" s="164"/>
      <c r="AC21" s="315" t="str">
        <f>tpl_title</f>
        <v>Кемеровская область / 2026 / АО "СУЭК-Кузбасс" (ИНН:4212024138, КПП:421201001) / ДПР: 2024-2028</v>
      </c>
    </row>
    <row r="22" spans="1:38" ht="18.95" customHeight="1">
      <c r="E22" s="623">
        <v>19.5</v>
      </c>
      <c r="AB22" s="305" t="str">
        <f>"23. Корректировка НВВ по исполнению инвестиционной программы "</f>
        <v xml:space="preserve">23. Корректировка НВВ по исполнению инвестиционной программы </v>
      </c>
      <c r="AC22" s="209"/>
    </row>
    <row r="23" spans="1:38" ht="11.1" customHeight="1">
      <c r="E23" s="623">
        <v>11.4</v>
      </c>
      <c r="AB23" s="426"/>
      <c r="AC23" s="427"/>
      <c r="AD23" s="427"/>
      <c r="AE23" s="428"/>
      <c r="AF23" s="428"/>
      <c r="AG23" s="428"/>
      <c r="AH23" s="428"/>
      <c r="AI23" s="428"/>
      <c r="AJ23" s="428"/>
      <c r="AK23" s="428"/>
      <c r="AL23" s="428"/>
    </row>
    <row r="24" spans="1:38" ht="11.1" customHeight="1">
      <c r="E24" s="623">
        <v>11.4</v>
      </c>
      <c r="AB24" s="426"/>
      <c r="AC24" s="427"/>
      <c r="AD24" s="427"/>
      <c r="AE24" s="428"/>
      <c r="AF24" s="428"/>
      <c r="AG24" s="428"/>
      <c r="AH24" s="428"/>
      <c r="AI24" s="428"/>
      <c r="AJ24" s="428"/>
      <c r="AK24" s="428"/>
      <c r="AL24" s="428"/>
    </row>
    <row r="25" spans="1:38" s="542" customFormat="1" ht="16.7" customHeight="1">
      <c r="A25" s="736"/>
      <c r="B25" s="615"/>
      <c r="C25" s="736"/>
      <c r="D25" s="736"/>
      <c r="E25" s="623">
        <v>17.100000000000001</v>
      </c>
      <c r="F25" s="736"/>
      <c r="G25" s="736"/>
      <c r="H25" s="736"/>
      <c r="I25" s="736"/>
      <c r="J25" s="736"/>
      <c r="K25" s="736"/>
      <c r="L25" s="736"/>
      <c r="M25" s="736"/>
      <c r="N25" s="736"/>
      <c r="O25" s="736"/>
      <c r="P25" s="736"/>
      <c r="Q25" s="736"/>
      <c r="R25" s="736"/>
      <c r="S25" s="736"/>
      <c r="T25" s="736"/>
      <c r="U25" s="736"/>
      <c r="V25" s="736"/>
      <c r="W25" s="736"/>
      <c r="X25" s="736"/>
      <c r="Y25" s="736"/>
      <c r="Z25" s="736"/>
      <c r="AB25" s="1408" t="s">
        <v>1200</v>
      </c>
      <c r="AC25" s="1408" t="s">
        <v>330</v>
      </c>
      <c r="AD25" s="1408" t="s">
        <v>1202</v>
      </c>
      <c r="AE25" s="239">
        <f>god-4</f>
        <v>2022</v>
      </c>
      <c r="AF25" s="239">
        <f>god-3</f>
        <v>2023</v>
      </c>
      <c r="AG25" s="239">
        <f>god-2</f>
        <v>2024</v>
      </c>
      <c r="AH25" s="239" t="s">
        <v>715</v>
      </c>
      <c r="AI25" s="239">
        <f>god-4</f>
        <v>2022</v>
      </c>
      <c r="AJ25" s="239">
        <f>god-3</f>
        <v>2023</v>
      </c>
      <c r="AK25" s="239">
        <f>god-2</f>
        <v>2024</v>
      </c>
      <c r="AL25" s="239" t="s">
        <v>715</v>
      </c>
    </row>
    <row r="26" spans="1:38" ht="33" customHeight="1">
      <c r="E26" s="623">
        <v>33.9</v>
      </c>
      <c r="AB26" s="1408"/>
      <c r="AC26" s="1408"/>
      <c r="AD26" s="1408"/>
      <c r="AE26" s="435" t="s">
        <v>1355</v>
      </c>
      <c r="AF26" s="435" t="s">
        <v>1355</v>
      </c>
      <c r="AG26" s="435" t="s">
        <v>1355</v>
      </c>
      <c r="AH26" s="435" t="s">
        <v>1355</v>
      </c>
      <c r="AI26" s="435" t="s">
        <v>1356</v>
      </c>
      <c r="AJ26" s="435" t="s">
        <v>1356</v>
      </c>
      <c r="AK26" s="435" t="s">
        <v>1356</v>
      </c>
      <c r="AL26" s="435" t="s">
        <v>1356</v>
      </c>
    </row>
    <row r="27" spans="1:38" ht="13.9" customHeight="1">
      <c r="E27" s="623">
        <v>14.3</v>
      </c>
      <c r="AB27" s="474"/>
      <c r="AC27" s="474"/>
      <c r="AD27" s="474"/>
      <c r="AE27" s="474"/>
      <c r="AF27" s="474"/>
      <c r="AG27" s="474"/>
      <c r="AH27" s="474"/>
      <c r="AI27" s="474"/>
      <c r="AJ27" s="474"/>
      <c r="AK27" s="474"/>
      <c r="AL27" s="474"/>
    </row>
    <row r="28" spans="1:38" s="157" customFormat="1" ht="11.1" customHeight="1">
      <c r="A28" s="113"/>
      <c r="B28" s="614"/>
      <c r="C28" s="113"/>
      <c r="D28" s="113"/>
      <c r="E28" s="623">
        <v>11.4</v>
      </c>
      <c r="F28" s="737">
        <f>'Общие сведения'!$Z$170</f>
        <v>0</v>
      </c>
      <c r="G28" s="113"/>
      <c r="H28" s="113"/>
      <c r="I28" s="113"/>
      <c r="J28" s="113"/>
      <c r="K28" s="113"/>
      <c r="L28" s="113"/>
      <c r="M28" s="113"/>
      <c r="N28" s="113"/>
      <c r="O28" s="113"/>
      <c r="P28" s="113"/>
      <c r="Q28" s="113"/>
      <c r="R28" s="113"/>
      <c r="S28" s="113"/>
      <c r="T28" s="113"/>
      <c r="U28" s="113"/>
      <c r="V28" s="113"/>
      <c r="W28" s="113"/>
      <c r="X28" s="113"/>
      <c r="Y28" s="113"/>
      <c r="Z28" s="113"/>
      <c r="AB28" s="247" t="str">
        <f>INDEX('Общие сведения'!$AG$169:$AG$202,MATCH($F28,'Общие сведения'!$Z$169:$Z$202,0))</f>
        <v>Тариф 0 (Теплоснабжение) - Тарифы на теплоноситель</v>
      </c>
      <c r="AC28" s="248"/>
      <c r="AD28" s="248"/>
      <c r="AE28" s="248"/>
      <c r="AF28" s="248"/>
      <c r="AG28" s="248"/>
      <c r="AH28" s="248"/>
      <c r="AI28" s="248"/>
      <c r="AJ28" s="248"/>
      <c r="AK28" s="248"/>
      <c r="AL28" s="248"/>
    </row>
    <row r="29" spans="1:38" ht="33" customHeight="1">
      <c r="E29" s="623">
        <v>33.9</v>
      </c>
      <c r="F29" s="736">
        <f t="shared" ref="F29:F50" si="0">F28</f>
        <v>0</v>
      </c>
      <c r="AB29" s="527">
        <v>1</v>
      </c>
      <c r="AC29" s="528" t="s">
        <v>1357</v>
      </c>
      <c r="AD29" s="527" t="s">
        <v>648</v>
      </c>
      <c r="AE29" s="529">
        <f>SUM(AE30:AE34)</f>
        <v>0</v>
      </c>
      <c r="AF29" s="529">
        <f>SUM(AF30:AF34)</f>
        <v>0</v>
      </c>
      <c r="AG29" s="529">
        <f>SUM(AG30:AG34)</f>
        <v>0</v>
      </c>
      <c r="AH29" s="529">
        <f t="shared" ref="AH29:AH40" si="1">SUM(AE29:AG29)</f>
        <v>0</v>
      </c>
      <c r="AI29" s="529">
        <f>SUM(AI30:AI34)</f>
        <v>0</v>
      </c>
      <c r="AJ29" s="529">
        <f>SUM(AJ30:AJ34)</f>
        <v>0</v>
      </c>
      <c r="AK29" s="529">
        <f>SUM(AK30:AK34)</f>
        <v>0</v>
      </c>
      <c r="AL29" s="529">
        <f t="shared" ref="AL29:AL40" si="2">SUM(AI29:AK29)</f>
        <v>0</v>
      </c>
    </row>
    <row r="30" spans="1:38" ht="16.7" customHeight="1">
      <c r="E30" s="623">
        <v>17.100000000000001</v>
      </c>
      <c r="F30" s="736">
        <f t="shared" si="0"/>
        <v>0</v>
      </c>
      <c r="AB30" s="530" t="s">
        <v>339</v>
      </c>
      <c r="AC30" s="531" t="s">
        <v>1358</v>
      </c>
      <c r="AD30" s="530" t="s">
        <v>648</v>
      </c>
      <c r="AE30" s="532"/>
      <c r="AF30" s="532"/>
      <c r="AG30" s="532"/>
      <c r="AH30" s="533">
        <f t="shared" si="1"/>
        <v>0</v>
      </c>
      <c r="AI30" s="532">
        <f t="shared" ref="AI30:AK34" si="3">AE30</f>
        <v>0</v>
      </c>
      <c r="AJ30" s="532">
        <f t="shared" si="3"/>
        <v>0</v>
      </c>
      <c r="AK30" s="532">
        <f t="shared" si="3"/>
        <v>0</v>
      </c>
      <c r="AL30" s="533">
        <f t="shared" si="2"/>
        <v>0</v>
      </c>
    </row>
    <row r="31" spans="1:38" ht="16.7" customHeight="1">
      <c r="E31" s="623">
        <v>17.100000000000001</v>
      </c>
      <c r="F31" s="736">
        <f t="shared" si="0"/>
        <v>0</v>
      </c>
      <c r="AB31" s="530" t="s">
        <v>503</v>
      </c>
      <c r="AC31" s="531" t="s">
        <v>1359</v>
      </c>
      <c r="AD31" s="530" t="s">
        <v>648</v>
      </c>
      <c r="AE31" s="532"/>
      <c r="AF31" s="532"/>
      <c r="AG31" s="532"/>
      <c r="AH31" s="533">
        <f t="shared" si="1"/>
        <v>0</v>
      </c>
      <c r="AI31" s="532">
        <f t="shared" si="3"/>
        <v>0</v>
      </c>
      <c r="AJ31" s="532">
        <f t="shared" si="3"/>
        <v>0</v>
      </c>
      <c r="AK31" s="532">
        <f t="shared" si="3"/>
        <v>0</v>
      </c>
      <c r="AL31" s="533">
        <f t="shared" si="2"/>
        <v>0</v>
      </c>
    </row>
    <row r="32" spans="1:38" ht="16.7" customHeight="1">
      <c r="E32" s="623">
        <v>17.100000000000001</v>
      </c>
      <c r="F32" s="736">
        <f t="shared" si="0"/>
        <v>0</v>
      </c>
      <c r="AB32" s="530" t="s">
        <v>749</v>
      </c>
      <c r="AC32" s="531" t="s">
        <v>1360</v>
      </c>
      <c r="AD32" s="530" t="s">
        <v>648</v>
      </c>
      <c r="AE32" s="532"/>
      <c r="AF32" s="532"/>
      <c r="AG32" s="532"/>
      <c r="AH32" s="533">
        <f t="shared" si="1"/>
        <v>0</v>
      </c>
      <c r="AI32" s="532">
        <f t="shared" si="3"/>
        <v>0</v>
      </c>
      <c r="AJ32" s="532">
        <f t="shared" si="3"/>
        <v>0</v>
      </c>
      <c r="AK32" s="532">
        <f t="shared" si="3"/>
        <v>0</v>
      </c>
      <c r="AL32" s="533">
        <f t="shared" si="2"/>
        <v>0</v>
      </c>
    </row>
    <row r="33" spans="5:38" ht="16.7" customHeight="1">
      <c r="E33" s="623">
        <v>17.100000000000001</v>
      </c>
      <c r="F33" s="736">
        <f t="shared" si="0"/>
        <v>0</v>
      </c>
      <c r="AB33" s="530" t="s">
        <v>753</v>
      </c>
      <c r="AC33" s="531" t="s">
        <v>1361</v>
      </c>
      <c r="AD33" s="530" t="s">
        <v>648</v>
      </c>
      <c r="AE33" s="532"/>
      <c r="AF33" s="532"/>
      <c r="AG33" s="532"/>
      <c r="AH33" s="533">
        <f t="shared" si="1"/>
        <v>0</v>
      </c>
      <c r="AI33" s="532">
        <f t="shared" si="3"/>
        <v>0</v>
      </c>
      <c r="AJ33" s="532">
        <f t="shared" si="3"/>
        <v>0</v>
      </c>
      <c r="AK33" s="532">
        <f t="shared" si="3"/>
        <v>0</v>
      </c>
      <c r="AL33" s="533">
        <f t="shared" si="2"/>
        <v>0</v>
      </c>
    </row>
    <row r="34" spans="5:38" ht="16.7" customHeight="1">
      <c r="E34" s="623">
        <v>17.100000000000001</v>
      </c>
      <c r="F34" s="736">
        <f t="shared" si="0"/>
        <v>0</v>
      </c>
      <c r="AB34" s="530" t="s">
        <v>860</v>
      </c>
      <c r="AC34" s="531" t="s">
        <v>1079</v>
      </c>
      <c r="AD34" s="530" t="s">
        <v>648</v>
      </c>
      <c r="AE34" s="532"/>
      <c r="AF34" s="532"/>
      <c r="AG34" s="532"/>
      <c r="AH34" s="533">
        <f t="shared" si="1"/>
        <v>0</v>
      </c>
      <c r="AI34" s="532">
        <f t="shared" si="3"/>
        <v>0</v>
      </c>
      <c r="AJ34" s="532">
        <f t="shared" si="3"/>
        <v>0</v>
      </c>
      <c r="AK34" s="532">
        <f t="shared" si="3"/>
        <v>0</v>
      </c>
      <c r="AL34" s="533">
        <f t="shared" si="2"/>
        <v>0</v>
      </c>
    </row>
    <row r="35" spans="5:38" ht="33" customHeight="1">
      <c r="E35" s="623">
        <v>33.9</v>
      </c>
      <c r="F35" s="736">
        <f t="shared" si="0"/>
        <v>0</v>
      </c>
      <c r="AB35" s="530">
        <v>2</v>
      </c>
      <c r="AC35" s="534" t="s">
        <v>1362</v>
      </c>
      <c r="AD35" s="530" t="s">
        <v>648</v>
      </c>
      <c r="AE35" s="533">
        <f>SUM(AE36:AE40)</f>
        <v>0</v>
      </c>
      <c r="AF35" s="533">
        <f>SUM(AF36:AF40)</f>
        <v>0</v>
      </c>
      <c r="AG35" s="533">
        <f>SUM(AG36:AG40)</f>
        <v>0</v>
      </c>
      <c r="AH35" s="533">
        <f t="shared" si="1"/>
        <v>0</v>
      </c>
      <c r="AI35" s="533">
        <f>SUM(AI36:AI40)</f>
        <v>0</v>
      </c>
      <c r="AJ35" s="533">
        <f>SUM(AJ36:AJ40)</f>
        <v>0</v>
      </c>
      <c r="AK35" s="533">
        <f>SUM(AK36:AK40)</f>
        <v>0</v>
      </c>
      <c r="AL35" s="533">
        <f t="shared" si="2"/>
        <v>0</v>
      </c>
    </row>
    <row r="36" spans="5:38" ht="16.7" customHeight="1">
      <c r="E36" s="623">
        <v>17.100000000000001</v>
      </c>
      <c r="F36" s="736">
        <f t="shared" si="0"/>
        <v>0</v>
      </c>
      <c r="AB36" s="530" t="s">
        <v>346</v>
      </c>
      <c r="AC36" s="531" t="s">
        <v>1358</v>
      </c>
      <c r="AD36" s="530" t="s">
        <v>648</v>
      </c>
      <c r="AE36" s="532"/>
      <c r="AF36" s="532"/>
      <c r="AG36" s="532"/>
      <c r="AH36" s="533">
        <f t="shared" si="1"/>
        <v>0</v>
      </c>
      <c r="AI36" s="532">
        <f t="shared" ref="AI36:AK42" si="4">AE36</f>
        <v>0</v>
      </c>
      <c r="AJ36" s="532">
        <f t="shared" si="4"/>
        <v>0</v>
      </c>
      <c r="AK36" s="532">
        <f t="shared" si="4"/>
        <v>0</v>
      </c>
      <c r="AL36" s="533">
        <f t="shared" si="2"/>
        <v>0</v>
      </c>
    </row>
    <row r="37" spans="5:38" ht="16.7" customHeight="1">
      <c r="E37" s="623">
        <v>17.100000000000001</v>
      </c>
      <c r="F37" s="736">
        <f t="shared" si="0"/>
        <v>0</v>
      </c>
      <c r="AB37" s="530" t="s">
        <v>373</v>
      </c>
      <c r="AC37" s="531" t="s">
        <v>1359</v>
      </c>
      <c r="AD37" s="530" t="s">
        <v>648</v>
      </c>
      <c r="AE37" s="532"/>
      <c r="AF37" s="532"/>
      <c r="AG37" s="532"/>
      <c r="AH37" s="533">
        <f t="shared" si="1"/>
        <v>0</v>
      </c>
      <c r="AI37" s="532">
        <f t="shared" si="4"/>
        <v>0</v>
      </c>
      <c r="AJ37" s="532">
        <f t="shared" si="4"/>
        <v>0</v>
      </c>
      <c r="AK37" s="532">
        <f t="shared" si="4"/>
        <v>0</v>
      </c>
      <c r="AL37" s="533">
        <f t="shared" si="2"/>
        <v>0</v>
      </c>
    </row>
    <row r="38" spans="5:38" ht="16.7" customHeight="1">
      <c r="E38" s="623">
        <v>17.100000000000001</v>
      </c>
      <c r="F38" s="736">
        <f t="shared" si="0"/>
        <v>0</v>
      </c>
      <c r="AB38" s="530" t="s">
        <v>377</v>
      </c>
      <c r="AC38" s="531" t="s">
        <v>1360</v>
      </c>
      <c r="AD38" s="530" t="s">
        <v>648</v>
      </c>
      <c r="AE38" s="532"/>
      <c r="AF38" s="532"/>
      <c r="AG38" s="532"/>
      <c r="AH38" s="533">
        <f t="shared" si="1"/>
        <v>0</v>
      </c>
      <c r="AI38" s="532">
        <f t="shared" si="4"/>
        <v>0</v>
      </c>
      <c r="AJ38" s="532">
        <f t="shared" si="4"/>
        <v>0</v>
      </c>
      <c r="AK38" s="532">
        <f t="shared" si="4"/>
        <v>0</v>
      </c>
      <c r="AL38" s="533">
        <f t="shared" si="2"/>
        <v>0</v>
      </c>
    </row>
    <row r="39" spans="5:38" ht="16.7" customHeight="1">
      <c r="E39" s="623">
        <v>17.100000000000001</v>
      </c>
      <c r="F39" s="736">
        <f t="shared" si="0"/>
        <v>0</v>
      </c>
      <c r="AB39" s="530" t="s">
        <v>381</v>
      </c>
      <c r="AC39" s="531" t="s">
        <v>1361</v>
      </c>
      <c r="AD39" s="530" t="s">
        <v>648</v>
      </c>
      <c r="AE39" s="532"/>
      <c r="AF39" s="532"/>
      <c r="AG39" s="532"/>
      <c r="AH39" s="533">
        <f t="shared" si="1"/>
        <v>0</v>
      </c>
      <c r="AI39" s="532">
        <f t="shared" si="4"/>
        <v>0</v>
      </c>
      <c r="AJ39" s="532">
        <f t="shared" si="4"/>
        <v>0</v>
      </c>
      <c r="AK39" s="532">
        <f t="shared" si="4"/>
        <v>0</v>
      </c>
      <c r="AL39" s="533">
        <f t="shared" si="2"/>
        <v>0</v>
      </c>
    </row>
    <row r="40" spans="5:38" ht="16.7" customHeight="1">
      <c r="E40" s="623">
        <v>17.100000000000001</v>
      </c>
      <c r="F40" s="736">
        <f t="shared" si="0"/>
        <v>0</v>
      </c>
      <c r="AB40" s="530" t="s">
        <v>1363</v>
      </c>
      <c r="AC40" s="531" t="s">
        <v>1079</v>
      </c>
      <c r="AD40" s="530" t="s">
        <v>648</v>
      </c>
      <c r="AE40" s="532"/>
      <c r="AF40" s="532"/>
      <c r="AG40" s="532"/>
      <c r="AH40" s="533">
        <f t="shared" si="1"/>
        <v>0</v>
      </c>
      <c r="AI40" s="532">
        <f t="shared" si="4"/>
        <v>0</v>
      </c>
      <c r="AJ40" s="532">
        <f t="shared" si="4"/>
        <v>0</v>
      </c>
      <c r="AK40" s="532">
        <f t="shared" si="4"/>
        <v>0</v>
      </c>
      <c r="AL40" s="533">
        <f t="shared" si="2"/>
        <v>0</v>
      </c>
    </row>
    <row r="41" spans="5:38" ht="16.7" customHeight="1">
      <c r="E41" s="623">
        <v>17.100000000000001</v>
      </c>
      <c r="F41" s="736">
        <f t="shared" si="0"/>
        <v>0</v>
      </c>
      <c r="AB41" s="530" t="s">
        <v>520</v>
      </c>
      <c r="AC41" s="534" t="s">
        <v>1364</v>
      </c>
      <c r="AD41" s="530" t="s">
        <v>1365</v>
      </c>
      <c r="AE41" s="532"/>
      <c r="AF41" s="532"/>
      <c r="AG41" s="532"/>
      <c r="AH41" s="535"/>
      <c r="AI41" s="532">
        <f t="shared" si="4"/>
        <v>0</v>
      </c>
      <c r="AJ41" s="532">
        <f t="shared" si="4"/>
        <v>0</v>
      </c>
      <c r="AK41" s="532">
        <f t="shared" si="4"/>
        <v>0</v>
      </c>
      <c r="AL41" s="535"/>
    </row>
    <row r="42" spans="5:38" ht="16.7" customHeight="1">
      <c r="E42" s="623">
        <v>17.100000000000001</v>
      </c>
      <c r="F42" s="736">
        <f t="shared" si="0"/>
        <v>0</v>
      </c>
      <c r="AB42" s="530" t="s">
        <v>527</v>
      </c>
      <c r="AC42" s="534" t="s">
        <v>1366</v>
      </c>
      <c r="AD42" s="530" t="s">
        <v>1365</v>
      </c>
      <c r="AE42" s="536">
        <v>0</v>
      </c>
      <c r="AF42" s="536">
        <v>0</v>
      </c>
      <c r="AG42" s="536">
        <v>0</v>
      </c>
      <c r="AH42" s="535"/>
      <c r="AI42" s="532">
        <f t="shared" si="4"/>
        <v>0</v>
      </c>
      <c r="AJ42" s="532">
        <f t="shared" si="4"/>
        <v>0</v>
      </c>
      <c r="AK42" s="532">
        <f t="shared" si="4"/>
        <v>0</v>
      </c>
      <c r="AL42" s="535"/>
    </row>
    <row r="43" spans="5:38" ht="33" customHeight="1">
      <c r="E43" s="623">
        <v>33.9</v>
      </c>
      <c r="F43" s="736">
        <f t="shared" si="0"/>
        <v>0</v>
      </c>
      <c r="AB43" s="530" t="s">
        <v>534</v>
      </c>
      <c r="AC43" s="534" t="s">
        <v>1367</v>
      </c>
      <c r="AD43" s="530" t="s">
        <v>648</v>
      </c>
      <c r="AE43" s="533">
        <f>SUM(AE44:AE48)</f>
        <v>0</v>
      </c>
      <c r="AF43" s="533">
        <f>SUM(AF44:AF48)</f>
        <v>0</v>
      </c>
      <c r="AG43" s="533">
        <f>SUM(AG44:AG48)</f>
        <v>0</v>
      </c>
      <c r="AH43" s="533">
        <f t="shared" ref="AH43:AH50" si="5">SUM(AE43:AG43)</f>
        <v>0</v>
      </c>
      <c r="AI43" s="533">
        <f>SUM(AI44:AI48)</f>
        <v>0</v>
      </c>
      <c r="AJ43" s="533">
        <f>SUM(AJ44:AJ48)</f>
        <v>0</v>
      </c>
      <c r="AK43" s="533">
        <f>SUM(AK44:AK48)</f>
        <v>0</v>
      </c>
      <c r="AL43" s="533">
        <f t="shared" ref="AL43:AL50" si="6">SUM(AI43:AK43)</f>
        <v>0</v>
      </c>
    </row>
    <row r="44" spans="5:38" ht="16.7" customHeight="1">
      <c r="E44" s="623">
        <v>17.100000000000001</v>
      </c>
      <c r="F44" s="736">
        <f t="shared" si="0"/>
        <v>0</v>
      </c>
      <c r="AB44" s="530" t="s">
        <v>537</v>
      </c>
      <c r="AC44" s="531" t="s">
        <v>1358</v>
      </c>
      <c r="AD44" s="530" t="s">
        <v>648</v>
      </c>
      <c r="AE44" s="532"/>
      <c r="AF44" s="532"/>
      <c r="AG44" s="532"/>
      <c r="AH44" s="533">
        <f t="shared" si="5"/>
        <v>0</v>
      </c>
      <c r="AI44" s="532">
        <f t="shared" ref="AI44:AK48" si="7">AE44</f>
        <v>0</v>
      </c>
      <c r="AJ44" s="532">
        <f t="shared" si="7"/>
        <v>0</v>
      </c>
      <c r="AK44" s="532">
        <f t="shared" si="7"/>
        <v>0</v>
      </c>
      <c r="AL44" s="533">
        <f t="shared" si="6"/>
        <v>0</v>
      </c>
    </row>
    <row r="45" spans="5:38" ht="16.7" customHeight="1">
      <c r="E45" s="623">
        <v>17.100000000000001</v>
      </c>
      <c r="F45" s="736">
        <f t="shared" si="0"/>
        <v>0</v>
      </c>
      <c r="AB45" s="530" t="s">
        <v>539</v>
      </c>
      <c r="AC45" s="531" t="s">
        <v>1359</v>
      </c>
      <c r="AD45" s="530" t="s">
        <v>648</v>
      </c>
      <c r="AE45" s="532"/>
      <c r="AF45" s="532"/>
      <c r="AG45" s="532"/>
      <c r="AH45" s="533">
        <f t="shared" si="5"/>
        <v>0</v>
      </c>
      <c r="AI45" s="532">
        <f t="shared" si="7"/>
        <v>0</v>
      </c>
      <c r="AJ45" s="532">
        <f t="shared" si="7"/>
        <v>0</v>
      </c>
      <c r="AK45" s="532">
        <f t="shared" si="7"/>
        <v>0</v>
      </c>
      <c r="AL45" s="533">
        <f t="shared" si="6"/>
        <v>0</v>
      </c>
    </row>
    <row r="46" spans="5:38" ht="16.7" customHeight="1">
      <c r="E46" s="623">
        <v>17.100000000000001</v>
      </c>
      <c r="F46" s="736">
        <f t="shared" si="0"/>
        <v>0</v>
      </c>
      <c r="AB46" s="530" t="s">
        <v>1110</v>
      </c>
      <c r="AC46" s="531" t="s">
        <v>1360</v>
      </c>
      <c r="AD46" s="530" t="s">
        <v>648</v>
      </c>
      <c r="AE46" s="532"/>
      <c r="AF46" s="532"/>
      <c r="AG46" s="532"/>
      <c r="AH46" s="533">
        <f t="shared" si="5"/>
        <v>0</v>
      </c>
      <c r="AI46" s="532">
        <f t="shared" si="7"/>
        <v>0</v>
      </c>
      <c r="AJ46" s="532">
        <f t="shared" si="7"/>
        <v>0</v>
      </c>
      <c r="AK46" s="532">
        <f t="shared" si="7"/>
        <v>0</v>
      </c>
      <c r="AL46" s="533">
        <f t="shared" si="6"/>
        <v>0</v>
      </c>
    </row>
    <row r="47" spans="5:38" ht="16.7" customHeight="1">
      <c r="E47" s="623">
        <v>17.100000000000001</v>
      </c>
      <c r="F47" s="736">
        <f t="shared" si="0"/>
        <v>0</v>
      </c>
      <c r="AB47" s="530" t="s">
        <v>1113</v>
      </c>
      <c r="AC47" s="531" t="s">
        <v>1361</v>
      </c>
      <c r="AD47" s="530" t="s">
        <v>648</v>
      </c>
      <c r="AE47" s="532"/>
      <c r="AF47" s="532"/>
      <c r="AG47" s="532"/>
      <c r="AH47" s="533">
        <f t="shared" si="5"/>
        <v>0</v>
      </c>
      <c r="AI47" s="532">
        <f t="shared" si="7"/>
        <v>0</v>
      </c>
      <c r="AJ47" s="532">
        <f t="shared" si="7"/>
        <v>0</v>
      </c>
      <c r="AK47" s="532">
        <f t="shared" si="7"/>
        <v>0</v>
      </c>
      <c r="AL47" s="533">
        <f t="shared" si="6"/>
        <v>0</v>
      </c>
    </row>
    <row r="48" spans="5:38" ht="16.7" customHeight="1">
      <c r="E48" s="623">
        <v>17.100000000000001</v>
      </c>
      <c r="F48" s="736">
        <f t="shared" si="0"/>
        <v>0</v>
      </c>
      <c r="AB48" s="537" t="s">
        <v>1116</v>
      </c>
      <c r="AC48" s="539" t="s">
        <v>1079</v>
      </c>
      <c r="AD48" s="537" t="s">
        <v>648</v>
      </c>
      <c r="AE48" s="540"/>
      <c r="AF48" s="540"/>
      <c r="AG48" s="540"/>
      <c r="AH48" s="538">
        <f t="shared" si="5"/>
        <v>0</v>
      </c>
      <c r="AI48" s="540">
        <f t="shared" si="7"/>
        <v>0</v>
      </c>
      <c r="AJ48" s="540">
        <f t="shared" si="7"/>
        <v>0</v>
      </c>
      <c r="AK48" s="540">
        <f t="shared" si="7"/>
        <v>0</v>
      </c>
      <c r="AL48" s="538">
        <f t="shared" si="6"/>
        <v>0</v>
      </c>
    </row>
    <row r="49" spans="1:38" ht="16.7" customHeight="1">
      <c r="E49" s="623">
        <v>17.100000000000001</v>
      </c>
      <c r="F49" s="736">
        <f t="shared" si="0"/>
        <v>0</v>
      </c>
      <c r="AB49" s="244">
        <v>6</v>
      </c>
      <c r="AC49" s="320" t="s">
        <v>1368</v>
      </c>
      <c r="AD49" s="244" t="s">
        <v>648</v>
      </c>
      <c r="AE49" s="541">
        <f>IF(AE41=0,0,AE42/AE41*AE35)</f>
        <v>0</v>
      </c>
      <c r="AF49" s="541">
        <f>IF(AF41=0,0,AF42/AF41*AF35)</f>
        <v>0</v>
      </c>
      <c r="AG49" s="541">
        <f>IF(AG41=0,0,AG42/AG41*AG35)</f>
        <v>0</v>
      </c>
      <c r="AH49" s="541">
        <f t="shared" si="5"/>
        <v>0</v>
      </c>
      <c r="AI49" s="541">
        <f>IF(AI41=0,0,AI42/AI41*AI35)</f>
        <v>0</v>
      </c>
      <c r="AJ49" s="541">
        <f>IF(AJ41=0,0,AJ42/AJ41*AJ35)</f>
        <v>0</v>
      </c>
      <c r="AK49" s="541">
        <f>IF(AK41=0,0,AK42/AK41*AK35)</f>
        <v>0</v>
      </c>
      <c r="AL49" s="541">
        <f t="shared" si="6"/>
        <v>0</v>
      </c>
    </row>
    <row r="50" spans="1:38" ht="16.7" customHeight="1">
      <c r="E50" s="623">
        <v>17.100000000000001</v>
      </c>
      <c r="F50" s="736">
        <f t="shared" si="0"/>
        <v>0</v>
      </c>
      <c r="AB50" s="244">
        <v>7</v>
      </c>
      <c r="AC50" s="320" t="s">
        <v>1369</v>
      </c>
      <c r="AD50" s="244" t="s">
        <v>648</v>
      </c>
      <c r="AE50" s="541">
        <f>IF(AE49=0,0,AE29*(AE43/AE49-1))</f>
        <v>0</v>
      </c>
      <c r="AF50" s="541">
        <f>IF(AF49=0,0,AF29*(AF43/AF49-1))</f>
        <v>0</v>
      </c>
      <c r="AG50" s="541">
        <f>IF(AG49=0,0,AG29*(AG43/AG49-1))</f>
        <v>0</v>
      </c>
      <c r="AH50" s="541">
        <f t="shared" si="5"/>
        <v>0</v>
      </c>
      <c r="AI50" s="541">
        <f>IF(AI49=0,0,AI29*(AI43/AI49-1))</f>
        <v>0</v>
      </c>
      <c r="AJ50" s="541">
        <f>IF(AJ49=0,0,AJ29*(AJ43/AJ49-1))</f>
        <v>0</v>
      </c>
      <c r="AK50" s="541">
        <f>IF(AK49=0,0,AK29*(AK43/AK49-1))</f>
        <v>0</v>
      </c>
      <c r="AL50" s="541">
        <f t="shared" si="6"/>
        <v>0</v>
      </c>
    </row>
    <row r="51" spans="1:38" s="424" customFormat="1" ht="11.1" customHeight="1">
      <c r="A51" s="738"/>
      <c r="B51" s="620"/>
      <c r="C51" s="738"/>
      <c r="D51" s="738"/>
      <c r="E51" s="624">
        <v>11.4</v>
      </c>
      <c r="F51" s="738"/>
      <c r="G51" s="738"/>
      <c r="H51" s="738"/>
      <c r="I51" s="738"/>
      <c r="J51" s="738"/>
      <c r="K51" s="738"/>
      <c r="L51" s="738"/>
      <c r="M51" s="738"/>
      <c r="N51" s="738"/>
      <c r="O51" s="738"/>
      <c r="P51" s="738"/>
      <c r="Q51" s="738"/>
      <c r="R51" s="738"/>
      <c r="S51" s="738"/>
      <c r="T51" s="738"/>
      <c r="U51" s="738"/>
      <c r="V51" s="738"/>
      <c r="W51" s="738"/>
      <c r="X51" s="738"/>
      <c r="Y51" s="738"/>
      <c r="Z51" s="738"/>
      <c r="AB51" s="425"/>
      <c r="AC51" s="425"/>
      <c r="AD51" s="425"/>
      <c r="AE51" s="425"/>
      <c r="AF51" s="425"/>
      <c r="AG51" s="425"/>
      <c r="AH51" s="425"/>
      <c r="AI51" s="425"/>
      <c r="AJ51" s="425"/>
      <c r="AK51" s="425"/>
      <c r="AL51" s="425"/>
    </row>
  </sheetData>
  <sheetProtection formatColumns="0" formatRows="0" insertRows="0" deleteColumns="0" deleteRows="0" sort="0" autoFilter="0"/>
  <mergeCells count="3">
    <mergeCell ref="AB25:AB26"/>
    <mergeCell ref="AC25:AC26"/>
    <mergeCell ref="AD25:AD26"/>
  </mergeCells>
  <pageMargins left="0.7" right="0.7" top="0.75" bottom="0.75" header="0.3" footer="0.3"/>
  <pageSetup orientation="portrait"/>
  <headerFooter>
    <oddHeader>&amp;L&amp;C&amp;R</oddHeader>
    <oddFooter>&amp;L&amp;C&amp;R</oddFooter>
    <evenHeader>&amp;L&amp;C&amp;R</evenHeader>
    <evenFooter>&amp;L&amp;C&amp;R</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pageSetUpPr fitToPage="1"/>
  </sheetPr>
  <dimension ref="A1:BW120"/>
  <sheetViews>
    <sheetView showGridLines="0" tabSelected="1" workbookViewId="0">
      <pane xSplit="30" ySplit="25" topLeftCell="AE101" activePane="bottomRight" state="frozen"/>
      <selection pane="topRight" activeCell="AE1" sqref="AE1"/>
      <selection pane="bottomLeft" activeCell="A26" sqref="A26"/>
      <selection pane="bottomRight" activeCell="AT95" sqref="AT95"/>
    </sheetView>
  </sheetViews>
  <sheetFormatPr defaultColWidth="9.140625" defaultRowHeight="11.25" customHeight="1"/>
  <cols>
    <col min="1" max="1" width="3.5703125" style="165" hidden="1" customWidth="1"/>
    <col min="2" max="2" width="8.5703125" style="718" hidden="1" customWidth="1"/>
    <col min="3" max="4" width="3.5703125" style="165" hidden="1" customWidth="1"/>
    <col min="5" max="5" width="8.42578125" style="717" hidden="1" customWidth="1"/>
    <col min="6" max="6" width="3.5703125" style="165" hidden="1" customWidth="1"/>
    <col min="7" max="16" width="3.5703125" style="167" hidden="1" customWidth="1"/>
    <col min="17" max="17" width="3.5703125" style="130" hidden="1" customWidth="1"/>
    <col min="18" max="18" width="22.85546875" style="130" hidden="1" customWidth="1"/>
    <col min="19" max="19" width="3.5703125" style="167" hidden="1" customWidth="1"/>
    <col min="20" max="20" width="8.28515625" style="1012" hidden="1" customWidth="1"/>
    <col min="21" max="21" width="6" style="1012" hidden="1" customWidth="1"/>
    <col min="22" max="23" width="6.28515625" style="1012" hidden="1" customWidth="1"/>
    <col min="24" max="25" width="5.7109375" style="1012" hidden="1" customWidth="1"/>
    <col min="26" max="26" width="5.42578125" style="1012" hidden="1" customWidth="1"/>
    <col min="27" max="27" width="3" style="167" customWidth="1"/>
    <col min="28" max="28" width="8.140625" style="165" customWidth="1"/>
    <col min="29" max="29" width="70.140625" style="166" customWidth="1"/>
    <col min="30" max="30" width="14.42578125" style="165" customWidth="1"/>
    <col min="31" max="33" width="12.5703125" style="167" customWidth="1"/>
    <col min="34" max="34" width="19.140625" style="167" customWidth="1"/>
    <col min="35" max="36" width="12.5703125" style="167" customWidth="1"/>
    <col min="37" max="45" width="12.5703125" style="167" hidden="1" customWidth="1"/>
    <col min="46" max="46" width="12.5703125" style="167" customWidth="1"/>
    <col min="47" max="55" width="12.5703125" style="167" hidden="1" customWidth="1"/>
    <col min="56" max="56" width="12.5703125" style="167" customWidth="1"/>
    <col min="57" max="65" width="12.5703125" style="167" hidden="1" customWidth="1"/>
    <col min="66" max="66" width="19" style="167" customWidth="1"/>
    <col min="67" max="67" width="17.28515625" style="167" customWidth="1"/>
    <col min="68" max="68" width="31.28515625" style="167" customWidth="1"/>
    <col min="69" max="69" width="3" style="167" customWidth="1"/>
    <col min="70" max="70" width="9.140625" style="167" hidden="1"/>
    <col min="71" max="73" width="9.140625" style="944" hidden="1"/>
    <col min="74" max="75" width="9.140625" style="945" hidden="1"/>
  </cols>
  <sheetData>
    <row r="1" spans="1:75" s="1012" customFormat="1" ht="12" hidden="1" customHeight="1">
      <c r="B1" s="614"/>
      <c r="E1" s="614"/>
      <c r="F1" s="634" t="s">
        <v>77</v>
      </c>
      <c r="G1" s="150"/>
      <c r="H1" s="150"/>
      <c r="I1" s="150"/>
      <c r="J1" s="150"/>
      <c r="K1" s="150"/>
      <c r="L1" s="150"/>
      <c r="M1" s="150"/>
      <c r="N1" s="150"/>
      <c r="O1" s="150"/>
      <c r="P1" s="150"/>
      <c r="Q1" s="566"/>
      <c r="R1" s="566"/>
      <c r="S1" s="150"/>
      <c r="T1" s="634" t="s">
        <v>78</v>
      </c>
      <c r="U1" s="634" t="s">
        <v>83</v>
      </c>
      <c r="V1" s="634" t="s">
        <v>79</v>
      </c>
      <c r="W1" s="634" t="s">
        <v>80</v>
      </c>
      <c r="X1" s="634" t="s">
        <v>81</v>
      </c>
      <c r="Y1" s="735" t="s">
        <v>274</v>
      </c>
      <c r="Z1" s="634" t="s">
        <v>85</v>
      </c>
      <c r="AA1" s="735" t="s">
        <v>82</v>
      </c>
      <c r="AB1" s="735" t="s">
        <v>84</v>
      </c>
      <c r="AC1" s="735" t="s">
        <v>84</v>
      </c>
      <c r="BS1" s="912" t="s">
        <v>275</v>
      </c>
      <c r="BT1" s="912" t="s">
        <v>276</v>
      </c>
      <c r="BU1" s="912" t="s">
        <v>277</v>
      </c>
      <c r="BV1" s="915" t="s">
        <v>280</v>
      </c>
      <c r="BW1" s="915" t="s">
        <v>281</v>
      </c>
    </row>
    <row r="2" spans="1:75" s="718" customFormat="1" ht="12" hidden="1" customHeight="1">
      <c r="B2" s="703" t="s">
        <v>15</v>
      </c>
      <c r="G2" s="721"/>
      <c r="H2" s="721"/>
      <c r="I2" s="721"/>
      <c r="J2" s="721"/>
      <c r="K2" s="721"/>
      <c r="L2" s="721"/>
      <c r="M2" s="721"/>
      <c r="N2" s="721"/>
      <c r="O2" s="721"/>
      <c r="P2" s="721"/>
      <c r="Q2" s="721"/>
      <c r="R2" s="721"/>
      <c r="S2" s="721"/>
      <c r="AC2" s="618"/>
      <c r="AJ2" s="635" t="b">
        <f t="shared" ref="AJ2:BM2" si="0">AJ6&lt;=last_year_vis</f>
        <v>1</v>
      </c>
      <c r="AK2" s="635" t="b">
        <f t="shared" si="0"/>
        <v>0</v>
      </c>
      <c r="AL2" s="635" t="b">
        <f t="shared" si="0"/>
        <v>0</v>
      </c>
      <c r="AM2" s="635" t="b">
        <f t="shared" si="0"/>
        <v>0</v>
      </c>
      <c r="AN2" s="635" t="b">
        <f t="shared" si="0"/>
        <v>0</v>
      </c>
      <c r="AO2" s="635" t="b">
        <f t="shared" si="0"/>
        <v>0</v>
      </c>
      <c r="AP2" s="635" t="b">
        <f t="shared" si="0"/>
        <v>0</v>
      </c>
      <c r="AQ2" s="635" t="b">
        <f t="shared" si="0"/>
        <v>0</v>
      </c>
      <c r="AR2" s="635" t="b">
        <f t="shared" si="0"/>
        <v>0</v>
      </c>
      <c r="AS2" s="635" t="b">
        <f t="shared" si="0"/>
        <v>0</v>
      </c>
      <c r="AT2" s="635" t="b">
        <f t="shared" si="0"/>
        <v>1</v>
      </c>
      <c r="AU2" s="635" t="b">
        <f t="shared" si="0"/>
        <v>0</v>
      </c>
      <c r="AV2" s="635" t="b">
        <f t="shared" si="0"/>
        <v>0</v>
      </c>
      <c r="AW2" s="635" t="b">
        <f t="shared" si="0"/>
        <v>0</v>
      </c>
      <c r="AX2" s="635" t="b">
        <f t="shared" si="0"/>
        <v>0</v>
      </c>
      <c r="AY2" s="635" t="b">
        <f t="shared" si="0"/>
        <v>0</v>
      </c>
      <c r="AZ2" s="635" t="b">
        <f t="shared" si="0"/>
        <v>0</v>
      </c>
      <c r="BA2" s="635" t="b">
        <f t="shared" si="0"/>
        <v>0</v>
      </c>
      <c r="BB2" s="635" t="b">
        <f t="shared" si="0"/>
        <v>0</v>
      </c>
      <c r="BC2" s="635" t="b">
        <f t="shared" si="0"/>
        <v>0</v>
      </c>
      <c r="BD2" s="635" t="b">
        <f t="shared" si="0"/>
        <v>1</v>
      </c>
      <c r="BE2" s="635" t="b">
        <f t="shared" si="0"/>
        <v>0</v>
      </c>
      <c r="BF2" s="635" t="b">
        <f t="shared" si="0"/>
        <v>0</v>
      </c>
      <c r="BG2" s="635" t="b">
        <f t="shared" si="0"/>
        <v>0</v>
      </c>
      <c r="BH2" s="635" t="b">
        <f t="shared" si="0"/>
        <v>0</v>
      </c>
      <c r="BI2" s="635" t="b">
        <f t="shared" si="0"/>
        <v>0</v>
      </c>
      <c r="BJ2" s="635" t="b">
        <f t="shared" si="0"/>
        <v>0</v>
      </c>
      <c r="BK2" s="635" t="b">
        <f t="shared" si="0"/>
        <v>0</v>
      </c>
      <c r="BL2" s="635" t="b">
        <f t="shared" si="0"/>
        <v>0</v>
      </c>
      <c r="BM2" s="635" t="b">
        <f t="shared" si="0"/>
        <v>0</v>
      </c>
      <c r="BS2" s="905"/>
      <c r="BT2" s="905"/>
      <c r="BU2" s="905"/>
      <c r="BV2" s="916"/>
      <c r="BW2" s="916"/>
    </row>
    <row r="3" spans="1:75" s="165" customFormat="1" ht="12" hidden="1" customHeight="1">
      <c r="B3" s="614"/>
      <c r="E3" s="614"/>
      <c r="G3" s="167"/>
      <c r="H3" s="167"/>
      <c r="I3" s="167"/>
      <c r="J3" s="167"/>
      <c r="K3" s="167"/>
      <c r="L3" s="167"/>
      <c r="M3" s="167"/>
      <c r="N3" s="167"/>
      <c r="O3" s="167"/>
      <c r="P3" s="167"/>
      <c r="Q3" s="130"/>
      <c r="R3" s="130"/>
      <c r="S3" s="167"/>
      <c r="T3" s="113"/>
      <c r="U3" s="113"/>
      <c r="V3" s="113"/>
      <c r="W3" s="113"/>
      <c r="X3" s="113"/>
      <c r="Y3" s="113"/>
      <c r="Z3" s="113"/>
      <c r="AC3" s="169"/>
      <c r="BS3" s="944"/>
      <c r="BT3" s="944"/>
      <c r="BU3" s="944"/>
      <c r="BV3" s="945"/>
      <c r="BW3" s="945"/>
    </row>
    <row r="4" spans="1:75" s="165" customFormat="1" ht="12" hidden="1" customHeight="1">
      <c r="B4" s="614"/>
      <c r="E4" s="614"/>
      <c r="G4" s="167"/>
      <c r="H4" s="167"/>
      <c r="I4" s="167"/>
      <c r="J4" s="167"/>
      <c r="K4" s="167"/>
      <c r="L4" s="167"/>
      <c r="M4" s="167"/>
      <c r="N4" s="167"/>
      <c r="O4" s="167"/>
      <c r="P4" s="167"/>
      <c r="Q4" s="130"/>
      <c r="R4" s="130"/>
      <c r="S4" s="167"/>
      <c r="T4" s="113"/>
      <c r="U4" s="113"/>
      <c r="V4" s="113"/>
      <c r="W4" s="113"/>
      <c r="X4" s="113"/>
      <c r="Y4" s="113"/>
      <c r="Z4" s="113"/>
      <c r="AC4" s="169"/>
      <c r="BS4" s="944"/>
      <c r="BT4" s="944"/>
      <c r="BU4" s="944"/>
      <c r="BV4" s="945"/>
      <c r="BW4" s="945"/>
    </row>
    <row r="5" spans="1:75" s="717" customFormat="1" ht="12" hidden="1" customHeight="1">
      <c r="A5" s="614"/>
      <c r="B5" s="614"/>
      <c r="C5" s="614"/>
      <c r="D5" s="614"/>
      <c r="E5" s="623" t="s">
        <v>16</v>
      </c>
      <c r="G5" s="722"/>
      <c r="H5" s="722"/>
      <c r="I5" s="722"/>
      <c r="J5" s="722"/>
      <c r="K5" s="722"/>
      <c r="L5" s="722"/>
      <c r="M5" s="722"/>
      <c r="N5" s="722"/>
      <c r="O5" s="722"/>
      <c r="P5" s="722"/>
      <c r="Q5" s="722"/>
      <c r="R5" s="722"/>
      <c r="S5" s="722"/>
      <c r="AA5" s="623">
        <v>3</v>
      </c>
      <c r="AB5" s="623">
        <v>8.1300000000000008</v>
      </c>
      <c r="AC5" s="629">
        <v>70.13</v>
      </c>
      <c r="AD5" s="623">
        <v>14.38</v>
      </c>
      <c r="AE5" s="623">
        <v>12.63</v>
      </c>
      <c r="AF5" s="623">
        <v>12.63</v>
      </c>
      <c r="AG5" s="623">
        <v>12.63</v>
      </c>
      <c r="AH5" s="623">
        <v>19.13</v>
      </c>
      <c r="AI5" s="623">
        <v>12.63</v>
      </c>
      <c r="AJ5" s="623">
        <v>12.63</v>
      </c>
      <c r="AK5" s="623">
        <v>12.63</v>
      </c>
      <c r="AL5" s="623">
        <v>12.63</v>
      </c>
      <c r="AM5" s="623">
        <v>12.63</v>
      </c>
      <c r="AN5" s="623">
        <v>12.63</v>
      </c>
      <c r="AO5" s="623">
        <v>12.63</v>
      </c>
      <c r="AP5" s="623">
        <v>12.63</v>
      </c>
      <c r="AQ5" s="623">
        <v>12.63</v>
      </c>
      <c r="AR5" s="623">
        <v>12.63</v>
      </c>
      <c r="AS5" s="623">
        <v>12.63</v>
      </c>
      <c r="AT5" s="623">
        <v>12.63</v>
      </c>
      <c r="AU5" s="623">
        <v>12.63</v>
      </c>
      <c r="AV5" s="623">
        <v>12.63</v>
      </c>
      <c r="AW5" s="623">
        <v>12.63</v>
      </c>
      <c r="AX5" s="623">
        <v>12.63</v>
      </c>
      <c r="AY5" s="623">
        <v>12.63</v>
      </c>
      <c r="AZ5" s="623">
        <v>12.63</v>
      </c>
      <c r="BA5" s="623">
        <v>12.63</v>
      </c>
      <c r="BB5" s="623">
        <v>12.63</v>
      </c>
      <c r="BC5" s="623">
        <v>12.63</v>
      </c>
      <c r="BD5" s="623">
        <v>12.63</v>
      </c>
      <c r="BE5" s="623">
        <v>12.63</v>
      </c>
      <c r="BF5" s="623">
        <v>12.63</v>
      </c>
      <c r="BG5" s="623">
        <v>12.63</v>
      </c>
      <c r="BH5" s="623">
        <v>12.63</v>
      </c>
      <c r="BI5" s="623">
        <v>12.63</v>
      </c>
      <c r="BJ5" s="623">
        <v>12.63</v>
      </c>
      <c r="BK5" s="623">
        <v>12.63</v>
      </c>
      <c r="BL5" s="623">
        <v>12.63</v>
      </c>
      <c r="BM5" s="623">
        <v>12.63</v>
      </c>
      <c r="BN5" s="623">
        <v>19</v>
      </c>
      <c r="BO5" s="623">
        <v>17.25</v>
      </c>
      <c r="BP5" s="623">
        <v>31.25</v>
      </c>
      <c r="BQ5" s="623">
        <v>3</v>
      </c>
      <c r="BS5" s="905"/>
      <c r="BT5" s="905"/>
      <c r="BU5" s="905"/>
      <c r="BV5" s="916"/>
      <c r="BW5" s="916"/>
    </row>
    <row r="6" spans="1:75" s="165" customFormat="1" ht="12" hidden="1" customHeight="1">
      <c r="B6" s="614"/>
      <c r="E6" s="623"/>
      <c r="G6" s="167"/>
      <c r="H6" s="167"/>
      <c r="I6" s="167"/>
      <c r="J6" s="167"/>
      <c r="K6" s="167"/>
      <c r="L6" s="167"/>
      <c r="M6" s="167"/>
      <c r="N6" s="167"/>
      <c r="O6" s="167"/>
      <c r="P6" s="167"/>
      <c r="Q6" s="130"/>
      <c r="R6" s="130"/>
      <c r="S6" s="167"/>
      <c r="T6" s="113"/>
      <c r="U6" s="113"/>
      <c r="V6" s="113"/>
      <c r="W6" s="113"/>
      <c r="X6" s="113"/>
      <c r="Y6" s="113"/>
      <c r="Z6" s="113"/>
      <c r="AC6" s="169"/>
      <c r="AE6" s="165">
        <f>god-2</f>
        <v>2024</v>
      </c>
      <c r="AF6" s="165">
        <f>god-2</f>
        <v>2024</v>
      </c>
      <c r="AG6" s="165">
        <f>god-2</f>
        <v>2024</v>
      </c>
      <c r="AH6" s="165">
        <f>god-2</f>
        <v>2024</v>
      </c>
      <c r="AI6" s="113">
        <f>god-1</f>
        <v>2025</v>
      </c>
      <c r="AJ6" s="113">
        <f>god</f>
        <v>2026</v>
      </c>
      <c r="AK6" s="113">
        <f>god+1</f>
        <v>2027</v>
      </c>
      <c r="AL6" s="113">
        <f>god+2</f>
        <v>2028</v>
      </c>
      <c r="AM6" s="113">
        <f>god+3</f>
        <v>2029</v>
      </c>
      <c r="AN6" s="113">
        <f>god+4</f>
        <v>2030</v>
      </c>
      <c r="AO6" s="113">
        <f>god+5</f>
        <v>2031</v>
      </c>
      <c r="AP6" s="113">
        <f>god+6</f>
        <v>2032</v>
      </c>
      <c r="AQ6" s="113">
        <f>god+7</f>
        <v>2033</v>
      </c>
      <c r="AR6" s="113">
        <f>god+8</f>
        <v>2034</v>
      </c>
      <c r="AS6" s="113">
        <f>god+9</f>
        <v>2035</v>
      </c>
      <c r="AT6" s="113">
        <f>god</f>
        <v>2026</v>
      </c>
      <c r="AU6" s="113">
        <f>god+1</f>
        <v>2027</v>
      </c>
      <c r="AV6" s="113">
        <f>god+2</f>
        <v>2028</v>
      </c>
      <c r="AW6" s="113">
        <f>god+3</f>
        <v>2029</v>
      </c>
      <c r="AX6" s="113">
        <f>god+4</f>
        <v>2030</v>
      </c>
      <c r="AY6" s="113">
        <f>god+5</f>
        <v>2031</v>
      </c>
      <c r="AZ6" s="113">
        <f>god+6</f>
        <v>2032</v>
      </c>
      <c r="BA6" s="113">
        <f>god+7</f>
        <v>2033</v>
      </c>
      <c r="BB6" s="113">
        <f>god+8</f>
        <v>2034</v>
      </c>
      <c r="BC6" s="113">
        <f>god+9</f>
        <v>2035</v>
      </c>
      <c r="BD6" s="113">
        <f>god</f>
        <v>2026</v>
      </c>
      <c r="BE6" s="113">
        <f>god+1</f>
        <v>2027</v>
      </c>
      <c r="BF6" s="113">
        <f>god+2</f>
        <v>2028</v>
      </c>
      <c r="BG6" s="113">
        <f>god+3</f>
        <v>2029</v>
      </c>
      <c r="BH6" s="113">
        <f>god+4</f>
        <v>2030</v>
      </c>
      <c r="BI6" s="113">
        <f>god+5</f>
        <v>2031</v>
      </c>
      <c r="BJ6" s="113">
        <f>god+6</f>
        <v>2032</v>
      </c>
      <c r="BK6" s="113">
        <f>god+7</f>
        <v>2033</v>
      </c>
      <c r="BL6" s="113">
        <f>god+8</f>
        <v>2034</v>
      </c>
      <c r="BM6" s="113">
        <f>god+9</f>
        <v>2035</v>
      </c>
      <c r="BS6" s="944"/>
      <c r="BT6" s="944"/>
      <c r="BU6" s="944"/>
      <c r="BV6" s="945"/>
      <c r="BW6" s="945"/>
    </row>
    <row r="7" spans="1:75" ht="12" hidden="1" customHeight="1">
      <c r="F7" s="167"/>
      <c r="T7" s="150"/>
      <c r="U7" s="150"/>
      <c r="V7" s="150"/>
      <c r="W7" s="150"/>
      <c r="X7" s="150"/>
      <c r="Y7" s="150"/>
      <c r="Z7" s="150"/>
      <c r="AB7" s="167"/>
      <c r="AD7" s="167"/>
      <c r="AE7" s="150" t="str">
        <f>AE25</f>
        <v>Принято органом регулирования</v>
      </c>
      <c r="AF7" s="150" t="str">
        <f>AF25</f>
        <v>Факт по данным организации</v>
      </c>
      <c r="AG7" s="150" t="str">
        <f>AG25</f>
        <v>Факт, принятый органом регулирования</v>
      </c>
      <c r="AH7" s="150" t="str">
        <f>AH25</f>
        <v>отклонение факта по данным организации к факту принятому органом регулирования</v>
      </c>
      <c r="AI7" s="150" t="str">
        <f>AI25</f>
        <v>Принято органом регулирования</v>
      </c>
      <c r="AJ7" s="150" t="str">
        <f t="shared" ref="AJ7:AS7" si="1">$AJ$25</f>
        <v>Предложение организации</v>
      </c>
      <c r="AK7" s="150" t="str">
        <f t="shared" si="1"/>
        <v>Предложение организации</v>
      </c>
      <c r="AL7" s="150" t="str">
        <f t="shared" si="1"/>
        <v>Предложение организации</v>
      </c>
      <c r="AM7" s="150" t="str">
        <f t="shared" si="1"/>
        <v>Предложение организации</v>
      </c>
      <c r="AN7" s="150" t="str">
        <f t="shared" si="1"/>
        <v>Предложение организации</v>
      </c>
      <c r="AO7" s="150" t="str">
        <f t="shared" si="1"/>
        <v>Предложение организации</v>
      </c>
      <c r="AP7" s="150" t="str">
        <f t="shared" si="1"/>
        <v>Предложение организации</v>
      </c>
      <c r="AQ7" s="150" t="str">
        <f t="shared" si="1"/>
        <v>Предложение организации</v>
      </c>
      <c r="AR7" s="150" t="str">
        <f t="shared" si="1"/>
        <v>Предложение организации</v>
      </c>
      <c r="AS7" s="150" t="str">
        <f t="shared" si="1"/>
        <v>Предложение организации</v>
      </c>
      <c r="AT7" s="150" t="str">
        <f t="shared" ref="AT7:BC7" si="2">$AT$25</f>
        <v>Принято органом регулирования</v>
      </c>
      <c r="AU7" s="150" t="str">
        <f t="shared" si="2"/>
        <v>Принято органом регулирования</v>
      </c>
      <c r="AV7" s="150" t="str">
        <f t="shared" si="2"/>
        <v>Принято органом регулирования</v>
      </c>
      <c r="AW7" s="150" t="str">
        <f t="shared" si="2"/>
        <v>Принято органом регулирования</v>
      </c>
      <c r="AX7" s="150" t="str">
        <f t="shared" si="2"/>
        <v>Принято органом регулирования</v>
      </c>
      <c r="AY7" s="150" t="str">
        <f t="shared" si="2"/>
        <v>Принято органом регулирования</v>
      </c>
      <c r="AZ7" s="150" t="str">
        <f t="shared" si="2"/>
        <v>Принято органом регулирования</v>
      </c>
      <c r="BA7" s="150" t="str">
        <f t="shared" si="2"/>
        <v>Принято органом регулирования</v>
      </c>
      <c r="BB7" s="150" t="str">
        <f t="shared" si="2"/>
        <v>Принято органом регулирования</v>
      </c>
      <c r="BC7" s="150" t="str">
        <f t="shared" si="2"/>
        <v>Принято органом регулирования</v>
      </c>
      <c r="BD7" s="150"/>
      <c r="BE7" s="150"/>
      <c r="BF7" s="150"/>
      <c r="BG7" s="150"/>
      <c r="BH7" s="150"/>
    </row>
    <row r="8" spans="1:75" ht="12" hidden="1" customHeight="1">
      <c r="F8" s="167"/>
      <c r="T8" s="150"/>
      <c r="U8" s="150"/>
      <c r="V8" s="150"/>
      <c r="W8" s="150"/>
      <c r="X8" s="150"/>
      <c r="Y8" s="150"/>
      <c r="Z8" s="150"/>
      <c r="AB8" s="167"/>
      <c r="AD8" s="167"/>
      <c r="AE8" s="150" t="str">
        <f t="shared" ref="AE8:BC8" si="3">AE6&amp;AE7</f>
        <v>2024Принято органом регулирования</v>
      </c>
      <c r="AF8" s="150" t="str">
        <f t="shared" si="3"/>
        <v>2024Факт по данным организации</v>
      </c>
      <c r="AG8" s="150" t="str">
        <f t="shared" si="3"/>
        <v>2024Факт, принятый органом регулирования</v>
      </c>
      <c r="AH8" s="150" t="str">
        <f t="shared" si="3"/>
        <v>2024отклонение факта по данным организации к факту принятому органом регулирования</v>
      </c>
      <c r="AI8" s="150" t="str">
        <f t="shared" si="3"/>
        <v>2025Принято органом регулирования</v>
      </c>
      <c r="AJ8" s="150" t="str">
        <f t="shared" si="3"/>
        <v>2026Предложение организации</v>
      </c>
      <c r="AK8" s="150" t="str">
        <f t="shared" si="3"/>
        <v>2027Предложение организации</v>
      </c>
      <c r="AL8" s="150" t="str">
        <f t="shared" si="3"/>
        <v>2028Предложение организации</v>
      </c>
      <c r="AM8" s="150" t="str">
        <f t="shared" si="3"/>
        <v>2029Предложение организации</v>
      </c>
      <c r="AN8" s="150" t="str">
        <f t="shared" si="3"/>
        <v>2030Предложение организации</v>
      </c>
      <c r="AO8" s="150" t="str">
        <f t="shared" si="3"/>
        <v>2031Предложение организации</v>
      </c>
      <c r="AP8" s="150" t="str">
        <f t="shared" si="3"/>
        <v>2032Предложение организации</v>
      </c>
      <c r="AQ8" s="150" t="str">
        <f t="shared" si="3"/>
        <v>2033Предложение организации</v>
      </c>
      <c r="AR8" s="150" t="str">
        <f t="shared" si="3"/>
        <v>2034Предложение организации</v>
      </c>
      <c r="AS8" s="150" t="str">
        <f t="shared" si="3"/>
        <v>2035Предложение организации</v>
      </c>
      <c r="AT8" s="150" t="str">
        <f t="shared" si="3"/>
        <v>2026Принято органом регулирования</v>
      </c>
      <c r="AU8" s="150" t="str">
        <f t="shared" si="3"/>
        <v>2027Принято органом регулирования</v>
      </c>
      <c r="AV8" s="150" t="str">
        <f t="shared" si="3"/>
        <v>2028Принято органом регулирования</v>
      </c>
      <c r="AW8" s="150" t="str">
        <f t="shared" si="3"/>
        <v>2029Принято органом регулирования</v>
      </c>
      <c r="AX8" s="150" t="str">
        <f t="shared" si="3"/>
        <v>2030Принято органом регулирования</v>
      </c>
      <c r="AY8" s="150" t="str">
        <f t="shared" si="3"/>
        <v>2031Принято органом регулирования</v>
      </c>
      <c r="AZ8" s="150" t="str">
        <f t="shared" si="3"/>
        <v>2032Принято органом регулирования</v>
      </c>
      <c r="BA8" s="150" t="str">
        <f t="shared" si="3"/>
        <v>2033Принято органом регулирования</v>
      </c>
      <c r="BB8" s="150" t="str">
        <f t="shared" si="3"/>
        <v>2034Принято органом регулирования</v>
      </c>
      <c r="BC8" s="150" t="str">
        <f t="shared" si="3"/>
        <v>2035Принято органом регулирования</v>
      </c>
      <c r="BD8" s="150"/>
      <c r="BE8" s="150"/>
      <c r="BF8" s="150"/>
      <c r="BG8" s="150"/>
      <c r="BH8" s="150"/>
    </row>
    <row r="9" spans="1:75" s="943" customFormat="1" ht="12" hidden="1" customHeight="1">
      <c r="A9" s="890" t="s">
        <v>327</v>
      </c>
      <c r="B9" s="878"/>
      <c r="E9" s="878"/>
      <c r="Q9" s="923"/>
      <c r="R9" s="923"/>
      <c r="T9" s="891"/>
      <c r="U9" s="891"/>
      <c r="V9" s="891"/>
      <c r="W9" s="891"/>
      <c r="X9" s="891"/>
      <c r="Y9" s="891"/>
      <c r="Z9" s="891"/>
      <c r="AE9" s="943">
        <f>god-2</f>
        <v>2024</v>
      </c>
      <c r="AF9" s="943">
        <f>god-2</f>
        <v>2024</v>
      </c>
      <c r="AG9" s="943">
        <f>god-2</f>
        <v>2024</v>
      </c>
      <c r="AH9" s="943">
        <f>god-2</f>
        <v>2024</v>
      </c>
      <c r="AI9" s="943">
        <f>god-1</f>
        <v>2025</v>
      </c>
      <c r="AJ9" s="943">
        <f>god</f>
        <v>2026</v>
      </c>
      <c r="AK9" s="943">
        <f>god+1</f>
        <v>2027</v>
      </c>
      <c r="AL9" s="943">
        <f>god+2</f>
        <v>2028</v>
      </c>
      <c r="AM9" s="943">
        <f>god+3</f>
        <v>2029</v>
      </c>
      <c r="AN9" s="943">
        <f>god+4</f>
        <v>2030</v>
      </c>
      <c r="AO9" s="943">
        <f>god+5</f>
        <v>2031</v>
      </c>
      <c r="AP9" s="943">
        <f>god+6</f>
        <v>2032</v>
      </c>
      <c r="AQ9" s="943">
        <f>god+7</f>
        <v>2033</v>
      </c>
      <c r="AR9" s="943">
        <f>god+8</f>
        <v>2034</v>
      </c>
      <c r="AS9" s="943">
        <f>god+9</f>
        <v>2035</v>
      </c>
      <c r="AT9" s="943">
        <f>god</f>
        <v>2026</v>
      </c>
      <c r="AU9" s="943">
        <f>god+1</f>
        <v>2027</v>
      </c>
      <c r="AV9" s="943">
        <f>god+2</f>
        <v>2028</v>
      </c>
      <c r="AW9" s="943">
        <f>god+3</f>
        <v>2029</v>
      </c>
      <c r="AX9" s="943">
        <f>god+4</f>
        <v>2030</v>
      </c>
      <c r="AY9" s="943">
        <f>god+5</f>
        <v>2031</v>
      </c>
      <c r="AZ9" s="943">
        <f>god+6</f>
        <v>2032</v>
      </c>
      <c r="BA9" s="943">
        <f>god+7</f>
        <v>2033</v>
      </c>
      <c r="BB9" s="943">
        <f>god+8</f>
        <v>2034</v>
      </c>
      <c r="BC9" s="943">
        <f>god+9</f>
        <v>2035</v>
      </c>
      <c r="BD9" s="943">
        <f>god</f>
        <v>2026</v>
      </c>
      <c r="BE9" s="943">
        <f>god+1</f>
        <v>2027</v>
      </c>
      <c r="BF9" s="943">
        <f>god+2</f>
        <v>2028</v>
      </c>
      <c r="BG9" s="943">
        <f>god+3</f>
        <v>2029</v>
      </c>
      <c r="BH9" s="943">
        <f>god+4</f>
        <v>2030</v>
      </c>
      <c r="BI9" s="943">
        <f>god+5</f>
        <v>2031</v>
      </c>
      <c r="BJ9" s="943">
        <f>god+6</f>
        <v>2032</v>
      </c>
      <c r="BK9" s="943">
        <f>god+7</f>
        <v>2033</v>
      </c>
      <c r="BL9" s="943">
        <f>god+8</f>
        <v>2034</v>
      </c>
      <c r="BM9" s="943">
        <f>god+9</f>
        <v>2035</v>
      </c>
      <c r="BS9" s="944"/>
      <c r="BT9" s="944"/>
      <c r="BU9" s="944"/>
      <c r="BV9" s="945"/>
      <c r="BW9" s="945"/>
    </row>
    <row r="10" spans="1:75" s="943" customFormat="1" ht="12" hidden="1" customHeight="1">
      <c r="A10" s="890" t="s">
        <v>328</v>
      </c>
      <c r="B10" s="878"/>
      <c r="E10" s="878"/>
      <c r="Q10" s="923"/>
      <c r="R10" s="923"/>
      <c r="T10" s="891"/>
      <c r="U10" s="891"/>
      <c r="V10" s="891"/>
      <c r="W10" s="891"/>
      <c r="X10" s="891"/>
      <c r="Y10" s="891"/>
      <c r="Z10" s="891"/>
      <c r="AE10" s="943" t="str">
        <f t="shared" ref="AE10:BD10" si="4">AE25</f>
        <v>Принято органом регулирования</v>
      </c>
      <c r="AF10" s="943" t="str">
        <f t="shared" si="4"/>
        <v>Факт по данным организации</v>
      </c>
      <c r="AG10" s="943" t="str">
        <f t="shared" si="4"/>
        <v>Факт, принятый органом регулирования</v>
      </c>
      <c r="AH10" s="943" t="str">
        <f t="shared" si="4"/>
        <v>отклонение факта по данным организации к факту принятому органом регулирования</v>
      </c>
      <c r="AI10" s="943" t="str">
        <f t="shared" si="4"/>
        <v>Принято органом регулирования</v>
      </c>
      <c r="AJ10" s="943" t="str">
        <f t="shared" si="4"/>
        <v>Предложение организации</v>
      </c>
      <c r="AK10" s="943" t="str">
        <f t="shared" si="4"/>
        <v>Предложение организации</v>
      </c>
      <c r="AL10" s="943" t="str">
        <f t="shared" si="4"/>
        <v>Предложение организации</v>
      </c>
      <c r="AM10" s="943" t="str">
        <f t="shared" si="4"/>
        <v>Предложение организации</v>
      </c>
      <c r="AN10" s="943" t="str">
        <f t="shared" si="4"/>
        <v>Предложение организации</v>
      </c>
      <c r="AO10" s="943" t="str">
        <f t="shared" si="4"/>
        <v>Предложение организации</v>
      </c>
      <c r="AP10" s="943" t="str">
        <f t="shared" si="4"/>
        <v>Предложение организации</v>
      </c>
      <c r="AQ10" s="943" t="str">
        <f t="shared" si="4"/>
        <v>Предложение организации</v>
      </c>
      <c r="AR10" s="943" t="str">
        <f t="shared" si="4"/>
        <v>Предложение организации</v>
      </c>
      <c r="AS10" s="943" t="str">
        <f t="shared" si="4"/>
        <v>Предложение организации</v>
      </c>
      <c r="AT10" s="943" t="str">
        <f t="shared" si="4"/>
        <v>Принято органом регулирования</v>
      </c>
      <c r="AU10" s="943" t="str">
        <f t="shared" si="4"/>
        <v>Принято органом регулирования</v>
      </c>
      <c r="AV10" s="943" t="str">
        <f t="shared" si="4"/>
        <v>Принято органом регулирования</v>
      </c>
      <c r="AW10" s="943" t="str">
        <f t="shared" si="4"/>
        <v>Принято органом регулирования</v>
      </c>
      <c r="AX10" s="943" t="str">
        <f t="shared" si="4"/>
        <v>Принято органом регулирования</v>
      </c>
      <c r="AY10" s="943" t="str">
        <f t="shared" si="4"/>
        <v>Принято органом регулирования</v>
      </c>
      <c r="AZ10" s="943" t="str">
        <f t="shared" si="4"/>
        <v>Принято органом регулирования</v>
      </c>
      <c r="BA10" s="943" t="str">
        <f t="shared" si="4"/>
        <v>Принято органом регулирования</v>
      </c>
      <c r="BB10" s="943" t="str">
        <f t="shared" si="4"/>
        <v>Принято органом регулирования</v>
      </c>
      <c r="BC10" s="943" t="str">
        <f t="shared" si="4"/>
        <v>Принято органом регулирования</v>
      </c>
      <c r="BD10" s="943" t="str">
        <f t="shared" si="4"/>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943" t="str">
        <f t="shared" ref="BE10:BM10" si="5">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943"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944"/>
      <c r="BT10" s="944"/>
      <c r="BU10" s="944"/>
      <c r="BV10" s="945"/>
      <c r="BW10" s="945"/>
    </row>
    <row r="11" spans="1:75" s="943" customFormat="1" ht="12" hidden="1" customHeight="1">
      <c r="A11" s="890" t="s">
        <v>329</v>
      </c>
      <c r="B11" s="878"/>
      <c r="E11" s="878"/>
      <c r="G11" s="946"/>
      <c r="H11" s="946"/>
      <c r="I11" s="946"/>
      <c r="J11" s="946"/>
      <c r="K11" s="946"/>
      <c r="L11" s="946"/>
      <c r="M11" s="946"/>
      <c r="N11" s="946"/>
      <c r="O11" s="946"/>
      <c r="P11" s="946"/>
      <c r="Q11" s="925"/>
      <c r="R11" s="925"/>
      <c r="S11" s="946"/>
      <c r="T11" s="891"/>
      <c r="U11" s="891"/>
      <c r="V11" s="891"/>
      <c r="W11" s="891"/>
      <c r="X11" s="891"/>
      <c r="Y11" s="891"/>
      <c r="Z11" s="891"/>
      <c r="AC11" s="947"/>
      <c r="BI11" s="891"/>
      <c r="BJ11" s="891"/>
      <c r="BK11" s="891"/>
      <c r="BL11" s="891"/>
      <c r="BM11" s="891"/>
      <c r="BN11" s="943" t="str">
        <f>BN24</f>
        <v>Указание на подтверждающие документы / URL-ссылка на копии подтверждающих документов</v>
      </c>
      <c r="BO11" s="943" t="str">
        <f>BO24</f>
        <v>Ссылка на правовую норму (основание для принятия показателя в расчет тарифа)</v>
      </c>
      <c r="BP11" s="943"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944"/>
      <c r="BT11" s="944"/>
      <c r="BU11" s="944"/>
      <c r="BV11" s="945"/>
      <c r="BW11" s="945"/>
    </row>
    <row r="12" spans="1:75" s="943" customFormat="1" ht="12" hidden="1" customHeight="1">
      <c r="A12" s="890" t="s">
        <v>286</v>
      </c>
      <c r="B12" s="878"/>
      <c r="E12" s="878"/>
      <c r="G12" s="946"/>
      <c r="H12" s="946"/>
      <c r="I12" s="946"/>
      <c r="J12" s="946"/>
      <c r="K12" s="946"/>
      <c r="L12" s="946"/>
      <c r="M12" s="946"/>
      <c r="N12" s="946"/>
      <c r="O12" s="946"/>
      <c r="P12" s="946"/>
      <c r="Q12" s="925"/>
      <c r="R12" s="925"/>
      <c r="S12" s="946"/>
      <c r="T12" s="891"/>
      <c r="U12" s="891"/>
      <c r="V12" s="891"/>
      <c r="W12" s="891"/>
      <c r="X12" s="891"/>
      <c r="Y12" s="891"/>
      <c r="Z12" s="891"/>
      <c r="AC12" s="947" t="s">
        <v>277</v>
      </c>
      <c r="BI12" s="891"/>
      <c r="BJ12" s="891"/>
      <c r="BK12" s="891"/>
      <c r="BL12" s="891"/>
      <c r="BM12" s="891"/>
      <c r="BS12" s="944"/>
      <c r="BT12" s="944"/>
      <c r="BU12" s="944"/>
      <c r="BV12" s="945"/>
      <c r="BW12" s="945"/>
    </row>
    <row r="13" spans="1:75" s="165" customFormat="1" ht="12" hidden="1" customHeight="1">
      <c r="B13" s="614"/>
      <c r="E13" s="623"/>
      <c r="G13" s="167"/>
      <c r="H13" s="167"/>
      <c r="I13" s="167"/>
      <c r="J13" s="167"/>
      <c r="K13" s="167"/>
      <c r="L13" s="167"/>
      <c r="M13" s="167"/>
      <c r="N13" s="167"/>
      <c r="O13" s="167"/>
      <c r="P13" s="167"/>
      <c r="Q13" s="130"/>
      <c r="R13" s="130"/>
      <c r="S13" s="167"/>
      <c r="T13" s="113"/>
      <c r="U13" s="113"/>
      <c r="V13" s="113"/>
      <c r="W13" s="113"/>
      <c r="X13" s="113"/>
      <c r="Y13" s="113"/>
      <c r="Z13" s="113"/>
      <c r="AC13" s="169"/>
      <c r="BI13" s="113"/>
      <c r="BJ13" s="113"/>
      <c r="BK13" s="113"/>
      <c r="BL13" s="113"/>
      <c r="BM13" s="113"/>
      <c r="BS13" s="944"/>
      <c r="BT13" s="944"/>
      <c r="BU13" s="944"/>
      <c r="BV13" s="945"/>
      <c r="BW13" s="945"/>
    </row>
    <row r="14" spans="1:75" s="165" customFormat="1" ht="12" hidden="1" customHeight="1">
      <c r="B14" s="614"/>
      <c r="E14" s="623"/>
      <c r="G14" s="167"/>
      <c r="H14" s="167"/>
      <c r="I14" s="167"/>
      <c r="J14" s="167"/>
      <c r="K14" s="167"/>
      <c r="L14" s="167"/>
      <c r="M14" s="167"/>
      <c r="N14" s="167"/>
      <c r="O14" s="167"/>
      <c r="P14" s="167"/>
      <c r="Q14" s="130"/>
      <c r="R14" s="130"/>
      <c r="S14" s="167"/>
      <c r="T14" s="113"/>
      <c r="U14" s="113"/>
      <c r="V14" s="113"/>
      <c r="W14" s="113"/>
      <c r="X14" s="113"/>
      <c r="Y14" s="113"/>
      <c r="Z14" s="113"/>
      <c r="AC14" s="169"/>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S14" s="944"/>
      <c r="BT14" s="944"/>
      <c r="BU14" s="944"/>
      <c r="BV14" s="945"/>
      <c r="BW14" s="945"/>
    </row>
    <row r="15" spans="1:75" s="165" customFormat="1" ht="12" hidden="1" customHeight="1">
      <c r="B15" s="614"/>
      <c r="E15" s="623"/>
      <c r="G15" s="167"/>
      <c r="H15" s="167"/>
      <c r="I15" s="167"/>
      <c r="J15" s="167"/>
      <c r="K15" s="167"/>
      <c r="L15" s="167"/>
      <c r="M15" s="167"/>
      <c r="N15" s="167"/>
      <c r="O15" s="167"/>
      <c r="P15" s="167"/>
      <c r="Q15" s="130"/>
      <c r="R15" s="130"/>
      <c r="S15" s="167"/>
      <c r="T15" s="113"/>
      <c r="U15" s="113"/>
      <c r="V15" s="113"/>
      <c r="W15" s="113"/>
      <c r="X15" s="113"/>
      <c r="Y15" s="113"/>
      <c r="Z15" s="113"/>
      <c r="AC15" s="169"/>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S15" s="944"/>
      <c r="BT15" s="944"/>
      <c r="BU15" s="944"/>
      <c r="BV15" s="945"/>
      <c r="BW15" s="945"/>
    </row>
    <row r="16" spans="1:75" s="165" customFormat="1" ht="12" hidden="1" customHeight="1">
      <c r="B16" s="614"/>
      <c r="E16" s="623"/>
      <c r="G16" s="167"/>
      <c r="H16" s="167"/>
      <c r="I16" s="167"/>
      <c r="J16" s="167"/>
      <c r="K16" s="167"/>
      <c r="L16" s="167"/>
      <c r="M16" s="167"/>
      <c r="N16" s="167"/>
      <c r="O16" s="167"/>
      <c r="P16" s="167"/>
      <c r="Q16" s="130"/>
      <c r="R16" s="130"/>
      <c r="S16" s="167"/>
      <c r="T16" s="113"/>
      <c r="U16" s="113"/>
      <c r="V16" s="113"/>
      <c r="W16" s="113"/>
      <c r="X16" s="113"/>
      <c r="Y16" s="113"/>
      <c r="Z16" s="113"/>
      <c r="AC16" s="169"/>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S16" s="944"/>
      <c r="BT16" s="944"/>
      <c r="BU16" s="944"/>
      <c r="BV16" s="945"/>
      <c r="BW16" s="945"/>
    </row>
    <row r="17" spans="1:75" s="165" customFormat="1" ht="12" hidden="1" customHeight="1">
      <c r="B17" s="614"/>
      <c r="E17" s="623"/>
      <c r="G17" s="167"/>
      <c r="H17" s="167"/>
      <c r="I17" s="167"/>
      <c r="J17" s="167"/>
      <c r="K17" s="167"/>
      <c r="L17" s="167"/>
      <c r="M17" s="167"/>
      <c r="N17" s="167"/>
      <c r="O17" s="167"/>
      <c r="P17" s="167"/>
      <c r="Q17" s="130"/>
      <c r="R17" s="130"/>
      <c r="S17" s="167"/>
      <c r="T17" s="113"/>
      <c r="U17" s="113"/>
      <c r="V17" s="113"/>
      <c r="W17" s="113"/>
      <c r="X17" s="113"/>
      <c r="Y17" s="113"/>
      <c r="Z17" s="113"/>
      <c r="AC17" s="169"/>
      <c r="BI17" s="113"/>
      <c r="BJ17" s="113"/>
      <c r="BK17" s="113"/>
      <c r="BL17" s="113"/>
      <c r="BM17" s="113"/>
      <c r="BS17" s="944"/>
      <c r="BT17" s="944"/>
      <c r="BU17" s="944"/>
      <c r="BV17" s="945"/>
      <c r="BW17" s="945"/>
    </row>
    <row r="18" spans="1:75" s="165" customFormat="1" ht="12" hidden="1" customHeight="1">
      <c r="B18" s="614"/>
      <c r="E18" s="623"/>
      <c r="G18" s="167"/>
      <c r="H18" s="167"/>
      <c r="I18" s="167"/>
      <c r="J18" s="167"/>
      <c r="K18" s="167"/>
      <c r="L18" s="167"/>
      <c r="M18" s="167"/>
      <c r="N18" s="167"/>
      <c r="O18" s="167"/>
      <c r="P18" s="167"/>
      <c r="Q18" s="130"/>
      <c r="R18" s="130"/>
      <c r="S18" s="167"/>
      <c r="T18" s="113"/>
      <c r="U18" s="113"/>
      <c r="V18" s="113"/>
      <c r="W18" s="113"/>
      <c r="X18" s="113"/>
      <c r="Y18" s="113"/>
      <c r="Z18" s="113"/>
      <c r="AC18" s="169"/>
      <c r="BS18" s="944"/>
      <c r="BT18" s="944"/>
      <c r="BU18" s="944"/>
      <c r="BV18" s="945"/>
      <c r="BW18" s="945"/>
    </row>
    <row r="19" spans="1:75" s="165" customFormat="1" ht="12" hidden="1" customHeight="1">
      <c r="B19" s="614"/>
      <c r="E19" s="623"/>
      <c r="G19" s="167"/>
      <c r="H19" s="167"/>
      <c r="I19" s="167"/>
      <c r="J19" s="167"/>
      <c r="K19" s="167"/>
      <c r="L19" s="167"/>
      <c r="M19" s="167"/>
      <c r="N19" s="167"/>
      <c r="O19" s="167"/>
      <c r="P19" s="167"/>
      <c r="Q19" s="130"/>
      <c r="R19" s="130"/>
      <c r="S19" s="167"/>
      <c r="T19" s="113"/>
      <c r="U19" s="113"/>
      <c r="V19" s="113"/>
      <c r="W19" s="113"/>
      <c r="X19" s="113"/>
      <c r="Y19" s="113"/>
      <c r="Z19" s="113"/>
      <c r="AC19" s="169"/>
      <c r="BS19" s="944"/>
      <c r="BT19" s="944"/>
      <c r="BU19" s="944"/>
      <c r="BV19" s="945"/>
      <c r="BW19" s="945"/>
    </row>
    <row r="20" spans="1:75" s="165" customFormat="1" ht="12" hidden="1" customHeight="1">
      <c r="B20" s="614"/>
      <c r="E20" s="623"/>
      <c r="G20" s="167"/>
      <c r="H20" s="167"/>
      <c r="I20" s="167"/>
      <c r="J20" s="167"/>
      <c r="K20" s="167"/>
      <c r="L20" s="167"/>
      <c r="M20" s="167"/>
      <c r="N20" s="167"/>
      <c r="O20" s="167"/>
      <c r="P20" s="167"/>
      <c r="Q20" s="130"/>
      <c r="R20" s="130"/>
      <c r="S20" s="167"/>
      <c r="T20" s="113"/>
      <c r="U20" s="113"/>
      <c r="V20" s="113"/>
      <c r="W20" s="113"/>
      <c r="X20" s="113"/>
      <c r="Y20" s="113"/>
      <c r="Z20" s="113"/>
      <c r="AC20" s="169"/>
      <c r="BS20" s="944"/>
      <c r="BT20" s="944"/>
      <c r="BU20" s="944"/>
      <c r="BV20" s="945"/>
      <c r="BW20" s="945"/>
    </row>
    <row r="21" spans="1:75" ht="14.65" customHeight="1">
      <c r="E21" s="623">
        <v>15</v>
      </c>
      <c r="AA21" s="646"/>
      <c r="AB21" s="167"/>
      <c r="AC21" s="315" t="str">
        <f>tpl_title</f>
        <v>Кемеровская область / 2026 / АО "СУЭК-Кузбасс" (ИНН:4212024138, КПП:421201001) / ДПР: 2024-2028</v>
      </c>
      <c r="AD21" s="167"/>
    </row>
    <row r="22" spans="1:75" s="1018" customFormat="1" ht="19.5" customHeight="1">
      <c r="A22" s="120"/>
      <c r="B22" s="614"/>
      <c r="C22" s="120"/>
      <c r="D22" s="120"/>
      <c r="E22" s="623">
        <v>20.100000000000001</v>
      </c>
      <c r="F22" s="120"/>
      <c r="Q22" s="130"/>
      <c r="R22" s="130"/>
      <c r="T22" s="116"/>
      <c r="U22" s="116"/>
      <c r="V22" s="116"/>
      <c r="W22" s="116"/>
      <c r="X22" s="116"/>
      <c r="Y22" s="116"/>
      <c r="Z22" s="116"/>
      <c r="AB22" s="306" t="s">
        <v>1370</v>
      </c>
      <c r="AC22" s="251"/>
      <c r="AD22" s="251"/>
      <c r="AE22" s="251"/>
      <c r="AF22" s="251"/>
      <c r="AG22" s="251"/>
      <c r="AH22" s="251"/>
      <c r="AI22" s="251"/>
      <c r="AJ22" s="251"/>
      <c r="AK22" s="251"/>
      <c r="AL22" s="251"/>
      <c r="AM22" s="251"/>
      <c r="AN22" s="251"/>
      <c r="AO22" s="251"/>
      <c r="AP22" s="251"/>
      <c r="AQ22" s="251"/>
      <c r="AR22" s="251"/>
      <c r="AS22" s="251"/>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S22" s="920"/>
      <c r="BT22" s="920"/>
      <c r="BU22" s="920"/>
      <c r="BV22" s="921"/>
      <c r="BW22" s="921"/>
    </row>
    <row r="23" spans="1:75" s="1018" customFormat="1" ht="9.9499999999999993" customHeight="1">
      <c r="A23" s="120"/>
      <c r="B23" s="614"/>
      <c r="C23" s="120"/>
      <c r="D23" s="120"/>
      <c r="E23" s="623">
        <v>10.199999999999999</v>
      </c>
      <c r="F23" s="120"/>
      <c r="Q23" s="130"/>
      <c r="R23" s="130"/>
      <c r="T23" s="116"/>
      <c r="U23" s="116"/>
      <c r="V23" s="116"/>
      <c r="W23" s="116"/>
      <c r="X23" s="116"/>
      <c r="Y23" s="116"/>
      <c r="Z23" s="116"/>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c r="BP23" s="168"/>
      <c r="BS23" s="920"/>
      <c r="BT23" s="920"/>
      <c r="BU23" s="920"/>
      <c r="BV23" s="921"/>
      <c r="BW23" s="921"/>
    </row>
    <row r="24" spans="1:75" s="166" customFormat="1" ht="24.2" customHeight="1">
      <c r="A24" s="169"/>
      <c r="B24" s="618"/>
      <c r="C24" s="169"/>
      <c r="D24" s="169"/>
      <c r="E24" s="629">
        <v>24.8</v>
      </c>
      <c r="F24" s="169"/>
      <c r="Q24" s="723"/>
      <c r="R24" s="723"/>
      <c r="T24" s="109"/>
      <c r="U24" s="109"/>
      <c r="V24" s="109"/>
      <c r="W24" s="109"/>
      <c r="X24" s="109"/>
      <c r="Y24" s="109"/>
      <c r="Z24" s="109"/>
      <c r="AB24" s="1496" t="s">
        <v>288</v>
      </c>
      <c r="AC24" s="1496" t="s">
        <v>330</v>
      </c>
      <c r="AD24" s="1496" t="s">
        <v>331</v>
      </c>
      <c r="AE24" s="198" t="str">
        <f>god-2&amp;" год"</f>
        <v>2024 год</v>
      </c>
      <c r="AF24" s="1007" t="str">
        <f>god-2&amp;" год"</f>
        <v>2024 год</v>
      </c>
      <c r="AG24" s="198" t="str">
        <f>god-2&amp;" год"</f>
        <v>2024 год</v>
      </c>
      <c r="AH24" s="198" t="str">
        <f>god-2&amp;" год"</f>
        <v>2024 год</v>
      </c>
      <c r="AI24" s="107" t="str">
        <f>god-1&amp;" год"</f>
        <v>2025 год</v>
      </c>
      <c r="AJ24" s="1001" t="str">
        <f>god&amp;" год"</f>
        <v>2026 год</v>
      </c>
      <c r="AK24" s="1001" t="str">
        <f>god+1&amp;" год"</f>
        <v>2027 год</v>
      </c>
      <c r="AL24" s="1001" t="str">
        <f>god+2&amp;" год"</f>
        <v>2028 год</v>
      </c>
      <c r="AM24" s="1001" t="str">
        <f>god+3&amp;" год"</f>
        <v>2029 год</v>
      </c>
      <c r="AN24" s="1001" t="str">
        <f>god+4&amp;" год"</f>
        <v>2030 год</v>
      </c>
      <c r="AO24" s="1001" t="str">
        <f>god+5&amp;" год"</f>
        <v>2031 год</v>
      </c>
      <c r="AP24" s="1001" t="str">
        <f>god+6&amp;" год"</f>
        <v>2032 год</v>
      </c>
      <c r="AQ24" s="1001" t="str">
        <f>god+7&amp;" год"</f>
        <v>2033 год</v>
      </c>
      <c r="AR24" s="1001" t="str">
        <f>god+8&amp;" год"</f>
        <v>2034 год</v>
      </c>
      <c r="AS24" s="1001" t="str">
        <f>god+9&amp;" год"</f>
        <v>2035 год</v>
      </c>
      <c r="AT24" s="108" t="str">
        <f>god&amp;" год"</f>
        <v>2026 год</v>
      </c>
      <c r="AU24" s="108" t="str">
        <f>god+1&amp;" год"</f>
        <v>2027 год</v>
      </c>
      <c r="AV24" s="108" t="str">
        <f>god+2&amp;" год"</f>
        <v>2028 год</v>
      </c>
      <c r="AW24" s="108" t="str">
        <f>god+3&amp;" год"</f>
        <v>2029 год</v>
      </c>
      <c r="AX24" s="108" t="str">
        <f>god+4&amp;" год"</f>
        <v>2030 год</v>
      </c>
      <c r="AY24" s="108" t="str">
        <f>god+5&amp;" год"</f>
        <v>2031 год</v>
      </c>
      <c r="AZ24" s="108" t="str">
        <f>god+6&amp;" год"</f>
        <v>2032 год</v>
      </c>
      <c r="BA24" s="108" t="str">
        <f>god+7&amp;" год"</f>
        <v>2033 год</v>
      </c>
      <c r="BB24" s="108" t="str">
        <f>god+8&amp;" год"</f>
        <v>2034 год</v>
      </c>
      <c r="BC24" s="108" t="str">
        <f>god+9&amp;" год"</f>
        <v>2035 год</v>
      </c>
      <c r="BD24" s="108" t="str">
        <f>god&amp;" год"</f>
        <v>2026 год</v>
      </c>
      <c r="BE24" s="108" t="str">
        <f>god+1&amp;" год"</f>
        <v>2027 год</v>
      </c>
      <c r="BF24" s="108" t="str">
        <f>god+2&amp;" год"</f>
        <v>2028 год</v>
      </c>
      <c r="BG24" s="108" t="str">
        <f>god+3&amp;" год"</f>
        <v>2029 год</v>
      </c>
      <c r="BH24" s="108" t="str">
        <f>god+4&amp;" год"</f>
        <v>2030 год</v>
      </c>
      <c r="BI24" s="108" t="str">
        <f>god+5&amp;" год"</f>
        <v>2031 год</v>
      </c>
      <c r="BJ24" s="108" t="str">
        <f>god+6&amp;" год"</f>
        <v>2032 год</v>
      </c>
      <c r="BK24" s="108" t="str">
        <f>god+7&amp;" год"</f>
        <v>2033 год</v>
      </c>
      <c r="BL24" s="108" t="str">
        <f>god+8&amp;" год"</f>
        <v>2034 год</v>
      </c>
      <c r="BM24" s="108" t="str">
        <f>god+9&amp;" год"</f>
        <v>2035 год</v>
      </c>
      <c r="BN24" s="1493" t="s">
        <v>1090</v>
      </c>
      <c r="BO24" s="1493" t="s">
        <v>486</v>
      </c>
      <c r="BP24" s="1493" t="s">
        <v>1091</v>
      </c>
      <c r="BS24" s="944"/>
      <c r="BT24" s="948"/>
      <c r="BU24" s="948"/>
      <c r="BV24" s="949"/>
      <c r="BW24" s="949"/>
    </row>
    <row r="25" spans="1:75" s="166" customFormat="1" ht="44.65" customHeight="1">
      <c r="A25" s="169"/>
      <c r="B25" s="618"/>
      <c r="C25" s="169"/>
      <c r="D25" s="169"/>
      <c r="E25" s="629">
        <v>45.8</v>
      </c>
      <c r="F25" s="169"/>
      <c r="Q25" s="723"/>
      <c r="R25" s="723"/>
      <c r="T25" s="109"/>
      <c r="U25" s="109"/>
      <c r="V25" s="109"/>
      <c r="W25" s="109"/>
      <c r="X25" s="109"/>
      <c r="Y25" s="109"/>
      <c r="Z25" s="109"/>
      <c r="AB25" s="1496"/>
      <c r="AC25" s="1496"/>
      <c r="AD25" s="1496"/>
      <c r="AE25" s="107" t="s">
        <v>304</v>
      </c>
      <c r="AF25" s="1003" t="s">
        <v>487</v>
      </c>
      <c r="AG25" s="107" t="s">
        <v>488</v>
      </c>
      <c r="AH25" s="198" t="s">
        <v>1092</v>
      </c>
      <c r="AI25" s="107" t="s">
        <v>304</v>
      </c>
      <c r="AJ25" s="1002" t="s">
        <v>305</v>
      </c>
      <c r="AK25" s="1002" t="s">
        <v>305</v>
      </c>
      <c r="AL25" s="1002" t="s">
        <v>305</v>
      </c>
      <c r="AM25" s="1002" t="s">
        <v>305</v>
      </c>
      <c r="AN25" s="1002" t="s">
        <v>305</v>
      </c>
      <c r="AO25" s="1002" t="s">
        <v>305</v>
      </c>
      <c r="AP25" s="1002" t="s">
        <v>305</v>
      </c>
      <c r="AQ25" s="1002" t="s">
        <v>305</v>
      </c>
      <c r="AR25" s="1002" t="s">
        <v>305</v>
      </c>
      <c r="AS25" s="1002" t="s">
        <v>305</v>
      </c>
      <c r="AT25" s="324" t="s">
        <v>304</v>
      </c>
      <c r="AU25" s="324" t="s">
        <v>304</v>
      </c>
      <c r="AV25" s="324" t="s">
        <v>304</v>
      </c>
      <c r="AW25" s="324" t="s">
        <v>304</v>
      </c>
      <c r="AX25" s="324" t="s">
        <v>304</v>
      </c>
      <c r="AY25" s="324" t="s">
        <v>304</v>
      </c>
      <c r="AZ25" s="324" t="s">
        <v>304</v>
      </c>
      <c r="BA25" s="324" t="s">
        <v>304</v>
      </c>
      <c r="BB25" s="324" t="s">
        <v>304</v>
      </c>
      <c r="BC25" s="324" t="s">
        <v>304</v>
      </c>
      <c r="BD25" s="1493" t="s">
        <v>1093</v>
      </c>
      <c r="BE25" s="1493"/>
      <c r="BF25" s="1493"/>
      <c r="BG25" s="1493"/>
      <c r="BH25" s="1493"/>
      <c r="BI25" s="1493"/>
      <c r="BJ25" s="1493"/>
      <c r="BK25" s="1493"/>
      <c r="BL25" s="1493"/>
      <c r="BM25" s="1493"/>
      <c r="BN25" s="1493"/>
      <c r="BO25" s="1493"/>
      <c r="BP25" s="1493"/>
      <c r="BS25" s="944"/>
      <c r="BT25" s="948"/>
      <c r="BU25" s="948"/>
      <c r="BV25" s="949"/>
      <c r="BW25" s="949"/>
    </row>
    <row r="26" spans="1:75" s="166" customFormat="1" ht="14.25" hidden="1" customHeight="1">
      <c r="A26" s="169"/>
      <c r="B26" s="618"/>
      <c r="C26" s="169"/>
      <c r="D26" s="169"/>
      <c r="E26" s="629">
        <v>0</v>
      </c>
      <c r="F26" s="169"/>
      <c r="Q26" s="723"/>
      <c r="R26" s="723"/>
      <c r="T26" s="109"/>
      <c r="U26" s="109"/>
      <c r="V26" s="109"/>
      <c r="W26" s="109"/>
      <c r="X26" s="109"/>
      <c r="Y26" s="109"/>
      <c r="Z26" s="109"/>
      <c r="AB26" s="544"/>
      <c r="AC26" s="544"/>
      <c r="AD26" s="544"/>
      <c r="AE26" s="109"/>
      <c r="AF26" s="109"/>
      <c r="AG26" s="109"/>
      <c r="AH26" s="16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69"/>
      <c r="BE26" s="169"/>
      <c r="BF26" s="169"/>
      <c r="BG26" s="169"/>
      <c r="BH26" s="169"/>
      <c r="BI26" s="169"/>
      <c r="BJ26" s="169"/>
      <c r="BK26" s="169"/>
      <c r="BL26" s="169"/>
      <c r="BM26" s="169"/>
      <c r="BN26" s="169"/>
      <c r="BO26" s="169"/>
      <c r="BP26" s="169"/>
      <c r="BS26" s="944"/>
      <c r="BT26" s="948"/>
      <c r="BU26" s="948"/>
      <c r="BV26" s="949"/>
      <c r="BW26" s="949"/>
    </row>
    <row r="27" spans="1:75" s="157" customFormat="1" ht="16.7" hidden="1" customHeight="1">
      <c r="E27" s="623">
        <v>17.100000000000001</v>
      </c>
      <c r="F27" s="714">
        <f>X27</f>
        <v>0</v>
      </c>
      <c r="G27" s="566" t="str">
        <f>INDEX('Общие сведения'!$AK$169:$AK$202,MATCH($F27,'Общие сведения'!$Z$169:$Z$202,0))</f>
        <v>одноставочный</v>
      </c>
      <c r="I27" s="150" t="str">
        <f>INDEX('Общие сведения'!$AE$169:$AE$202,MATCH($F27,'Общие сведения'!$Z$169:$Z$202,0))</f>
        <v>Теплоснабжение</v>
      </c>
      <c r="K27" s="150" t="str">
        <f>INDEX('Общие сведения'!$AL$169:$AL$202,MATCH($F27,'Общие сведения'!$Z$169:$Z$202,0))</f>
        <v>Производство теплоносителя</v>
      </c>
      <c r="T27" s="634" t="b">
        <f>X27&gt;0</f>
        <v>0</v>
      </c>
      <c r="V27" s="113" t="s">
        <v>228</v>
      </c>
      <c r="X27" s="1526">
        <v>0</v>
      </c>
      <c r="Z27" s="1403"/>
      <c r="AB27" s="252" t="str">
        <f>INDEX('Общие сведения'!$AG$169:$AG$202,MATCH($F27,'Общие сведения'!$Z$169:$Z$202,0))</f>
        <v>Тариф 0 (Теплоснабжение) - Тарифы на теплоноситель</v>
      </c>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53"/>
      <c r="BB27" s="253"/>
      <c r="BC27" s="253"/>
      <c r="BD27" s="253"/>
      <c r="BE27" s="253"/>
      <c r="BF27" s="253"/>
      <c r="BG27" s="253"/>
      <c r="BH27" s="253"/>
      <c r="BI27" s="253"/>
      <c r="BJ27" s="253"/>
      <c r="BK27" s="253"/>
      <c r="BL27" s="253"/>
      <c r="BM27" s="253"/>
      <c r="BN27" s="253"/>
      <c r="BO27" s="253"/>
      <c r="BP27" s="253"/>
      <c r="BS27" s="912"/>
      <c r="BT27" s="912"/>
      <c r="BU27" s="912"/>
      <c r="BV27" s="915"/>
      <c r="BW27" s="915"/>
    </row>
    <row r="28" spans="1:75" ht="16.7" hidden="1" customHeight="1">
      <c r="E28" s="623">
        <v>17.100000000000001</v>
      </c>
      <c r="F28" s="714">
        <f t="shared" ref="F28:F70" ca="1" si="6">OFFSET(G28,-1,-1)</f>
        <v>0</v>
      </c>
      <c r="G28" s="130" t="s">
        <v>1094</v>
      </c>
      <c r="T28" s="634" t="b">
        <f>T27</f>
        <v>0</v>
      </c>
      <c r="X28" s="1405"/>
      <c r="Z28" s="1405"/>
      <c r="AB28" s="99" t="s">
        <v>247</v>
      </c>
      <c r="AC28" s="857" t="s">
        <v>1148</v>
      </c>
      <c r="AD28" s="387" t="s">
        <v>837</v>
      </c>
      <c r="AE28" s="469">
        <f ca="1">SUMIFS('Операционные (5.1)'!AE$26:AE$75,'Операционные (5.1)'!$F$26:$F$75,$F28,'Операционные (5.1)'!$G$26:$G$75,$G28)</f>
        <v>0</v>
      </c>
      <c r="AF28" s="469">
        <f ca="1">SUMIFS('Операционные (5.1)'!AF$26:AF$75,'Операционные (5.1)'!$F$26:$F$75,$F28,'Операционные (5.1)'!$G$26:$G$75,$G28)</f>
        <v>0</v>
      </c>
      <c r="AG28" s="469">
        <f ca="1">SUMIFS('Операционные (5.1)'!AG$26:AG$75,'Операционные (5.1)'!$F$26:$F$75,$F28,'Операционные (5.1)'!$G$26:$G$75,$G28)</f>
        <v>0</v>
      </c>
      <c r="AH28" s="293">
        <f t="shared" ref="AH28:AH54" ca="1" si="7">AG28-AF28</f>
        <v>0</v>
      </c>
      <c r="AI28" s="469">
        <f ca="1">SUMIFS('Операционные (5.1)'!AI$26:AI$75,'Операционные (5.1)'!$F$26:$F$75,$F28,'Операционные (5.1)'!$G$26:$G$75,$G28)</f>
        <v>0</v>
      </c>
      <c r="AJ28" s="567">
        <f ca="1">SUMIFS(INDEX('Операционные (5.2)'!$AJ$26:$BC$45,,MATCH(AJ$8,'Операционные (5.2)'!$AJ$8:$BC$8,0)),'Операционные (5.2)'!$F$26:$F$45,$F28,'Операционные (5.2)'!$G$26:$G$45,$G28)</f>
        <v>0</v>
      </c>
      <c r="AK28" s="567">
        <f ca="1">SUMIFS(INDEX('Операционные (5.2)'!$AJ$26:$BC$45,,MATCH(AK$8,'Операционные (5.2)'!$AJ$8:$BC$8,0)),'Операционные (5.2)'!$F$26:$F$45,$F28,'Операционные (5.2)'!$G$26:$G$45,$G28)</f>
        <v>0</v>
      </c>
      <c r="AL28" s="567">
        <f ca="1">SUMIFS(INDEX('Операционные (5.2)'!$AJ$26:$BC$45,,MATCH(AL$8,'Операционные (5.2)'!$AJ$8:$BC$8,0)),'Операционные (5.2)'!$F$26:$F$45,$F28,'Операционные (5.2)'!$G$26:$G$45,$G28)</f>
        <v>0</v>
      </c>
      <c r="AM28" s="567">
        <f ca="1">SUMIFS(INDEX('Операционные (5.2)'!$AJ$26:$BC$45,,MATCH(AM$8,'Операционные (5.2)'!$AJ$8:$BC$8,0)),'Операционные (5.2)'!$F$26:$F$45,$F28,'Операционные (5.2)'!$G$26:$G$45,$G28)</f>
        <v>0</v>
      </c>
      <c r="AN28" s="567">
        <f ca="1">SUMIFS(INDEX('Операционные (5.2)'!$AJ$26:$BC$45,,MATCH(AN$8,'Операционные (5.2)'!$AJ$8:$BC$8,0)),'Операционные (5.2)'!$F$26:$F$45,$F28,'Операционные (5.2)'!$G$26:$G$45,$G28)</f>
        <v>0</v>
      </c>
      <c r="AO28" s="567">
        <f ca="1">SUMIFS(INDEX('Операционные (5.2)'!$AJ$26:$BC$45,,MATCH(AO$8,'Операционные (5.2)'!$AJ$8:$BC$8,0)),'Операционные (5.2)'!$F$26:$F$45,$F28,'Операционные (5.2)'!$G$26:$G$45,$G28)</f>
        <v>0</v>
      </c>
      <c r="AP28" s="567">
        <f ca="1">SUMIFS(INDEX('Операционные (5.2)'!$AJ$26:$BC$45,,MATCH(AP$8,'Операционные (5.2)'!$AJ$8:$BC$8,0)),'Операционные (5.2)'!$F$26:$F$45,$F28,'Операционные (5.2)'!$G$26:$G$45,$G28)</f>
        <v>0</v>
      </c>
      <c r="AQ28" s="567">
        <f ca="1">SUMIFS(INDEX('Операционные (5.2)'!$AJ$26:$BC$45,,MATCH(AQ$8,'Операционные (5.2)'!$AJ$8:$BC$8,0)),'Операционные (5.2)'!$F$26:$F$45,$F28,'Операционные (5.2)'!$G$26:$G$45,$G28)</f>
        <v>0</v>
      </c>
      <c r="AR28" s="567">
        <f ca="1">SUMIFS(INDEX('Операционные (5.2)'!$AJ$26:$BC$45,,MATCH(AR$8,'Операционные (5.2)'!$AJ$8:$BC$8,0)),'Операционные (5.2)'!$F$26:$F$45,$F28,'Операционные (5.2)'!$G$26:$G$45,$G28)</f>
        <v>0</v>
      </c>
      <c r="AS28" s="567">
        <f ca="1">SUMIFS(INDEX('Операционные (5.2)'!$AJ$26:$BC$45,,MATCH(AS$8,'Операционные (5.2)'!$AJ$8:$BC$8,0)),'Операционные (5.2)'!$F$26:$F$45,$F28,'Операционные (5.2)'!$G$26:$G$45,$G28)</f>
        <v>0</v>
      </c>
      <c r="AT28" s="567">
        <f ca="1">SUMIFS(INDEX('Операционные (5.2)'!$AJ$26:$BC$45,,MATCH(AT$8,'Операционные (5.2)'!$AJ$8:$BC$8,0)),'Операционные (5.2)'!$F$26:$F$45,$F28,'Операционные (5.2)'!$G$26:$G$45,$G28)</f>
        <v>0</v>
      </c>
      <c r="AU28" s="567">
        <f ca="1">SUMIFS(INDEX('Операционные (5.2)'!$AJ$26:$BC$45,,MATCH(AU$8,'Операционные (5.2)'!$AJ$8:$BC$8,0)),'Операционные (5.2)'!$F$26:$F$45,$F28,'Операционные (5.2)'!$G$26:$G$45,$G28)</f>
        <v>0</v>
      </c>
      <c r="AV28" s="567">
        <f ca="1">SUMIFS(INDEX('Операционные (5.2)'!$AJ$26:$BC$45,,MATCH(AV$8,'Операционные (5.2)'!$AJ$8:$BC$8,0)),'Операционные (5.2)'!$F$26:$F$45,$F28,'Операционные (5.2)'!$G$26:$G$45,$G28)</f>
        <v>0</v>
      </c>
      <c r="AW28" s="567">
        <f ca="1">SUMIFS(INDEX('Операционные (5.2)'!$AJ$26:$BC$45,,MATCH(AW$8,'Операционные (5.2)'!$AJ$8:$BC$8,0)),'Операционные (5.2)'!$F$26:$F$45,$F28,'Операционные (5.2)'!$G$26:$G$45,$G28)</f>
        <v>0</v>
      </c>
      <c r="AX28" s="567">
        <f ca="1">SUMIFS(INDEX('Операционные (5.2)'!$AJ$26:$BC$45,,MATCH(AX$8,'Операционные (5.2)'!$AJ$8:$BC$8,0)),'Операционные (5.2)'!$F$26:$F$45,$F28,'Операционные (5.2)'!$G$26:$G$45,$G28)</f>
        <v>0</v>
      </c>
      <c r="AY28" s="567">
        <f ca="1">SUMIFS(INDEX('Операционные (5.2)'!$AJ$26:$BC$45,,MATCH(AY$8,'Операционные (5.2)'!$AJ$8:$BC$8,0)),'Операционные (5.2)'!$F$26:$F$45,$F28,'Операционные (5.2)'!$G$26:$G$45,$G28)</f>
        <v>0</v>
      </c>
      <c r="AZ28" s="567">
        <f ca="1">SUMIFS(INDEX('Операционные (5.2)'!$AJ$26:$BC$45,,MATCH(AZ$8,'Операционные (5.2)'!$AJ$8:$BC$8,0)),'Операционные (5.2)'!$F$26:$F$45,$F28,'Операционные (5.2)'!$G$26:$G$45,$G28)</f>
        <v>0</v>
      </c>
      <c r="BA28" s="567">
        <f ca="1">SUMIFS(INDEX('Операционные (5.2)'!$AJ$26:$BC$45,,MATCH(BA$8,'Операционные (5.2)'!$AJ$8:$BC$8,0)),'Операционные (5.2)'!$F$26:$F$45,$F28,'Операционные (5.2)'!$G$26:$G$45,$G28)</f>
        <v>0</v>
      </c>
      <c r="BB28" s="567">
        <f ca="1">SUMIFS(INDEX('Операционные (5.2)'!$AJ$26:$BC$45,,MATCH(BB$8,'Операционные (5.2)'!$AJ$8:$BC$8,0)),'Операционные (5.2)'!$F$26:$F$45,$F28,'Операционные (5.2)'!$G$26:$G$45,$G28)</f>
        <v>0</v>
      </c>
      <c r="BC28" s="567">
        <f ca="1">SUMIFS(INDEX('Операционные (5.2)'!$AJ$26:$BC$45,,MATCH(BC$8,'Операционные (5.2)'!$AJ$8:$BC$8,0)),'Операционные (5.2)'!$F$26:$F$45,$F28,'Операционные (5.2)'!$G$26:$G$45,$G28)</f>
        <v>0</v>
      </c>
      <c r="BD28" s="293">
        <f t="shared" ref="BD28:BD54" ca="1" si="8">IF(AI28=0,0,(AT28-AI28)/AI28*100)</f>
        <v>0</v>
      </c>
      <c r="BE28" s="293">
        <f t="shared" ref="BE28:BE54" ca="1" si="9">IF(AT28=0,0,(AU28-AT28)/AT28*100)</f>
        <v>0</v>
      </c>
      <c r="BF28" s="293">
        <f t="shared" ref="BF28:BF54" ca="1" si="10">IF(AU28=0,0,(AV28-AU28)/AU28*100)</f>
        <v>0</v>
      </c>
      <c r="BG28" s="293">
        <f t="shared" ref="BG28:BG54" ca="1" si="11">IF(AV28=0,0,(AW28-AV28)/AV28*100)</f>
        <v>0</v>
      </c>
      <c r="BH28" s="293">
        <f t="shared" ref="BH28:BH54" ca="1" si="12">IF(AW28=0,0,(AX28-AW28)/AW28*100)</f>
        <v>0</v>
      </c>
      <c r="BI28" s="293">
        <f t="shared" ref="BI28:BI54" ca="1" si="13">IF(AX28=0,0,(AY28-AX28)/AX28*100)</f>
        <v>0</v>
      </c>
      <c r="BJ28" s="293">
        <f t="shared" ref="BJ28:BJ54" ca="1" si="14">IF(AY28=0,0,(AZ28-AY28)/AY28*100)</f>
        <v>0</v>
      </c>
      <c r="BK28" s="293">
        <f t="shared" ref="BK28:BK54" ca="1" si="15">IF(AZ28=0,0,(BA28-AZ28)/AZ28*100)</f>
        <v>0</v>
      </c>
      <c r="BL28" s="293">
        <f t="shared" ref="BL28:BL54" ca="1" si="16">IF(BA28=0,0,(BB28-BA28)/BA28*100)</f>
        <v>0</v>
      </c>
      <c r="BM28" s="293">
        <f t="shared" ref="BM28:BM54" ca="1" si="17">IF(BB28=0,0,(BC28-BB28)/BB28*100)</f>
        <v>0</v>
      </c>
      <c r="BN28" s="22"/>
      <c r="BO28" s="22"/>
      <c r="BP28" s="22"/>
      <c r="BS28" s="944" t="s">
        <v>1371</v>
      </c>
    </row>
    <row r="29" spans="1:75" ht="16.7" hidden="1" customHeight="1">
      <c r="E29" s="623">
        <v>17.100000000000001</v>
      </c>
      <c r="F29" s="714">
        <f t="shared" ca="1" si="6"/>
        <v>0</v>
      </c>
      <c r="G29" s="130" t="s">
        <v>1154</v>
      </c>
      <c r="T29" s="634" t="b">
        <f>T28</f>
        <v>0</v>
      </c>
      <c r="X29" s="1405"/>
      <c r="Z29" s="1405"/>
      <c r="AB29" s="99" t="s">
        <v>343</v>
      </c>
      <c r="AC29" s="477" t="s">
        <v>1372</v>
      </c>
      <c r="AD29" s="387" t="s">
        <v>837</v>
      </c>
      <c r="AE29" s="469">
        <f ca="1">SUMIFS('Неподконтрольные (5.3)'!AE$26:AE$65,'Неподконтрольные (5.3)'!$F$26:$F$65,$F29,'Неподконтрольные (5.3)'!$G$26:$G$65,$G29)</f>
        <v>0</v>
      </c>
      <c r="AF29" s="469">
        <f ca="1">SUMIFS('Неподконтрольные (5.3)'!AF$26:AF$65,'Неподконтрольные (5.3)'!$F$26:$F$65,$F29,'Неподконтрольные (5.3)'!$G$26:$G$65,$G29)</f>
        <v>0</v>
      </c>
      <c r="AG29" s="469">
        <f ca="1">SUMIFS('Неподконтрольные (5.3)'!AG$26:AG$65,'Неподконтрольные (5.3)'!$F$26:$F$65,$F29,'Неподконтрольные (5.3)'!$G$26:$G$65,$G29)</f>
        <v>0</v>
      </c>
      <c r="AH29" s="293">
        <f t="shared" ca="1" si="7"/>
        <v>0</v>
      </c>
      <c r="AI29" s="469">
        <f ca="1">SUMIFS('Неподконтрольные (5.3)'!AI$26:AI$65,'Неподконтрольные (5.3)'!$F$26:$F$65,$F29,'Неподконтрольные (5.3)'!$G$26:$G$65,$G29)</f>
        <v>0</v>
      </c>
      <c r="AJ29" s="469">
        <f ca="1">SUMIFS('Неподконтрольные (5.3)'!AJ$26:AJ$65,'Неподконтрольные (5.3)'!$F$26:$F$65,$F29,'Неподконтрольные (5.3)'!$G$26:$G$65,$G29)</f>
        <v>0</v>
      </c>
      <c r="AK29" s="469">
        <f ca="1">SUMIFS('Неподконтрольные (5.3)'!AK$26:AK$65,'Неподконтрольные (5.3)'!$F$26:$F$65,$F29,'Неподконтрольные (5.3)'!$G$26:$G$65,$G29)</f>
        <v>0</v>
      </c>
      <c r="AL29" s="469">
        <f ca="1">SUMIFS('Неподконтрольные (5.3)'!AL$26:AL$65,'Неподконтрольные (5.3)'!$F$26:$F$65,$F29,'Неподконтрольные (5.3)'!$G$26:$G$65,$G29)</f>
        <v>0</v>
      </c>
      <c r="AM29" s="469">
        <f ca="1">SUMIFS('Неподконтрольные (5.3)'!AM$26:AM$65,'Неподконтрольные (5.3)'!$F$26:$F$65,$F29,'Неподконтрольные (5.3)'!$G$26:$G$65,$G29)</f>
        <v>0</v>
      </c>
      <c r="AN29" s="469">
        <f ca="1">SUMIFS('Неподконтрольные (5.3)'!AN$26:AN$65,'Неподконтрольные (5.3)'!$F$26:$F$65,$F29,'Неподконтрольные (5.3)'!$G$26:$G$65,$G29)</f>
        <v>0</v>
      </c>
      <c r="AO29" s="469">
        <f ca="1">SUMIFS('Неподконтрольные (5.3)'!AO$26:AO$65,'Неподконтрольные (5.3)'!$F$26:$F$65,$F29,'Неподконтрольные (5.3)'!$G$26:$G$65,$G29)</f>
        <v>0</v>
      </c>
      <c r="AP29" s="469">
        <f ca="1">SUMIFS('Неподконтрольные (5.3)'!AP$26:AP$65,'Неподконтрольные (5.3)'!$F$26:$F$65,$F29,'Неподконтрольные (5.3)'!$G$26:$G$65,$G29)</f>
        <v>0</v>
      </c>
      <c r="AQ29" s="469">
        <f ca="1">SUMIFS('Неподконтрольные (5.3)'!AQ$26:AQ$65,'Неподконтрольные (5.3)'!$F$26:$F$65,$F29,'Неподконтрольные (5.3)'!$G$26:$G$65,$G29)</f>
        <v>0</v>
      </c>
      <c r="AR29" s="469">
        <f ca="1">SUMIFS('Неподконтрольные (5.3)'!AR$26:AR$65,'Неподконтрольные (5.3)'!$F$26:$F$65,$F29,'Неподконтрольные (5.3)'!$G$26:$G$65,$G29)</f>
        <v>0</v>
      </c>
      <c r="AS29" s="469">
        <f ca="1">SUMIFS('Неподконтрольные (5.3)'!AS$26:AS$65,'Неподконтрольные (5.3)'!$F$26:$F$65,$F29,'Неподконтрольные (5.3)'!$G$26:$G$65,$G29)</f>
        <v>0</v>
      </c>
      <c r="AT29" s="469">
        <f ca="1">SUMIFS('Неподконтрольные (5.3)'!AT$26:AT$65,'Неподконтрольные (5.3)'!$F$26:$F$65,$F29,'Неподконтрольные (5.3)'!$G$26:$G$65,$G29)</f>
        <v>0</v>
      </c>
      <c r="AU29" s="469">
        <f ca="1">SUMIFS('Неподконтрольные (5.3)'!AU$26:AU$65,'Неподконтрольные (5.3)'!$F$26:$F$65,$F29,'Неподконтрольные (5.3)'!$G$26:$G$65,$G29)</f>
        <v>0</v>
      </c>
      <c r="AV29" s="469">
        <f ca="1">SUMIFS('Неподконтрольные (5.3)'!AV$26:AV$65,'Неподконтрольные (5.3)'!$F$26:$F$65,$F29,'Неподконтрольные (5.3)'!$G$26:$G$65,$G29)</f>
        <v>0</v>
      </c>
      <c r="AW29" s="469">
        <f ca="1">SUMIFS('Неподконтрольные (5.3)'!AW$26:AW$65,'Неподконтрольные (5.3)'!$F$26:$F$65,$F29,'Неподконтрольные (5.3)'!$G$26:$G$65,$G29)</f>
        <v>0</v>
      </c>
      <c r="AX29" s="469">
        <f ca="1">SUMIFS('Неподконтрольные (5.3)'!AX$26:AX$65,'Неподконтрольные (5.3)'!$F$26:$F$65,$F29,'Неподконтрольные (5.3)'!$G$26:$G$65,$G29)</f>
        <v>0</v>
      </c>
      <c r="AY29" s="469">
        <f ca="1">SUMIFS('Неподконтрольные (5.3)'!AY$26:AY$65,'Неподконтрольные (5.3)'!$F$26:$F$65,$F29,'Неподконтрольные (5.3)'!$G$26:$G$65,$G29)</f>
        <v>0</v>
      </c>
      <c r="AZ29" s="469">
        <f ca="1">SUMIFS('Неподконтрольные (5.3)'!AZ$26:AZ$65,'Неподконтрольные (5.3)'!$F$26:$F$65,$F29,'Неподконтрольные (5.3)'!$G$26:$G$65,$G29)</f>
        <v>0</v>
      </c>
      <c r="BA29" s="469">
        <f ca="1">SUMIFS('Неподконтрольные (5.3)'!BA$26:BA$65,'Неподконтрольные (5.3)'!$F$26:$F$65,$F29,'Неподконтрольные (5.3)'!$G$26:$G$65,$G29)</f>
        <v>0</v>
      </c>
      <c r="BB29" s="469">
        <f ca="1">SUMIFS('Неподконтрольные (5.3)'!BB$26:BB$65,'Неподконтрольные (5.3)'!$F$26:$F$65,$F29,'Неподконтрольные (5.3)'!$G$26:$G$65,$G29)</f>
        <v>0</v>
      </c>
      <c r="BC29" s="469">
        <f ca="1">SUMIFS('Неподконтрольные (5.3)'!BC$26:BC$65,'Неподконтрольные (5.3)'!$F$26:$F$65,$F29,'Неподконтрольные (5.3)'!$G$26:$G$65,$G29)</f>
        <v>0</v>
      </c>
      <c r="BD29" s="293">
        <f t="shared" ca="1" si="8"/>
        <v>0</v>
      </c>
      <c r="BE29" s="293">
        <f t="shared" ca="1" si="9"/>
        <v>0</v>
      </c>
      <c r="BF29" s="293">
        <f t="shared" ca="1" si="10"/>
        <v>0</v>
      </c>
      <c r="BG29" s="293">
        <f t="shared" ca="1" si="11"/>
        <v>0</v>
      </c>
      <c r="BH29" s="293">
        <f t="shared" ca="1" si="12"/>
        <v>0</v>
      </c>
      <c r="BI29" s="293">
        <f t="shared" ca="1" si="13"/>
        <v>0</v>
      </c>
      <c r="BJ29" s="293">
        <f t="shared" ca="1" si="14"/>
        <v>0</v>
      </c>
      <c r="BK29" s="293">
        <f t="shared" ca="1" si="15"/>
        <v>0</v>
      </c>
      <c r="BL29" s="293">
        <f t="shared" ca="1" si="16"/>
        <v>0</v>
      </c>
      <c r="BM29" s="293">
        <f t="shared" ca="1" si="17"/>
        <v>0</v>
      </c>
      <c r="BN29" s="22"/>
      <c r="BO29" s="22"/>
      <c r="BP29" s="22"/>
      <c r="BS29" s="944" t="s">
        <v>1373</v>
      </c>
    </row>
    <row r="30" spans="1:75" ht="25.7" hidden="1" customHeight="1">
      <c r="E30" s="623">
        <v>26.3</v>
      </c>
      <c r="F30" s="714">
        <f t="shared" ca="1" si="6"/>
        <v>0</v>
      </c>
      <c r="G30" s="130" t="s">
        <v>1197</v>
      </c>
      <c r="T30" s="634" t="b">
        <f>T29</f>
        <v>0</v>
      </c>
      <c r="X30" s="1405"/>
      <c r="Z30" s="1405"/>
      <c r="AB30" s="99" t="s">
        <v>520</v>
      </c>
      <c r="AC30" s="477" t="s">
        <v>1374</v>
      </c>
      <c r="AD30" s="387" t="s">
        <v>837</v>
      </c>
      <c r="AE30" s="469">
        <f ca="1">SUMIFS('Ресурсы (5.4)'!AE$26:AE$47,'Ресурсы (5.4)'!$F$26:$F$47,$F30,'Ресурсы (5.4)'!$G$26:$G$47,$G30)</f>
        <v>0</v>
      </c>
      <c r="AF30" s="469">
        <f ca="1">SUMIFS('Ресурсы (5.4)'!AF$26:AF$47,'Ресурсы (5.4)'!$F$26:$F$47,$F30,'Ресурсы (5.4)'!$G$26:$G$47,$G30)</f>
        <v>0</v>
      </c>
      <c r="AG30" s="469">
        <f ca="1">SUMIFS('Ресурсы (5.4)'!AG$26:AG$47,'Ресурсы (5.4)'!$F$26:$F$47,$F30,'Ресурсы (5.4)'!$G$26:$G$47,$G30)</f>
        <v>0</v>
      </c>
      <c r="AH30" s="293">
        <f t="shared" ca="1" si="7"/>
        <v>0</v>
      </c>
      <c r="AI30" s="469">
        <f ca="1">SUMIFS('Ресурсы (5.4)'!AI$26:AI$47,'Ресурсы (5.4)'!$F$26:$F$47,$F30,'Ресурсы (5.4)'!$G$26:$G$47,$G30)</f>
        <v>0</v>
      </c>
      <c r="AJ30" s="469">
        <f ca="1">SUMIFS('Ресурсы (5.4)'!AJ$26:AJ$47,'Ресурсы (5.4)'!$F$26:$F$47,$F30,'Ресурсы (5.4)'!$G$26:$G$47,$G30)</f>
        <v>0</v>
      </c>
      <c r="AK30" s="469">
        <f ca="1">SUMIFS('Ресурсы (5.4)'!AK$26:AK$47,'Ресурсы (5.4)'!$F$26:$F$47,$F30,'Ресурсы (5.4)'!$G$26:$G$47,$G30)</f>
        <v>0</v>
      </c>
      <c r="AL30" s="469">
        <f ca="1">SUMIFS('Ресурсы (5.4)'!AL$26:AL$47,'Ресурсы (5.4)'!$F$26:$F$47,$F30,'Ресурсы (5.4)'!$G$26:$G$47,$G30)</f>
        <v>0</v>
      </c>
      <c r="AM30" s="469">
        <f ca="1">SUMIFS('Ресурсы (5.4)'!AM$26:AM$47,'Ресурсы (5.4)'!$F$26:$F$47,$F30,'Ресурсы (5.4)'!$G$26:$G$47,$G30)</f>
        <v>0</v>
      </c>
      <c r="AN30" s="469">
        <f ca="1">SUMIFS('Ресурсы (5.4)'!AN$26:AN$47,'Ресурсы (5.4)'!$F$26:$F$47,$F30,'Ресурсы (5.4)'!$G$26:$G$47,$G30)</f>
        <v>0</v>
      </c>
      <c r="AO30" s="469">
        <f ca="1">SUMIFS('Ресурсы (5.4)'!AO$26:AO$47,'Ресурсы (5.4)'!$F$26:$F$47,$F30,'Ресурсы (5.4)'!$G$26:$G$47,$G30)</f>
        <v>0</v>
      </c>
      <c r="AP30" s="469">
        <f ca="1">SUMIFS('Ресурсы (5.4)'!AP$26:AP$47,'Ресурсы (5.4)'!$F$26:$F$47,$F30,'Ресурсы (5.4)'!$G$26:$G$47,$G30)</f>
        <v>0</v>
      </c>
      <c r="AQ30" s="469">
        <f ca="1">SUMIFS('Ресурсы (5.4)'!AQ$26:AQ$47,'Ресурсы (5.4)'!$F$26:$F$47,$F30,'Ресурсы (5.4)'!$G$26:$G$47,$G30)</f>
        <v>0</v>
      </c>
      <c r="AR30" s="469">
        <f ca="1">SUMIFS('Ресурсы (5.4)'!AR$26:AR$47,'Ресурсы (5.4)'!$F$26:$F$47,$F30,'Ресурсы (5.4)'!$G$26:$G$47,$G30)</f>
        <v>0</v>
      </c>
      <c r="AS30" s="469">
        <f ca="1">SUMIFS('Ресурсы (5.4)'!AS$26:AS$47,'Ресурсы (5.4)'!$F$26:$F$47,$F30,'Ресурсы (5.4)'!$G$26:$G$47,$G30)</f>
        <v>0</v>
      </c>
      <c r="AT30" s="469">
        <f ca="1">SUMIFS('Ресурсы (5.4)'!AT$26:AT$47,'Ресурсы (5.4)'!$F$26:$F$47,$F30,'Ресурсы (5.4)'!$G$26:$G$47,$G30)</f>
        <v>0</v>
      </c>
      <c r="AU30" s="469">
        <f ca="1">SUMIFS('Ресурсы (5.4)'!AU$26:AU$47,'Ресурсы (5.4)'!$F$26:$F$47,$F30,'Ресурсы (5.4)'!$G$26:$G$47,$G30)</f>
        <v>0</v>
      </c>
      <c r="AV30" s="469">
        <f ca="1">SUMIFS('Ресурсы (5.4)'!AV$26:AV$47,'Ресурсы (5.4)'!$F$26:$F$47,$F30,'Ресурсы (5.4)'!$G$26:$G$47,$G30)</f>
        <v>0</v>
      </c>
      <c r="AW30" s="469">
        <f ca="1">SUMIFS('Ресурсы (5.4)'!AW$26:AW$47,'Ресурсы (5.4)'!$F$26:$F$47,$F30,'Ресурсы (5.4)'!$G$26:$G$47,$G30)</f>
        <v>0</v>
      </c>
      <c r="AX30" s="469">
        <f ca="1">SUMIFS('Ресурсы (5.4)'!AX$26:AX$47,'Ресурсы (5.4)'!$F$26:$F$47,$F30,'Ресурсы (5.4)'!$G$26:$G$47,$G30)</f>
        <v>0</v>
      </c>
      <c r="AY30" s="469">
        <f ca="1">SUMIFS('Ресурсы (5.4)'!AY$26:AY$47,'Ресурсы (5.4)'!$F$26:$F$47,$F30,'Ресурсы (5.4)'!$G$26:$G$47,$G30)</f>
        <v>0</v>
      </c>
      <c r="AZ30" s="469">
        <f ca="1">SUMIFS('Ресурсы (5.4)'!AZ$26:AZ$47,'Ресурсы (5.4)'!$F$26:$F$47,$F30,'Ресурсы (5.4)'!$G$26:$G$47,$G30)</f>
        <v>0</v>
      </c>
      <c r="BA30" s="469">
        <f ca="1">SUMIFS('Ресурсы (5.4)'!BA$26:BA$47,'Ресурсы (5.4)'!$F$26:$F$47,$F30,'Ресурсы (5.4)'!$G$26:$G$47,$G30)</f>
        <v>0</v>
      </c>
      <c r="BB30" s="469">
        <f ca="1">SUMIFS('Ресурсы (5.4)'!BB$26:BB$47,'Ресурсы (5.4)'!$F$26:$F$47,$F30,'Ресурсы (5.4)'!$G$26:$G$47,$G30)</f>
        <v>0</v>
      </c>
      <c r="BC30" s="469">
        <f ca="1">SUMIFS('Ресурсы (5.4)'!BC$26:BC$47,'Ресурсы (5.4)'!$F$26:$F$47,$F30,'Ресурсы (5.4)'!$G$26:$G$47,$G30)</f>
        <v>0</v>
      </c>
      <c r="BD30" s="293">
        <f t="shared" ca="1" si="8"/>
        <v>0</v>
      </c>
      <c r="BE30" s="293">
        <f t="shared" ca="1" si="9"/>
        <v>0</v>
      </c>
      <c r="BF30" s="293">
        <f t="shared" ca="1" si="10"/>
        <v>0</v>
      </c>
      <c r="BG30" s="293">
        <f t="shared" ca="1" si="11"/>
        <v>0</v>
      </c>
      <c r="BH30" s="293">
        <f t="shared" ca="1" si="12"/>
        <v>0</v>
      </c>
      <c r="BI30" s="293">
        <f t="shared" ca="1" si="13"/>
        <v>0</v>
      </c>
      <c r="BJ30" s="293">
        <f t="shared" ca="1" si="14"/>
        <v>0</v>
      </c>
      <c r="BK30" s="293">
        <f t="shared" ca="1" si="15"/>
        <v>0</v>
      </c>
      <c r="BL30" s="293">
        <f t="shared" ca="1" si="16"/>
        <v>0</v>
      </c>
      <c r="BM30" s="293">
        <f t="shared" ca="1" si="17"/>
        <v>0</v>
      </c>
      <c r="BN30" s="22"/>
      <c r="BO30" s="22"/>
      <c r="BP30" s="22"/>
      <c r="BS30" s="944" t="s">
        <v>1375</v>
      </c>
    </row>
    <row r="31" spans="1:75" ht="16.7" hidden="1" customHeight="1">
      <c r="E31" s="623">
        <v>17.100000000000001</v>
      </c>
      <c r="F31" s="714">
        <f t="shared" ca="1" si="6"/>
        <v>0</v>
      </c>
      <c r="T31" s="634" t="b">
        <f t="shared" ref="T31:T42" ca="1" si="18">AND(F31&gt;0,method_reg="Метод обеспечения доходности инвестированного капитала")</f>
        <v>0</v>
      </c>
      <c r="X31" s="1405"/>
      <c r="Z31" s="1405"/>
      <c r="AB31" s="244" t="s">
        <v>527</v>
      </c>
      <c r="AC31" s="666" t="s">
        <v>1376</v>
      </c>
      <c r="AD31" s="242" t="s">
        <v>648</v>
      </c>
      <c r="AE31" s="60"/>
      <c r="AF31" s="60"/>
      <c r="AG31" s="60"/>
      <c r="AH31" s="293">
        <f t="shared" si="7"/>
        <v>0</v>
      </c>
      <c r="AI31" s="60"/>
      <c r="AJ31" s="471"/>
      <c r="AK31" s="1181"/>
      <c r="AL31" s="1181"/>
      <c r="AM31" s="60"/>
      <c r="AN31" s="60"/>
      <c r="AO31" s="60"/>
      <c r="AP31" s="60"/>
      <c r="AQ31" s="60"/>
      <c r="AR31" s="60"/>
      <c r="AS31" s="60"/>
      <c r="AT31" s="471"/>
      <c r="AU31" s="1181"/>
      <c r="AV31" s="1181"/>
      <c r="AW31" s="60"/>
      <c r="AX31" s="60"/>
      <c r="AY31" s="60"/>
      <c r="AZ31" s="60"/>
      <c r="BA31" s="60"/>
      <c r="BB31" s="60"/>
      <c r="BC31" s="60"/>
      <c r="BD31" s="293">
        <f t="shared" si="8"/>
        <v>0</v>
      </c>
      <c r="BE31" s="293">
        <f t="shared" si="9"/>
        <v>0</v>
      </c>
      <c r="BF31" s="293">
        <f t="shared" si="10"/>
        <v>0</v>
      </c>
      <c r="BG31" s="293">
        <f t="shared" si="11"/>
        <v>0</v>
      </c>
      <c r="BH31" s="293">
        <f t="shared" si="12"/>
        <v>0</v>
      </c>
      <c r="BI31" s="293">
        <f t="shared" si="13"/>
        <v>0</v>
      </c>
      <c r="BJ31" s="293">
        <f t="shared" si="14"/>
        <v>0</v>
      </c>
      <c r="BK31" s="293">
        <f t="shared" si="15"/>
        <v>0</v>
      </c>
      <c r="BL31" s="293">
        <f t="shared" si="16"/>
        <v>0</v>
      </c>
      <c r="BM31" s="293">
        <f t="shared" si="17"/>
        <v>0</v>
      </c>
      <c r="BN31" s="22"/>
      <c r="BO31" s="22"/>
      <c r="BP31" s="22"/>
      <c r="BS31" s="944" t="s">
        <v>1377</v>
      </c>
    </row>
    <row r="32" spans="1:75" ht="16.7" hidden="1" customHeight="1">
      <c r="E32" s="623">
        <v>17.100000000000001</v>
      </c>
      <c r="F32" s="714">
        <f t="shared" ca="1" si="6"/>
        <v>0</v>
      </c>
      <c r="T32" s="634" t="b">
        <f t="shared" ca="1" si="18"/>
        <v>0</v>
      </c>
      <c r="X32" s="1405"/>
      <c r="Z32" s="1405"/>
      <c r="AB32" s="244" t="s">
        <v>530</v>
      </c>
      <c r="AC32" s="245" t="s">
        <v>1378</v>
      </c>
      <c r="AD32" s="242" t="s">
        <v>648</v>
      </c>
      <c r="AE32" s="60"/>
      <c r="AF32" s="60"/>
      <c r="AG32" s="60"/>
      <c r="AH32" s="293">
        <f t="shared" si="7"/>
        <v>0</v>
      </c>
      <c r="AI32" s="60"/>
      <c r="AJ32" s="471"/>
      <c r="AK32" s="1181"/>
      <c r="AL32" s="1181"/>
      <c r="AM32" s="60"/>
      <c r="AN32" s="60"/>
      <c r="AO32" s="60"/>
      <c r="AP32" s="60"/>
      <c r="AQ32" s="60"/>
      <c r="AR32" s="60"/>
      <c r="AS32" s="60"/>
      <c r="AT32" s="471"/>
      <c r="AU32" s="1181"/>
      <c r="AV32" s="1181"/>
      <c r="AW32" s="60"/>
      <c r="AX32" s="60"/>
      <c r="AY32" s="60"/>
      <c r="AZ32" s="60"/>
      <c r="BA32" s="60"/>
      <c r="BB32" s="60"/>
      <c r="BC32" s="60"/>
      <c r="BD32" s="293">
        <f t="shared" si="8"/>
        <v>0</v>
      </c>
      <c r="BE32" s="293">
        <f t="shared" si="9"/>
        <v>0</v>
      </c>
      <c r="BF32" s="293">
        <f t="shared" si="10"/>
        <v>0</v>
      </c>
      <c r="BG32" s="293">
        <f t="shared" si="11"/>
        <v>0</v>
      </c>
      <c r="BH32" s="293">
        <f t="shared" si="12"/>
        <v>0</v>
      </c>
      <c r="BI32" s="293">
        <f t="shared" si="13"/>
        <v>0</v>
      </c>
      <c r="BJ32" s="293">
        <f t="shared" si="14"/>
        <v>0</v>
      </c>
      <c r="BK32" s="293">
        <f t="shared" si="15"/>
        <v>0</v>
      </c>
      <c r="BL32" s="293">
        <f t="shared" si="16"/>
        <v>0</v>
      </c>
      <c r="BM32" s="293">
        <f t="shared" si="17"/>
        <v>0</v>
      </c>
      <c r="BN32" s="22"/>
      <c r="BO32" s="22"/>
      <c r="BP32" s="22"/>
      <c r="BS32" s="944" t="s">
        <v>1379</v>
      </c>
    </row>
    <row r="33" spans="5:71" ht="16.7" hidden="1" customHeight="1">
      <c r="E33" s="623">
        <v>17.100000000000001</v>
      </c>
      <c r="F33" s="714">
        <f t="shared" ca="1" si="6"/>
        <v>0</v>
      </c>
      <c r="T33" s="634" t="b">
        <f t="shared" ca="1" si="18"/>
        <v>0</v>
      </c>
      <c r="X33" s="1405"/>
      <c r="Z33" s="1405"/>
      <c r="AB33" s="244" t="s">
        <v>532</v>
      </c>
      <c r="AC33" s="245" t="s">
        <v>1380</v>
      </c>
      <c r="AD33" s="242" t="s">
        <v>1381</v>
      </c>
      <c r="AE33" s="60"/>
      <c r="AF33" s="60"/>
      <c r="AG33" s="60"/>
      <c r="AH33" s="293">
        <f t="shared" si="7"/>
        <v>0</v>
      </c>
      <c r="AI33" s="60"/>
      <c r="AJ33" s="471"/>
      <c r="AK33" s="1181"/>
      <c r="AL33" s="1181"/>
      <c r="AM33" s="60"/>
      <c r="AN33" s="60"/>
      <c r="AO33" s="60"/>
      <c r="AP33" s="60"/>
      <c r="AQ33" s="60"/>
      <c r="AR33" s="60"/>
      <c r="AS33" s="60"/>
      <c r="AT33" s="471"/>
      <c r="AU33" s="1181"/>
      <c r="AV33" s="1181"/>
      <c r="AW33" s="60"/>
      <c r="AX33" s="60"/>
      <c r="AY33" s="60"/>
      <c r="AZ33" s="60"/>
      <c r="BA33" s="60"/>
      <c r="BB33" s="60"/>
      <c r="BC33" s="60"/>
      <c r="BD33" s="293">
        <f t="shared" si="8"/>
        <v>0</v>
      </c>
      <c r="BE33" s="293">
        <f t="shared" si="9"/>
        <v>0</v>
      </c>
      <c r="BF33" s="293">
        <f t="shared" si="10"/>
        <v>0</v>
      </c>
      <c r="BG33" s="293">
        <f t="shared" si="11"/>
        <v>0</v>
      </c>
      <c r="BH33" s="293">
        <f t="shared" si="12"/>
        <v>0</v>
      </c>
      <c r="BI33" s="293">
        <f t="shared" si="13"/>
        <v>0</v>
      </c>
      <c r="BJ33" s="293">
        <f t="shared" si="14"/>
        <v>0</v>
      </c>
      <c r="BK33" s="293">
        <f t="shared" si="15"/>
        <v>0</v>
      </c>
      <c r="BL33" s="293">
        <f t="shared" si="16"/>
        <v>0</v>
      </c>
      <c r="BM33" s="293">
        <f t="shared" si="17"/>
        <v>0</v>
      </c>
      <c r="BN33" s="22"/>
      <c r="BO33" s="22"/>
      <c r="BP33" s="22"/>
      <c r="BS33" s="944" t="s">
        <v>1382</v>
      </c>
    </row>
    <row r="34" spans="5:71" ht="16.7" hidden="1" customHeight="1">
      <c r="E34" s="623">
        <v>17.100000000000001</v>
      </c>
      <c r="F34" s="714">
        <f t="shared" ca="1" si="6"/>
        <v>0</v>
      </c>
      <c r="T34" s="634" t="b">
        <f t="shared" ca="1" si="18"/>
        <v>0</v>
      </c>
      <c r="X34" s="1405"/>
      <c r="Z34" s="1405"/>
      <c r="AB34" s="244" t="s">
        <v>534</v>
      </c>
      <c r="AC34" s="666" t="s">
        <v>1383</v>
      </c>
      <c r="AD34" s="242" t="s">
        <v>648</v>
      </c>
      <c r="AE34" s="60"/>
      <c r="AF34" s="60"/>
      <c r="AG34" s="60"/>
      <c r="AH34" s="293">
        <f t="shared" si="7"/>
        <v>0</v>
      </c>
      <c r="AI34" s="60"/>
      <c r="AJ34" s="471"/>
      <c r="AK34" s="1181"/>
      <c r="AL34" s="1181"/>
      <c r="AM34" s="60"/>
      <c r="AN34" s="60"/>
      <c r="AO34" s="60"/>
      <c r="AP34" s="60"/>
      <c r="AQ34" s="60"/>
      <c r="AR34" s="60"/>
      <c r="AS34" s="60"/>
      <c r="AT34" s="471"/>
      <c r="AU34" s="1181"/>
      <c r="AV34" s="1181"/>
      <c r="AW34" s="60"/>
      <c r="AX34" s="60"/>
      <c r="AY34" s="60"/>
      <c r="AZ34" s="60"/>
      <c r="BA34" s="60"/>
      <c r="BB34" s="60"/>
      <c r="BC34" s="60"/>
      <c r="BD34" s="293">
        <f t="shared" si="8"/>
        <v>0</v>
      </c>
      <c r="BE34" s="293">
        <f t="shared" si="9"/>
        <v>0</v>
      </c>
      <c r="BF34" s="293">
        <f t="shared" si="10"/>
        <v>0</v>
      </c>
      <c r="BG34" s="293">
        <f t="shared" si="11"/>
        <v>0</v>
      </c>
      <c r="BH34" s="293">
        <f t="shared" si="12"/>
        <v>0</v>
      </c>
      <c r="BI34" s="293">
        <f t="shared" si="13"/>
        <v>0</v>
      </c>
      <c r="BJ34" s="293">
        <f t="shared" si="14"/>
        <v>0</v>
      </c>
      <c r="BK34" s="293">
        <f t="shared" si="15"/>
        <v>0</v>
      </c>
      <c r="BL34" s="293">
        <f t="shared" si="16"/>
        <v>0</v>
      </c>
      <c r="BM34" s="293">
        <f t="shared" si="17"/>
        <v>0</v>
      </c>
      <c r="BN34" s="22"/>
      <c r="BO34" s="22"/>
      <c r="BP34" s="22"/>
      <c r="BS34" s="944" t="s">
        <v>1384</v>
      </c>
    </row>
    <row r="35" spans="5:71" ht="16.7" hidden="1" customHeight="1">
      <c r="E35" s="623">
        <v>17.100000000000001</v>
      </c>
      <c r="F35" s="714">
        <f t="shared" ca="1" si="6"/>
        <v>0</v>
      </c>
      <c r="T35" s="634" t="b">
        <f t="shared" ca="1" si="18"/>
        <v>0</v>
      </c>
      <c r="X35" s="1405"/>
      <c r="Z35" s="1405"/>
      <c r="AB35" s="244" t="s">
        <v>537</v>
      </c>
      <c r="AC35" s="245" t="s">
        <v>1385</v>
      </c>
      <c r="AD35" s="242" t="s">
        <v>648</v>
      </c>
      <c r="AE35" s="60"/>
      <c r="AF35" s="60"/>
      <c r="AG35" s="60"/>
      <c r="AH35" s="293">
        <f t="shared" si="7"/>
        <v>0</v>
      </c>
      <c r="AI35" s="60"/>
      <c r="AJ35" s="471"/>
      <c r="AK35" s="1181"/>
      <c r="AL35" s="1181"/>
      <c r="AM35" s="60"/>
      <c r="AN35" s="60"/>
      <c r="AO35" s="60"/>
      <c r="AP35" s="60"/>
      <c r="AQ35" s="60"/>
      <c r="AR35" s="60"/>
      <c r="AS35" s="60"/>
      <c r="AT35" s="471"/>
      <c r="AU35" s="1181"/>
      <c r="AV35" s="1181"/>
      <c r="AW35" s="60"/>
      <c r="AX35" s="60"/>
      <c r="AY35" s="60"/>
      <c r="AZ35" s="60"/>
      <c r="BA35" s="60"/>
      <c r="BB35" s="60"/>
      <c r="BC35" s="60"/>
      <c r="BD35" s="293">
        <f t="shared" si="8"/>
        <v>0</v>
      </c>
      <c r="BE35" s="293">
        <f t="shared" si="9"/>
        <v>0</v>
      </c>
      <c r="BF35" s="293">
        <f t="shared" si="10"/>
        <v>0</v>
      </c>
      <c r="BG35" s="293">
        <f t="shared" si="11"/>
        <v>0</v>
      </c>
      <c r="BH35" s="293">
        <f t="shared" si="12"/>
        <v>0</v>
      </c>
      <c r="BI35" s="293">
        <f t="shared" si="13"/>
        <v>0</v>
      </c>
      <c r="BJ35" s="293">
        <f t="shared" si="14"/>
        <v>0</v>
      </c>
      <c r="BK35" s="293">
        <f t="shared" si="15"/>
        <v>0</v>
      </c>
      <c r="BL35" s="293">
        <f t="shared" si="16"/>
        <v>0</v>
      </c>
      <c r="BM35" s="293">
        <f t="shared" si="17"/>
        <v>0</v>
      </c>
      <c r="BN35" s="22"/>
      <c r="BO35" s="22"/>
      <c r="BP35" s="22"/>
      <c r="BS35" s="944" t="s">
        <v>1386</v>
      </c>
    </row>
    <row r="36" spans="5:71" ht="16.7" hidden="1" customHeight="1">
      <c r="E36" s="623">
        <v>17.100000000000001</v>
      </c>
      <c r="F36" s="714">
        <f t="shared" ca="1" si="6"/>
        <v>0</v>
      </c>
      <c r="T36" s="634" t="b">
        <f t="shared" ca="1" si="18"/>
        <v>0</v>
      </c>
      <c r="X36" s="1405"/>
      <c r="Z36" s="1405"/>
      <c r="AB36" s="244" t="s">
        <v>539</v>
      </c>
      <c r="AC36" s="245" t="s">
        <v>1387</v>
      </c>
      <c r="AD36" s="242" t="s">
        <v>388</v>
      </c>
      <c r="AE36" s="60"/>
      <c r="AF36" s="60"/>
      <c r="AG36" s="60"/>
      <c r="AH36" s="293">
        <f t="shared" si="7"/>
        <v>0</v>
      </c>
      <c r="AI36" s="60"/>
      <c r="AJ36" s="471"/>
      <c r="AK36" s="1181"/>
      <c r="AL36" s="1181"/>
      <c r="AM36" s="60"/>
      <c r="AN36" s="60"/>
      <c r="AO36" s="60"/>
      <c r="AP36" s="60"/>
      <c r="AQ36" s="60"/>
      <c r="AR36" s="60"/>
      <c r="AS36" s="60"/>
      <c r="AT36" s="471"/>
      <c r="AU36" s="1181"/>
      <c r="AV36" s="1181"/>
      <c r="AW36" s="60"/>
      <c r="AX36" s="60"/>
      <c r="AY36" s="60"/>
      <c r="AZ36" s="60"/>
      <c r="BA36" s="60"/>
      <c r="BB36" s="60"/>
      <c r="BC36" s="60"/>
      <c r="BD36" s="293">
        <f t="shared" si="8"/>
        <v>0</v>
      </c>
      <c r="BE36" s="293">
        <f t="shared" si="9"/>
        <v>0</v>
      </c>
      <c r="BF36" s="293">
        <f t="shared" si="10"/>
        <v>0</v>
      </c>
      <c r="BG36" s="293">
        <f t="shared" si="11"/>
        <v>0</v>
      </c>
      <c r="BH36" s="293">
        <f t="shared" si="12"/>
        <v>0</v>
      </c>
      <c r="BI36" s="293">
        <f t="shared" si="13"/>
        <v>0</v>
      </c>
      <c r="BJ36" s="293">
        <f t="shared" si="14"/>
        <v>0</v>
      </c>
      <c r="BK36" s="293">
        <f t="shared" si="15"/>
        <v>0</v>
      </c>
      <c r="BL36" s="293">
        <f t="shared" si="16"/>
        <v>0</v>
      </c>
      <c r="BM36" s="293">
        <f t="shared" si="17"/>
        <v>0</v>
      </c>
      <c r="BN36" s="22"/>
      <c r="BO36" s="22"/>
      <c r="BP36" s="22"/>
      <c r="BS36" s="944" t="s">
        <v>1388</v>
      </c>
    </row>
    <row r="37" spans="5:71" ht="16.7" hidden="1" customHeight="1">
      <c r="E37" s="623">
        <v>17.100000000000001</v>
      </c>
      <c r="F37" s="714">
        <f t="shared" ca="1" si="6"/>
        <v>0</v>
      </c>
      <c r="T37" s="634" t="b">
        <f t="shared" ca="1" si="18"/>
        <v>0</v>
      </c>
      <c r="X37" s="1405"/>
      <c r="Z37" s="1405"/>
      <c r="AB37" s="244" t="s">
        <v>1110</v>
      </c>
      <c r="AC37" s="67" t="s">
        <v>1389</v>
      </c>
      <c r="AD37" s="242" t="s">
        <v>648</v>
      </c>
      <c r="AE37" s="60"/>
      <c r="AF37" s="60"/>
      <c r="AG37" s="60"/>
      <c r="AH37" s="293">
        <f t="shared" si="7"/>
        <v>0</v>
      </c>
      <c r="AI37" s="60"/>
      <c r="AJ37" s="471"/>
      <c r="AK37" s="1181"/>
      <c r="AL37" s="1181"/>
      <c r="AM37" s="60"/>
      <c r="AN37" s="60"/>
      <c r="AO37" s="60"/>
      <c r="AP37" s="60"/>
      <c r="AQ37" s="60"/>
      <c r="AR37" s="60"/>
      <c r="AS37" s="60"/>
      <c r="AT37" s="471"/>
      <c r="AU37" s="1181"/>
      <c r="AV37" s="1181"/>
      <c r="AW37" s="60"/>
      <c r="AX37" s="60"/>
      <c r="AY37" s="60"/>
      <c r="AZ37" s="60"/>
      <c r="BA37" s="60"/>
      <c r="BB37" s="60"/>
      <c r="BC37" s="60"/>
      <c r="BD37" s="293">
        <f t="shared" si="8"/>
        <v>0</v>
      </c>
      <c r="BE37" s="293">
        <f t="shared" si="9"/>
        <v>0</v>
      </c>
      <c r="BF37" s="293">
        <f t="shared" si="10"/>
        <v>0</v>
      </c>
      <c r="BG37" s="293">
        <f t="shared" si="11"/>
        <v>0</v>
      </c>
      <c r="BH37" s="293">
        <f t="shared" si="12"/>
        <v>0</v>
      </c>
      <c r="BI37" s="293">
        <f t="shared" si="13"/>
        <v>0</v>
      </c>
      <c r="BJ37" s="293">
        <f t="shared" si="14"/>
        <v>0</v>
      </c>
      <c r="BK37" s="293">
        <f t="shared" si="15"/>
        <v>0</v>
      </c>
      <c r="BL37" s="293">
        <f t="shared" si="16"/>
        <v>0</v>
      </c>
      <c r="BM37" s="293">
        <f t="shared" si="17"/>
        <v>0</v>
      </c>
      <c r="BN37" s="22"/>
      <c r="BO37" s="22"/>
      <c r="BP37" s="22"/>
      <c r="BS37" s="944" t="s">
        <v>1390</v>
      </c>
    </row>
    <row r="38" spans="5:71" ht="16.7" hidden="1" customHeight="1">
      <c r="E38" s="623">
        <v>17.100000000000001</v>
      </c>
      <c r="F38" s="714">
        <f t="shared" ca="1" si="6"/>
        <v>0</v>
      </c>
      <c r="T38" s="634" t="b">
        <f t="shared" ca="1" si="18"/>
        <v>0</v>
      </c>
      <c r="X38" s="1405"/>
      <c r="Z38" s="1405"/>
      <c r="AB38" s="244" t="s">
        <v>1113</v>
      </c>
      <c r="AC38" s="67" t="s">
        <v>1391</v>
      </c>
      <c r="AD38" s="242" t="s">
        <v>648</v>
      </c>
      <c r="AE38" s="60"/>
      <c r="AF38" s="60"/>
      <c r="AG38" s="60"/>
      <c r="AH38" s="293">
        <f t="shared" si="7"/>
        <v>0</v>
      </c>
      <c r="AI38" s="60"/>
      <c r="AJ38" s="471"/>
      <c r="AK38" s="1181"/>
      <c r="AL38" s="1181"/>
      <c r="AM38" s="60"/>
      <c r="AN38" s="60"/>
      <c r="AO38" s="60"/>
      <c r="AP38" s="60"/>
      <c r="AQ38" s="60"/>
      <c r="AR38" s="60"/>
      <c r="AS38" s="60"/>
      <c r="AT38" s="471"/>
      <c r="AU38" s="1181"/>
      <c r="AV38" s="1181"/>
      <c r="AW38" s="60"/>
      <c r="AX38" s="60"/>
      <c r="AY38" s="60"/>
      <c r="AZ38" s="60"/>
      <c r="BA38" s="60"/>
      <c r="BB38" s="60"/>
      <c r="BC38" s="60"/>
      <c r="BD38" s="293">
        <f t="shared" si="8"/>
        <v>0</v>
      </c>
      <c r="BE38" s="293">
        <f t="shared" si="9"/>
        <v>0</v>
      </c>
      <c r="BF38" s="293">
        <f t="shared" si="10"/>
        <v>0</v>
      </c>
      <c r="BG38" s="293">
        <f t="shared" si="11"/>
        <v>0</v>
      </c>
      <c r="BH38" s="293">
        <f t="shared" si="12"/>
        <v>0</v>
      </c>
      <c r="BI38" s="293">
        <f t="shared" si="13"/>
        <v>0</v>
      </c>
      <c r="BJ38" s="293">
        <f t="shared" si="14"/>
        <v>0</v>
      </c>
      <c r="BK38" s="293">
        <f t="shared" si="15"/>
        <v>0</v>
      </c>
      <c r="BL38" s="293">
        <f t="shared" si="16"/>
        <v>0</v>
      </c>
      <c r="BM38" s="293">
        <f t="shared" si="17"/>
        <v>0</v>
      </c>
      <c r="BN38" s="22"/>
      <c r="BO38" s="22"/>
      <c r="BP38" s="22"/>
      <c r="BS38" s="944" t="s">
        <v>1392</v>
      </c>
    </row>
    <row r="39" spans="5:71" ht="16.7" hidden="1" customHeight="1">
      <c r="E39" s="623">
        <v>17.100000000000001</v>
      </c>
      <c r="F39" s="714">
        <f t="shared" ca="1" si="6"/>
        <v>0</v>
      </c>
      <c r="T39" s="634" t="b">
        <f t="shared" ca="1" si="18"/>
        <v>0</v>
      </c>
      <c r="X39" s="1405"/>
      <c r="Z39" s="1405"/>
      <c r="AB39" s="244" t="s">
        <v>1393</v>
      </c>
      <c r="AC39" s="68" t="s">
        <v>1394</v>
      </c>
      <c r="AD39" s="242" t="s">
        <v>388</v>
      </c>
      <c r="AE39" s="60"/>
      <c r="AF39" s="60"/>
      <c r="AG39" s="60"/>
      <c r="AH39" s="293">
        <f t="shared" si="7"/>
        <v>0</v>
      </c>
      <c r="AI39" s="60"/>
      <c r="AJ39" s="471"/>
      <c r="AK39" s="1181"/>
      <c r="AL39" s="1181"/>
      <c r="AM39" s="60"/>
      <c r="AN39" s="60"/>
      <c r="AO39" s="60"/>
      <c r="AP39" s="60"/>
      <c r="AQ39" s="60"/>
      <c r="AR39" s="60"/>
      <c r="AS39" s="60"/>
      <c r="AT39" s="471"/>
      <c r="AU39" s="1181"/>
      <c r="AV39" s="1181"/>
      <c r="AW39" s="60"/>
      <c r="AX39" s="60"/>
      <c r="AY39" s="60"/>
      <c r="AZ39" s="60"/>
      <c r="BA39" s="60"/>
      <c r="BB39" s="60"/>
      <c r="BC39" s="60"/>
      <c r="BD39" s="293">
        <f t="shared" si="8"/>
        <v>0</v>
      </c>
      <c r="BE39" s="293">
        <f t="shared" si="9"/>
        <v>0</v>
      </c>
      <c r="BF39" s="293">
        <f t="shared" si="10"/>
        <v>0</v>
      </c>
      <c r="BG39" s="293">
        <f t="shared" si="11"/>
        <v>0</v>
      </c>
      <c r="BH39" s="293">
        <f t="shared" si="12"/>
        <v>0</v>
      </c>
      <c r="BI39" s="293">
        <f t="shared" si="13"/>
        <v>0</v>
      </c>
      <c r="BJ39" s="293">
        <f t="shared" si="14"/>
        <v>0</v>
      </c>
      <c r="BK39" s="293">
        <f t="shared" si="15"/>
        <v>0</v>
      </c>
      <c r="BL39" s="293">
        <f t="shared" si="16"/>
        <v>0</v>
      </c>
      <c r="BM39" s="293">
        <f t="shared" si="17"/>
        <v>0</v>
      </c>
      <c r="BN39" s="22"/>
      <c r="BO39" s="22"/>
      <c r="BP39" s="22"/>
      <c r="BS39" s="944" t="s">
        <v>1395</v>
      </c>
    </row>
    <row r="40" spans="5:71" ht="16.7" hidden="1" customHeight="1">
      <c r="E40" s="623">
        <v>17.100000000000001</v>
      </c>
      <c r="F40" s="714">
        <f t="shared" ca="1" si="6"/>
        <v>0</v>
      </c>
      <c r="T40" s="634" t="b">
        <f t="shared" ca="1" si="18"/>
        <v>0</v>
      </c>
      <c r="X40" s="1405"/>
      <c r="Z40" s="1405"/>
      <c r="AB40" s="244" t="s">
        <v>1116</v>
      </c>
      <c r="AC40" s="67" t="s">
        <v>1396</v>
      </c>
      <c r="AD40" s="242" t="s">
        <v>388</v>
      </c>
      <c r="AE40" s="60"/>
      <c r="AF40" s="60"/>
      <c r="AG40" s="60"/>
      <c r="AH40" s="293">
        <f t="shared" si="7"/>
        <v>0</v>
      </c>
      <c r="AI40" s="60"/>
      <c r="AJ40" s="471"/>
      <c r="AK40" s="1181"/>
      <c r="AL40" s="1181"/>
      <c r="AM40" s="60"/>
      <c r="AN40" s="60"/>
      <c r="AO40" s="60"/>
      <c r="AP40" s="60"/>
      <c r="AQ40" s="60"/>
      <c r="AR40" s="60"/>
      <c r="AS40" s="60"/>
      <c r="AT40" s="471"/>
      <c r="AU40" s="1181"/>
      <c r="AV40" s="1181"/>
      <c r="AW40" s="60"/>
      <c r="AX40" s="60"/>
      <c r="AY40" s="60"/>
      <c r="AZ40" s="60"/>
      <c r="BA40" s="60"/>
      <c r="BB40" s="60"/>
      <c r="BC40" s="60"/>
      <c r="BD40" s="293">
        <f t="shared" si="8"/>
        <v>0</v>
      </c>
      <c r="BE40" s="293">
        <f t="shared" si="9"/>
        <v>0</v>
      </c>
      <c r="BF40" s="293">
        <f t="shared" si="10"/>
        <v>0</v>
      </c>
      <c r="BG40" s="293">
        <f t="shared" si="11"/>
        <v>0</v>
      </c>
      <c r="BH40" s="293">
        <f t="shared" si="12"/>
        <v>0</v>
      </c>
      <c r="BI40" s="293">
        <f t="shared" si="13"/>
        <v>0</v>
      </c>
      <c r="BJ40" s="293">
        <f t="shared" si="14"/>
        <v>0</v>
      </c>
      <c r="BK40" s="293">
        <f t="shared" si="15"/>
        <v>0</v>
      </c>
      <c r="BL40" s="293">
        <f t="shared" si="16"/>
        <v>0</v>
      </c>
      <c r="BM40" s="293">
        <f t="shared" si="17"/>
        <v>0</v>
      </c>
      <c r="BN40" s="22"/>
      <c r="BO40" s="22"/>
      <c r="BP40" s="22"/>
      <c r="BS40" s="944" t="s">
        <v>1397</v>
      </c>
    </row>
    <row r="41" spans="5:71" ht="16.7" hidden="1" customHeight="1">
      <c r="E41" s="623">
        <v>17.100000000000001</v>
      </c>
      <c r="F41" s="714">
        <f t="shared" ca="1" si="6"/>
        <v>0</v>
      </c>
      <c r="T41" s="634" t="b">
        <f t="shared" ca="1" si="18"/>
        <v>0</v>
      </c>
      <c r="X41" s="1405"/>
      <c r="Z41" s="1405"/>
      <c r="AB41" s="244" t="s">
        <v>1398</v>
      </c>
      <c r="AC41" s="68" t="s">
        <v>1399</v>
      </c>
      <c r="AD41" s="242" t="s">
        <v>388</v>
      </c>
      <c r="AE41" s="60"/>
      <c r="AF41" s="60"/>
      <c r="AG41" s="60"/>
      <c r="AH41" s="293">
        <f t="shared" si="7"/>
        <v>0</v>
      </c>
      <c r="AI41" s="60"/>
      <c r="AJ41" s="471"/>
      <c r="AK41" s="1181"/>
      <c r="AL41" s="1181"/>
      <c r="AM41" s="60"/>
      <c r="AN41" s="60"/>
      <c r="AO41" s="60"/>
      <c r="AP41" s="60"/>
      <c r="AQ41" s="60"/>
      <c r="AR41" s="60"/>
      <c r="AS41" s="60"/>
      <c r="AT41" s="471"/>
      <c r="AU41" s="1181"/>
      <c r="AV41" s="1181"/>
      <c r="AW41" s="60"/>
      <c r="AX41" s="60"/>
      <c r="AY41" s="60"/>
      <c r="AZ41" s="60"/>
      <c r="BA41" s="60"/>
      <c r="BB41" s="60"/>
      <c r="BC41" s="60"/>
      <c r="BD41" s="293">
        <f t="shared" si="8"/>
        <v>0</v>
      </c>
      <c r="BE41" s="293">
        <f t="shared" si="9"/>
        <v>0</v>
      </c>
      <c r="BF41" s="293">
        <f t="shared" si="10"/>
        <v>0</v>
      </c>
      <c r="BG41" s="293">
        <f t="shared" si="11"/>
        <v>0</v>
      </c>
      <c r="BH41" s="293">
        <f t="shared" si="12"/>
        <v>0</v>
      </c>
      <c r="BI41" s="293">
        <f t="shared" si="13"/>
        <v>0</v>
      </c>
      <c r="BJ41" s="293">
        <f t="shared" si="14"/>
        <v>0</v>
      </c>
      <c r="BK41" s="293">
        <f t="shared" si="15"/>
        <v>0</v>
      </c>
      <c r="BL41" s="293">
        <f t="shared" si="16"/>
        <v>0</v>
      </c>
      <c r="BM41" s="293">
        <f t="shared" si="17"/>
        <v>0</v>
      </c>
      <c r="BN41" s="22"/>
      <c r="BO41" s="22"/>
      <c r="BP41" s="22"/>
      <c r="BS41" s="944" t="s">
        <v>1400</v>
      </c>
    </row>
    <row r="42" spans="5:71" ht="16.7" hidden="1" customHeight="1">
      <c r="E42" s="623">
        <v>17.100000000000001</v>
      </c>
      <c r="F42" s="714">
        <f t="shared" ca="1" si="6"/>
        <v>0</v>
      </c>
      <c r="T42" s="634" t="b">
        <f t="shared" ca="1" si="18"/>
        <v>0</v>
      </c>
      <c r="X42" s="1405"/>
      <c r="Z42" s="1405"/>
      <c r="AB42" s="244" t="s">
        <v>1401</v>
      </c>
      <c r="AC42" s="68" t="s">
        <v>1402</v>
      </c>
      <c r="AD42" s="242" t="s">
        <v>388</v>
      </c>
      <c r="AE42" s="60"/>
      <c r="AF42" s="60"/>
      <c r="AG42" s="60"/>
      <c r="AH42" s="293">
        <f t="shared" si="7"/>
        <v>0</v>
      </c>
      <c r="AI42" s="60"/>
      <c r="AJ42" s="471"/>
      <c r="AK42" s="1181"/>
      <c r="AL42" s="1181"/>
      <c r="AM42" s="60"/>
      <c r="AN42" s="60"/>
      <c r="AO42" s="60"/>
      <c r="AP42" s="60"/>
      <c r="AQ42" s="60"/>
      <c r="AR42" s="60"/>
      <c r="AS42" s="60"/>
      <c r="AT42" s="471"/>
      <c r="AU42" s="1181"/>
      <c r="AV42" s="1181"/>
      <c r="AW42" s="60"/>
      <c r="AX42" s="60"/>
      <c r="AY42" s="60"/>
      <c r="AZ42" s="60"/>
      <c r="BA42" s="60"/>
      <c r="BB42" s="60"/>
      <c r="BC42" s="60"/>
      <c r="BD42" s="293">
        <f t="shared" si="8"/>
        <v>0</v>
      </c>
      <c r="BE42" s="293">
        <f t="shared" si="9"/>
        <v>0</v>
      </c>
      <c r="BF42" s="293">
        <f t="shared" si="10"/>
        <v>0</v>
      </c>
      <c r="BG42" s="293">
        <f t="shared" si="11"/>
        <v>0</v>
      </c>
      <c r="BH42" s="293">
        <f t="shared" si="12"/>
        <v>0</v>
      </c>
      <c r="BI42" s="293">
        <f t="shared" si="13"/>
        <v>0</v>
      </c>
      <c r="BJ42" s="293">
        <f t="shared" si="14"/>
        <v>0</v>
      </c>
      <c r="BK42" s="293">
        <f t="shared" si="15"/>
        <v>0</v>
      </c>
      <c r="BL42" s="293">
        <f t="shared" si="16"/>
        <v>0</v>
      </c>
      <c r="BM42" s="293">
        <f t="shared" si="17"/>
        <v>0</v>
      </c>
      <c r="BN42" s="22"/>
      <c r="BO42" s="22"/>
      <c r="BP42" s="22"/>
      <c r="BS42" s="944" t="s">
        <v>1403</v>
      </c>
    </row>
    <row r="43" spans="5:71" ht="16.7" hidden="1" customHeight="1">
      <c r="E43" s="623">
        <v>17.100000000000001</v>
      </c>
      <c r="F43" s="714">
        <f t="shared" ca="1" si="6"/>
        <v>0</v>
      </c>
      <c r="G43" s="130" t="s">
        <v>1301</v>
      </c>
      <c r="T43" s="634" t="b">
        <f t="shared" ref="T43:T48" ca="1" si="19">AND(F43&gt;0,method_reg="Метод индексации")</f>
        <v>0</v>
      </c>
      <c r="X43" s="1405"/>
      <c r="Z43" s="1405"/>
      <c r="AB43" s="99" t="s">
        <v>527</v>
      </c>
      <c r="AC43" s="467" t="s">
        <v>1303</v>
      </c>
      <c r="AD43" s="387" t="s">
        <v>837</v>
      </c>
      <c r="AE43" s="60">
        <f>AE44+AE45+AE46</f>
        <v>0</v>
      </c>
      <c r="AF43" s="60">
        <f>AF44+AF45+AF46</f>
        <v>0</v>
      </c>
      <c r="AG43" s="60">
        <f>AG44+AG45+AG46</f>
        <v>0</v>
      </c>
      <c r="AH43" s="293">
        <f t="shared" si="7"/>
        <v>0</v>
      </c>
      <c r="AI43" s="60">
        <f t="shared" ref="AI43:BC43" si="20">AI44+AI45+AI46</f>
        <v>0</v>
      </c>
      <c r="AJ43" s="471">
        <f t="shared" si="20"/>
        <v>0</v>
      </c>
      <c r="AK43" s="1181">
        <f t="shared" si="20"/>
        <v>0</v>
      </c>
      <c r="AL43" s="1181">
        <f t="shared" si="20"/>
        <v>0</v>
      </c>
      <c r="AM43" s="60">
        <f t="shared" si="20"/>
        <v>0</v>
      </c>
      <c r="AN43" s="60">
        <f t="shared" si="20"/>
        <v>0</v>
      </c>
      <c r="AO43" s="60">
        <f t="shared" si="20"/>
        <v>0</v>
      </c>
      <c r="AP43" s="60">
        <f t="shared" si="20"/>
        <v>0</v>
      </c>
      <c r="AQ43" s="60">
        <f t="shared" si="20"/>
        <v>0</v>
      </c>
      <c r="AR43" s="60">
        <f t="shared" si="20"/>
        <v>0</v>
      </c>
      <c r="AS43" s="60">
        <f t="shared" si="20"/>
        <v>0</v>
      </c>
      <c r="AT43" s="471">
        <f t="shared" si="20"/>
        <v>0</v>
      </c>
      <c r="AU43" s="1181">
        <f t="shared" si="20"/>
        <v>0</v>
      </c>
      <c r="AV43" s="1181">
        <f t="shared" si="20"/>
        <v>0</v>
      </c>
      <c r="AW43" s="60">
        <f t="shared" si="20"/>
        <v>0</v>
      </c>
      <c r="AX43" s="60">
        <f t="shared" si="20"/>
        <v>0</v>
      </c>
      <c r="AY43" s="60">
        <f t="shared" si="20"/>
        <v>0</v>
      </c>
      <c r="AZ43" s="60">
        <f t="shared" si="20"/>
        <v>0</v>
      </c>
      <c r="BA43" s="60">
        <f t="shared" si="20"/>
        <v>0</v>
      </c>
      <c r="BB43" s="60">
        <f t="shared" si="20"/>
        <v>0</v>
      </c>
      <c r="BC43" s="60">
        <f t="shared" si="20"/>
        <v>0</v>
      </c>
      <c r="BD43" s="293">
        <f t="shared" si="8"/>
        <v>0</v>
      </c>
      <c r="BE43" s="293">
        <f t="shared" si="9"/>
        <v>0</v>
      </c>
      <c r="BF43" s="293">
        <f t="shared" si="10"/>
        <v>0</v>
      </c>
      <c r="BG43" s="293">
        <f t="shared" si="11"/>
        <v>0</v>
      </c>
      <c r="BH43" s="293">
        <f t="shared" si="12"/>
        <v>0</v>
      </c>
      <c r="BI43" s="293">
        <f t="shared" si="13"/>
        <v>0</v>
      </c>
      <c r="BJ43" s="293">
        <f t="shared" si="14"/>
        <v>0</v>
      </c>
      <c r="BK43" s="293">
        <f t="shared" si="15"/>
        <v>0</v>
      </c>
      <c r="BL43" s="293">
        <f t="shared" si="16"/>
        <v>0</v>
      </c>
      <c r="BM43" s="293">
        <f t="shared" si="17"/>
        <v>0</v>
      </c>
      <c r="BN43" s="22"/>
      <c r="BO43" s="22"/>
      <c r="BP43" s="22"/>
      <c r="BS43" s="944" t="s">
        <v>1304</v>
      </c>
    </row>
    <row r="44" spans="5:71" ht="58.5" hidden="1" customHeight="1">
      <c r="E44" s="623">
        <v>60</v>
      </c>
      <c r="F44" s="714">
        <f t="shared" ca="1" si="6"/>
        <v>0</v>
      </c>
      <c r="T44" s="634" t="b">
        <f t="shared" ca="1" si="19"/>
        <v>0</v>
      </c>
      <c r="X44" s="1405"/>
      <c r="Z44" s="1405"/>
      <c r="AB44" s="99" t="s">
        <v>530</v>
      </c>
      <c r="AC44" s="776" t="s">
        <v>1404</v>
      </c>
      <c r="AD44" s="387" t="s">
        <v>1204</v>
      </c>
      <c r="AE44" s="60"/>
      <c r="AF44" s="60"/>
      <c r="AG44" s="60"/>
      <c r="AH44" s="293">
        <f t="shared" si="7"/>
        <v>0</v>
      </c>
      <c r="AI44" s="60"/>
      <c r="AJ44" s="471"/>
      <c r="AK44" s="1181"/>
      <c r="AL44" s="1181"/>
      <c r="AM44" s="60"/>
      <c r="AN44" s="60"/>
      <c r="AO44" s="60"/>
      <c r="AP44" s="60"/>
      <c r="AQ44" s="60"/>
      <c r="AR44" s="60"/>
      <c r="AS44" s="60"/>
      <c r="AT44" s="471"/>
      <c r="AU44" s="1181"/>
      <c r="AV44" s="1181"/>
      <c r="AW44" s="60"/>
      <c r="AX44" s="60"/>
      <c r="AY44" s="60"/>
      <c r="AZ44" s="60"/>
      <c r="BA44" s="60"/>
      <c r="BB44" s="60"/>
      <c r="BC44" s="60"/>
      <c r="BD44" s="293">
        <f t="shared" si="8"/>
        <v>0</v>
      </c>
      <c r="BE44" s="293">
        <f t="shared" si="9"/>
        <v>0</v>
      </c>
      <c r="BF44" s="293">
        <f t="shared" si="10"/>
        <v>0</v>
      </c>
      <c r="BG44" s="293">
        <f t="shared" si="11"/>
        <v>0</v>
      </c>
      <c r="BH44" s="293">
        <f t="shared" si="12"/>
        <v>0</v>
      </c>
      <c r="BI44" s="293">
        <f t="shared" si="13"/>
        <v>0</v>
      </c>
      <c r="BJ44" s="293">
        <f t="shared" si="14"/>
        <v>0</v>
      </c>
      <c r="BK44" s="293">
        <f t="shared" si="15"/>
        <v>0</v>
      </c>
      <c r="BL44" s="293">
        <f t="shared" si="16"/>
        <v>0</v>
      </c>
      <c r="BM44" s="293">
        <f t="shared" si="17"/>
        <v>0</v>
      </c>
      <c r="BN44" s="22"/>
      <c r="BO44" s="22"/>
      <c r="BP44" s="22"/>
      <c r="BS44" s="944" t="s">
        <v>1405</v>
      </c>
    </row>
    <row r="45" spans="5:71" ht="29.25" hidden="1" customHeight="1">
      <c r="E45" s="623">
        <v>30</v>
      </c>
      <c r="F45" s="714">
        <f t="shared" ca="1" si="6"/>
        <v>0</v>
      </c>
      <c r="T45" s="634" t="b">
        <f t="shared" ca="1" si="19"/>
        <v>0</v>
      </c>
      <c r="X45" s="1405"/>
      <c r="Z45" s="1405"/>
      <c r="AB45" s="99" t="s">
        <v>532</v>
      </c>
      <c r="AC45" s="467" t="s">
        <v>1406</v>
      </c>
      <c r="AD45" s="387" t="s">
        <v>1204</v>
      </c>
      <c r="AE45" s="60"/>
      <c r="AF45" s="60"/>
      <c r="AG45" s="60"/>
      <c r="AH45" s="293">
        <f t="shared" si="7"/>
        <v>0</v>
      </c>
      <c r="AI45" s="60"/>
      <c r="AJ45" s="471"/>
      <c r="AK45" s="1181"/>
      <c r="AL45" s="1181"/>
      <c r="AM45" s="60"/>
      <c r="AN45" s="60"/>
      <c r="AO45" s="60"/>
      <c r="AP45" s="60"/>
      <c r="AQ45" s="60"/>
      <c r="AR45" s="60"/>
      <c r="AS45" s="60"/>
      <c r="AT45" s="471"/>
      <c r="AU45" s="1181"/>
      <c r="AV45" s="1181"/>
      <c r="AW45" s="60"/>
      <c r="AX45" s="60"/>
      <c r="AY45" s="60"/>
      <c r="AZ45" s="60"/>
      <c r="BA45" s="60"/>
      <c r="BB45" s="60"/>
      <c r="BC45" s="60"/>
      <c r="BD45" s="293">
        <f t="shared" si="8"/>
        <v>0</v>
      </c>
      <c r="BE45" s="293">
        <f t="shared" si="9"/>
        <v>0</v>
      </c>
      <c r="BF45" s="293">
        <f t="shared" si="10"/>
        <v>0</v>
      </c>
      <c r="BG45" s="293">
        <f t="shared" si="11"/>
        <v>0</v>
      </c>
      <c r="BH45" s="293">
        <f t="shared" si="12"/>
        <v>0</v>
      </c>
      <c r="BI45" s="293">
        <f t="shared" si="13"/>
        <v>0</v>
      </c>
      <c r="BJ45" s="293">
        <f t="shared" si="14"/>
        <v>0</v>
      </c>
      <c r="BK45" s="293">
        <f t="shared" si="15"/>
        <v>0</v>
      </c>
      <c r="BL45" s="293">
        <f t="shared" si="16"/>
        <v>0</v>
      </c>
      <c r="BM45" s="293">
        <f t="shared" si="17"/>
        <v>0</v>
      </c>
      <c r="BN45" s="22"/>
      <c r="BO45" s="22"/>
      <c r="BP45" s="22"/>
      <c r="BS45" s="944" t="s">
        <v>1407</v>
      </c>
    </row>
    <row r="46" spans="5:71" ht="43.9" hidden="1" customHeight="1">
      <c r="E46" s="623">
        <v>45</v>
      </c>
      <c r="F46" s="714">
        <f t="shared" ca="1" si="6"/>
        <v>0</v>
      </c>
      <c r="T46" s="634" t="b">
        <f t="shared" ca="1" si="19"/>
        <v>0</v>
      </c>
      <c r="X46" s="1405"/>
      <c r="Z46" s="1405"/>
      <c r="AB46" s="99" t="s">
        <v>1408</v>
      </c>
      <c r="AC46" s="467" t="s">
        <v>1409</v>
      </c>
      <c r="AD46" s="387" t="s">
        <v>1204</v>
      </c>
      <c r="AE46" s="60"/>
      <c r="AF46" s="60"/>
      <c r="AG46" s="60"/>
      <c r="AH46" s="293">
        <f t="shared" si="7"/>
        <v>0</v>
      </c>
      <c r="AI46" s="60"/>
      <c r="AJ46" s="471"/>
      <c r="AK46" s="1181"/>
      <c r="AL46" s="1181"/>
      <c r="AM46" s="60"/>
      <c r="AN46" s="60"/>
      <c r="AO46" s="60"/>
      <c r="AP46" s="60"/>
      <c r="AQ46" s="60"/>
      <c r="AR46" s="60"/>
      <c r="AS46" s="60"/>
      <c r="AT46" s="471"/>
      <c r="AU46" s="1181"/>
      <c r="AV46" s="1181"/>
      <c r="AW46" s="60"/>
      <c r="AX46" s="60"/>
      <c r="AY46" s="60"/>
      <c r="AZ46" s="60"/>
      <c r="BA46" s="60"/>
      <c r="BB46" s="60"/>
      <c r="BC46" s="60"/>
      <c r="BD46" s="293">
        <f t="shared" si="8"/>
        <v>0</v>
      </c>
      <c r="BE46" s="293">
        <f t="shared" si="9"/>
        <v>0</v>
      </c>
      <c r="BF46" s="293">
        <f t="shared" si="10"/>
        <v>0</v>
      </c>
      <c r="BG46" s="293">
        <f t="shared" si="11"/>
        <v>0</v>
      </c>
      <c r="BH46" s="293">
        <f t="shared" si="12"/>
        <v>0</v>
      </c>
      <c r="BI46" s="293">
        <f t="shared" si="13"/>
        <v>0</v>
      </c>
      <c r="BJ46" s="293">
        <f t="shared" si="14"/>
        <v>0</v>
      </c>
      <c r="BK46" s="293">
        <f t="shared" si="15"/>
        <v>0</v>
      </c>
      <c r="BL46" s="293">
        <f t="shared" si="16"/>
        <v>0</v>
      </c>
      <c r="BM46" s="293">
        <f t="shared" si="17"/>
        <v>0</v>
      </c>
      <c r="BN46" s="22"/>
      <c r="BO46" s="22"/>
      <c r="BP46" s="22"/>
      <c r="BS46" s="944" t="s">
        <v>1410</v>
      </c>
    </row>
    <row r="47" spans="5:71" ht="14.65" hidden="1" customHeight="1">
      <c r="E47" s="623">
        <v>15</v>
      </c>
      <c r="F47" s="714">
        <f t="shared" ca="1" si="6"/>
        <v>0</v>
      </c>
      <c r="G47" s="130" t="s">
        <v>1308</v>
      </c>
      <c r="T47" s="634" t="b">
        <f t="shared" ca="1" si="19"/>
        <v>0</v>
      </c>
      <c r="X47" s="1405"/>
      <c r="Z47" s="1405"/>
      <c r="AB47" s="99" t="s">
        <v>534</v>
      </c>
      <c r="AC47" s="467" t="s">
        <v>1310</v>
      </c>
      <c r="AD47" s="387" t="s">
        <v>837</v>
      </c>
      <c r="AE47" s="60"/>
      <c r="AF47" s="60"/>
      <c r="AG47" s="60"/>
      <c r="AH47" s="293">
        <f t="shared" si="7"/>
        <v>0</v>
      </c>
      <c r="AI47" s="60"/>
      <c r="AJ47" s="471"/>
      <c r="AK47" s="1181"/>
      <c r="AL47" s="1181"/>
      <c r="AM47" s="60"/>
      <c r="AN47" s="60"/>
      <c r="AO47" s="60"/>
      <c r="AP47" s="60"/>
      <c r="AQ47" s="60"/>
      <c r="AR47" s="60"/>
      <c r="AS47" s="60"/>
      <c r="AT47" s="471"/>
      <c r="AU47" s="1181"/>
      <c r="AV47" s="1181"/>
      <c r="AW47" s="60"/>
      <c r="AX47" s="60"/>
      <c r="AY47" s="60"/>
      <c r="AZ47" s="60"/>
      <c r="BA47" s="60"/>
      <c r="BB47" s="60"/>
      <c r="BC47" s="60"/>
      <c r="BD47" s="293">
        <f t="shared" si="8"/>
        <v>0</v>
      </c>
      <c r="BE47" s="293">
        <f t="shared" si="9"/>
        <v>0</v>
      </c>
      <c r="BF47" s="293">
        <f t="shared" si="10"/>
        <v>0</v>
      </c>
      <c r="BG47" s="293">
        <f t="shared" si="11"/>
        <v>0</v>
      </c>
      <c r="BH47" s="293">
        <f t="shared" si="12"/>
        <v>0</v>
      </c>
      <c r="BI47" s="293">
        <f t="shared" si="13"/>
        <v>0</v>
      </c>
      <c r="BJ47" s="293">
        <f t="shared" si="14"/>
        <v>0</v>
      </c>
      <c r="BK47" s="293">
        <f t="shared" si="15"/>
        <v>0</v>
      </c>
      <c r="BL47" s="293">
        <f t="shared" si="16"/>
        <v>0</v>
      </c>
      <c r="BM47" s="293">
        <f t="shared" si="17"/>
        <v>0</v>
      </c>
      <c r="BN47" s="22"/>
      <c r="BO47" s="22"/>
      <c r="BP47" s="22"/>
      <c r="BS47" s="944" t="s">
        <v>1411</v>
      </c>
    </row>
    <row r="48" spans="5:71" ht="14.65" hidden="1" customHeight="1">
      <c r="E48" s="623">
        <v>15</v>
      </c>
      <c r="F48" s="714">
        <f t="shared" ca="1" si="6"/>
        <v>0</v>
      </c>
      <c r="T48" s="634" t="b">
        <f t="shared" ca="1" si="19"/>
        <v>0</v>
      </c>
      <c r="X48" s="1405"/>
      <c r="Z48" s="1405"/>
      <c r="AB48" s="99" t="s">
        <v>537</v>
      </c>
      <c r="AC48" s="103" t="s">
        <v>1306</v>
      </c>
      <c r="AD48" s="387" t="s">
        <v>388</v>
      </c>
      <c r="AE48" s="61"/>
      <c r="AF48" s="61"/>
      <c r="AG48" s="61"/>
      <c r="AH48" s="293">
        <f t="shared" si="7"/>
        <v>0</v>
      </c>
      <c r="AI48" s="61"/>
      <c r="AJ48" s="485"/>
      <c r="AK48" s="1182"/>
      <c r="AL48" s="1182"/>
      <c r="AM48" s="61"/>
      <c r="AN48" s="61"/>
      <c r="AO48" s="61"/>
      <c r="AP48" s="61"/>
      <c r="AQ48" s="61"/>
      <c r="AR48" s="61"/>
      <c r="AS48" s="61"/>
      <c r="AT48" s="485"/>
      <c r="AU48" s="1182"/>
      <c r="AV48" s="1182"/>
      <c r="AW48" s="61"/>
      <c r="AX48" s="61"/>
      <c r="AY48" s="61"/>
      <c r="AZ48" s="61"/>
      <c r="BA48" s="61"/>
      <c r="BB48" s="61"/>
      <c r="BC48" s="61"/>
      <c r="BD48" s="293">
        <f t="shared" si="8"/>
        <v>0</v>
      </c>
      <c r="BE48" s="293">
        <f t="shared" si="9"/>
        <v>0</v>
      </c>
      <c r="BF48" s="293">
        <f t="shared" si="10"/>
        <v>0</v>
      </c>
      <c r="BG48" s="293">
        <f t="shared" si="11"/>
        <v>0</v>
      </c>
      <c r="BH48" s="293">
        <f t="shared" si="12"/>
        <v>0</v>
      </c>
      <c r="BI48" s="293">
        <f t="shared" si="13"/>
        <v>0</v>
      </c>
      <c r="BJ48" s="293">
        <f t="shared" si="14"/>
        <v>0</v>
      </c>
      <c r="BK48" s="293">
        <f t="shared" si="15"/>
        <v>0</v>
      </c>
      <c r="BL48" s="293">
        <f t="shared" si="16"/>
        <v>0</v>
      </c>
      <c r="BM48" s="293">
        <f t="shared" si="17"/>
        <v>0</v>
      </c>
      <c r="BN48" s="22"/>
      <c r="BO48" s="22"/>
      <c r="BP48" s="22"/>
      <c r="BS48" s="944" t="s">
        <v>1412</v>
      </c>
    </row>
    <row r="49" spans="5:75" ht="28.5" hidden="1" customHeight="1">
      <c r="E49" s="623">
        <v>29.3</v>
      </c>
      <c r="F49" s="714">
        <f t="shared" ca="1" si="6"/>
        <v>0</v>
      </c>
      <c r="G49" s="130">
        <v>6</v>
      </c>
      <c r="T49" s="634" t="b">
        <f ca="1">F49&gt;0</f>
        <v>0</v>
      </c>
      <c r="X49" s="1405"/>
      <c r="Z49" s="1405"/>
      <c r="AB49" s="99" t="s">
        <v>541</v>
      </c>
      <c r="AC49" s="467" t="s">
        <v>1313</v>
      </c>
      <c r="AD49" s="387" t="s">
        <v>837</v>
      </c>
      <c r="AE49" s="60"/>
      <c r="AF49" s="60"/>
      <c r="AG49" s="60"/>
      <c r="AH49" s="293">
        <f t="shared" si="7"/>
        <v>0</v>
      </c>
      <c r="AI49" s="60"/>
      <c r="AJ49" s="471"/>
      <c r="AK49" s="1181"/>
      <c r="AL49" s="1181"/>
      <c r="AM49" s="60"/>
      <c r="AN49" s="60"/>
      <c r="AO49" s="60"/>
      <c r="AP49" s="60"/>
      <c r="AQ49" s="60"/>
      <c r="AR49" s="60"/>
      <c r="AS49" s="60"/>
      <c r="AT49" s="471"/>
      <c r="AU49" s="1181"/>
      <c r="AV49" s="1181"/>
      <c r="AW49" s="60"/>
      <c r="AX49" s="60"/>
      <c r="AY49" s="60"/>
      <c r="AZ49" s="60"/>
      <c r="BA49" s="60"/>
      <c r="BB49" s="60"/>
      <c r="BC49" s="60"/>
      <c r="BD49" s="293">
        <f t="shared" si="8"/>
        <v>0</v>
      </c>
      <c r="BE49" s="293">
        <f t="shared" si="9"/>
        <v>0</v>
      </c>
      <c r="BF49" s="293">
        <f t="shared" si="10"/>
        <v>0</v>
      </c>
      <c r="BG49" s="293">
        <f t="shared" si="11"/>
        <v>0</v>
      </c>
      <c r="BH49" s="293">
        <f t="shared" si="12"/>
        <v>0</v>
      </c>
      <c r="BI49" s="293">
        <f t="shared" si="13"/>
        <v>0</v>
      </c>
      <c r="BJ49" s="293">
        <f t="shared" si="14"/>
        <v>0</v>
      </c>
      <c r="BK49" s="293">
        <f t="shared" si="15"/>
        <v>0</v>
      </c>
      <c r="BL49" s="293">
        <f t="shared" si="16"/>
        <v>0</v>
      </c>
      <c r="BM49" s="293">
        <f t="shared" si="17"/>
        <v>0</v>
      </c>
      <c r="BN49" s="22"/>
      <c r="BO49" s="22"/>
      <c r="BP49" s="22"/>
      <c r="BS49" s="944" t="s">
        <v>1413</v>
      </c>
    </row>
    <row r="50" spans="5:75" ht="28.5" hidden="1" customHeight="1">
      <c r="E50" s="623">
        <v>29.3</v>
      </c>
      <c r="F50" s="714">
        <f t="shared" ca="1" si="6"/>
        <v>0</v>
      </c>
      <c r="G50" s="130" t="s">
        <v>1340</v>
      </c>
      <c r="T50" s="634" t="b">
        <f t="shared" ref="T50:T55" ca="1" si="21">T49</f>
        <v>0</v>
      </c>
      <c r="X50" s="1405"/>
      <c r="Z50" s="1405"/>
      <c r="AB50" s="99" t="s">
        <v>549</v>
      </c>
      <c r="AC50" s="568" t="s">
        <v>1414</v>
      </c>
      <c r="AD50" s="387" t="s">
        <v>837</v>
      </c>
      <c r="AE50" s="60"/>
      <c r="AF50" s="60"/>
      <c r="AG50" s="60"/>
      <c r="AH50" s="293">
        <f t="shared" si="7"/>
        <v>0</v>
      </c>
      <c r="AI50" s="60"/>
      <c r="AJ50" s="471">
        <f ca="1">SUMIFS('Корр Факт'!$AJ$27:AJ$122,'Корр Факт'!$F$27:$F$122,$F50,'Корр Факт'!$G27:$G122,$G50)</f>
        <v>0</v>
      </c>
      <c r="AK50" s="1181"/>
      <c r="AL50" s="1181"/>
      <c r="AM50" s="60"/>
      <c r="AN50" s="60"/>
      <c r="AO50" s="60"/>
      <c r="AP50" s="60"/>
      <c r="AQ50" s="60"/>
      <c r="AR50" s="60"/>
      <c r="AS50" s="60"/>
      <c r="AT50" s="471">
        <f ca="1">SUMIFS('Корр Факт'!$AP$27:AP$122,'Корр Факт'!$F$27:$F$122,$F50,'Корр Факт'!$G27:$G122,$G50)</f>
        <v>0</v>
      </c>
      <c r="AU50" s="1181"/>
      <c r="AV50" s="1181"/>
      <c r="AW50" s="60"/>
      <c r="AX50" s="60"/>
      <c r="AY50" s="60"/>
      <c r="AZ50" s="60"/>
      <c r="BA50" s="60"/>
      <c r="BB50" s="60"/>
      <c r="BC50" s="60"/>
      <c r="BD50" s="293">
        <f t="shared" si="8"/>
        <v>0</v>
      </c>
      <c r="BE50" s="293">
        <f t="shared" ca="1" si="9"/>
        <v>0</v>
      </c>
      <c r="BF50" s="293">
        <f t="shared" si="10"/>
        <v>0</v>
      </c>
      <c r="BG50" s="293">
        <f t="shared" si="11"/>
        <v>0</v>
      </c>
      <c r="BH50" s="293">
        <f t="shared" si="12"/>
        <v>0</v>
      </c>
      <c r="BI50" s="293">
        <f t="shared" si="13"/>
        <v>0</v>
      </c>
      <c r="BJ50" s="293">
        <f t="shared" si="14"/>
        <v>0</v>
      </c>
      <c r="BK50" s="293">
        <f t="shared" si="15"/>
        <v>0</v>
      </c>
      <c r="BL50" s="293">
        <f t="shared" si="16"/>
        <v>0</v>
      </c>
      <c r="BM50" s="293">
        <f t="shared" si="17"/>
        <v>0</v>
      </c>
      <c r="BN50" s="22"/>
      <c r="BO50" s="22"/>
      <c r="BP50" s="22"/>
      <c r="BS50" s="944" t="s">
        <v>1415</v>
      </c>
    </row>
    <row r="51" spans="5:75" s="172" customFormat="1" ht="64.349999999999994" hidden="1" customHeight="1">
      <c r="E51" s="623">
        <v>66</v>
      </c>
      <c r="F51" s="714">
        <f t="shared" ca="1" si="6"/>
        <v>0</v>
      </c>
      <c r="T51" s="634" t="b">
        <f t="shared" ca="1" si="21"/>
        <v>0</v>
      </c>
      <c r="X51" s="1499"/>
      <c r="Z51" s="1499"/>
      <c r="AB51" s="99" t="s">
        <v>1123</v>
      </c>
      <c r="AC51" s="467" t="s">
        <v>1416</v>
      </c>
      <c r="AD51" s="387" t="s">
        <v>837</v>
      </c>
      <c r="AE51" s="60"/>
      <c r="AF51" s="60"/>
      <c r="AG51" s="60"/>
      <c r="AH51" s="293">
        <f t="shared" si="7"/>
        <v>0</v>
      </c>
      <c r="AI51" s="60"/>
      <c r="AJ51" s="471"/>
      <c r="AK51" s="1181"/>
      <c r="AL51" s="1181"/>
      <c r="AM51" s="60"/>
      <c r="AN51" s="60"/>
      <c r="AO51" s="60"/>
      <c r="AP51" s="60"/>
      <c r="AQ51" s="60"/>
      <c r="AR51" s="60"/>
      <c r="AS51" s="60"/>
      <c r="AT51" s="471"/>
      <c r="AU51" s="1181"/>
      <c r="AV51" s="1181"/>
      <c r="AW51" s="60"/>
      <c r="AX51" s="60"/>
      <c r="AY51" s="60"/>
      <c r="AZ51" s="60"/>
      <c r="BA51" s="60"/>
      <c r="BB51" s="60"/>
      <c r="BC51" s="60"/>
      <c r="BD51" s="293">
        <f t="shared" si="8"/>
        <v>0</v>
      </c>
      <c r="BE51" s="293">
        <f t="shared" si="9"/>
        <v>0</v>
      </c>
      <c r="BF51" s="293">
        <f t="shared" si="10"/>
        <v>0</v>
      </c>
      <c r="BG51" s="293">
        <f t="shared" si="11"/>
        <v>0</v>
      </c>
      <c r="BH51" s="293">
        <f t="shared" si="12"/>
        <v>0</v>
      </c>
      <c r="BI51" s="293">
        <f t="shared" si="13"/>
        <v>0</v>
      </c>
      <c r="BJ51" s="293">
        <f t="shared" si="14"/>
        <v>0</v>
      </c>
      <c r="BK51" s="293">
        <f t="shared" si="15"/>
        <v>0</v>
      </c>
      <c r="BL51" s="293">
        <f t="shared" si="16"/>
        <v>0</v>
      </c>
      <c r="BM51" s="293">
        <f t="shared" si="17"/>
        <v>0</v>
      </c>
      <c r="BN51" s="22"/>
      <c r="BO51" s="22"/>
      <c r="BP51" s="22"/>
      <c r="BS51" s="944" t="s">
        <v>1317</v>
      </c>
      <c r="BT51" s="952"/>
      <c r="BU51" s="952"/>
      <c r="BV51" s="953"/>
      <c r="BW51" s="953"/>
    </row>
    <row r="52" spans="5:75" s="172" customFormat="1" ht="33" hidden="1" customHeight="1">
      <c r="E52" s="623">
        <v>33.799999999999997</v>
      </c>
      <c r="F52" s="714">
        <f t="shared" ca="1" si="6"/>
        <v>0</v>
      </c>
      <c r="T52" s="634" t="b">
        <f t="shared" ca="1" si="21"/>
        <v>0</v>
      </c>
      <c r="X52" s="1499"/>
      <c r="Z52" s="1499"/>
      <c r="AB52" s="99" t="s">
        <v>1126</v>
      </c>
      <c r="AC52" s="467" t="s">
        <v>1417</v>
      </c>
      <c r="AD52" s="387" t="s">
        <v>837</v>
      </c>
      <c r="AE52" s="60"/>
      <c r="AF52" s="60"/>
      <c r="AG52" s="60"/>
      <c r="AH52" s="293">
        <f t="shared" si="7"/>
        <v>0</v>
      </c>
      <c r="AI52" s="60"/>
      <c r="AJ52" s="471"/>
      <c r="AK52" s="1181"/>
      <c r="AL52" s="1181"/>
      <c r="AM52" s="60"/>
      <c r="AN52" s="60"/>
      <c r="AO52" s="60"/>
      <c r="AP52" s="60"/>
      <c r="AQ52" s="60"/>
      <c r="AR52" s="60"/>
      <c r="AS52" s="60"/>
      <c r="AT52" s="471"/>
      <c r="AU52" s="1181"/>
      <c r="AV52" s="1181"/>
      <c r="AW52" s="60"/>
      <c r="AX52" s="60"/>
      <c r="AY52" s="60"/>
      <c r="AZ52" s="60"/>
      <c r="BA52" s="60"/>
      <c r="BB52" s="60"/>
      <c r="BC52" s="60"/>
      <c r="BD52" s="293">
        <f t="shared" si="8"/>
        <v>0</v>
      </c>
      <c r="BE52" s="293">
        <f t="shared" si="9"/>
        <v>0</v>
      </c>
      <c r="BF52" s="293">
        <f t="shared" si="10"/>
        <v>0</v>
      </c>
      <c r="BG52" s="293">
        <f t="shared" si="11"/>
        <v>0</v>
      </c>
      <c r="BH52" s="293">
        <f t="shared" si="12"/>
        <v>0</v>
      </c>
      <c r="BI52" s="293">
        <f t="shared" si="13"/>
        <v>0</v>
      </c>
      <c r="BJ52" s="293">
        <f t="shared" si="14"/>
        <v>0</v>
      </c>
      <c r="BK52" s="293">
        <f t="shared" si="15"/>
        <v>0</v>
      </c>
      <c r="BL52" s="293">
        <f t="shared" si="16"/>
        <v>0</v>
      </c>
      <c r="BM52" s="293">
        <f t="shared" si="17"/>
        <v>0</v>
      </c>
      <c r="BN52" s="22"/>
      <c r="BO52" s="22"/>
      <c r="BP52" s="22"/>
      <c r="BS52" s="944" t="s">
        <v>1418</v>
      </c>
      <c r="BT52" s="952"/>
      <c r="BU52" s="952"/>
      <c r="BV52" s="953"/>
      <c r="BW52" s="953"/>
    </row>
    <row r="53" spans="5:75" ht="62.25" hidden="1" customHeight="1">
      <c r="E53" s="623">
        <v>63.8</v>
      </c>
      <c r="F53" s="714">
        <f t="shared" ca="1" si="6"/>
        <v>0</v>
      </c>
      <c r="T53" s="634" t="b">
        <f t="shared" ca="1" si="21"/>
        <v>0</v>
      </c>
      <c r="X53" s="1405"/>
      <c r="Z53" s="1405"/>
      <c r="AB53" s="489" t="s">
        <v>1128</v>
      </c>
      <c r="AC53" s="491" t="s">
        <v>1419</v>
      </c>
      <c r="AD53" s="393" t="s">
        <v>837</v>
      </c>
      <c r="AE53" s="69"/>
      <c r="AF53" s="60"/>
      <c r="AG53" s="60"/>
      <c r="AH53" s="293">
        <f t="shared" si="7"/>
        <v>0</v>
      </c>
      <c r="AI53" s="60"/>
      <c r="AJ53" s="471"/>
      <c r="AK53" s="1181"/>
      <c r="AL53" s="1181"/>
      <c r="AM53" s="60"/>
      <c r="AN53" s="60"/>
      <c r="AO53" s="60"/>
      <c r="AP53" s="60"/>
      <c r="AQ53" s="60"/>
      <c r="AR53" s="60"/>
      <c r="AS53" s="60"/>
      <c r="AT53" s="471"/>
      <c r="AU53" s="1181"/>
      <c r="AV53" s="1181"/>
      <c r="AW53" s="60"/>
      <c r="AX53" s="60"/>
      <c r="AY53" s="60"/>
      <c r="AZ53" s="60"/>
      <c r="BA53" s="60"/>
      <c r="BB53" s="60"/>
      <c r="BC53" s="60"/>
      <c r="BD53" s="293">
        <f t="shared" si="8"/>
        <v>0</v>
      </c>
      <c r="BE53" s="293">
        <f t="shared" si="9"/>
        <v>0</v>
      </c>
      <c r="BF53" s="293">
        <f t="shared" si="10"/>
        <v>0</v>
      </c>
      <c r="BG53" s="293">
        <f t="shared" si="11"/>
        <v>0</v>
      </c>
      <c r="BH53" s="293">
        <f t="shared" si="12"/>
        <v>0</v>
      </c>
      <c r="BI53" s="293">
        <f t="shared" si="13"/>
        <v>0</v>
      </c>
      <c r="BJ53" s="293">
        <f t="shared" si="14"/>
        <v>0</v>
      </c>
      <c r="BK53" s="293">
        <f t="shared" si="15"/>
        <v>0</v>
      </c>
      <c r="BL53" s="293">
        <f t="shared" si="16"/>
        <v>0</v>
      </c>
      <c r="BM53" s="293">
        <f t="shared" si="17"/>
        <v>0</v>
      </c>
      <c r="BN53" s="18"/>
      <c r="BO53" s="18"/>
      <c r="BP53" s="18"/>
      <c r="BS53" s="944" t="s">
        <v>1420</v>
      </c>
    </row>
    <row r="54" spans="5:75" ht="16.7" hidden="1" customHeight="1">
      <c r="E54" s="623">
        <v>17.100000000000001</v>
      </c>
      <c r="F54" s="714">
        <f t="shared" ca="1" si="6"/>
        <v>0</v>
      </c>
      <c r="T54" s="634" t="b">
        <f t="shared" ca="1" si="21"/>
        <v>0</v>
      </c>
      <c r="X54" s="1405"/>
      <c r="Z54" s="1405"/>
      <c r="AB54" s="99" t="s">
        <v>1130</v>
      </c>
      <c r="AC54" s="467" t="s">
        <v>1421</v>
      </c>
      <c r="AD54" s="499" t="s">
        <v>837</v>
      </c>
      <c r="AE54" s="469">
        <f>SUM(AE55:AE57)</f>
        <v>0</v>
      </c>
      <c r="AF54" s="469">
        <f>SUM(AF55:AF57)</f>
        <v>0</v>
      </c>
      <c r="AG54" s="500">
        <f>SUM(AG55:AG57)</f>
        <v>0</v>
      </c>
      <c r="AH54" s="293">
        <f t="shared" si="7"/>
        <v>0</v>
      </c>
      <c r="AI54" s="501">
        <f t="shared" ref="AI54:BC54" si="22">SUM(AI55:AI57)</f>
        <v>0</v>
      </c>
      <c r="AJ54" s="469">
        <f t="shared" si="22"/>
        <v>0</v>
      </c>
      <c r="AK54" s="469">
        <f t="shared" si="22"/>
        <v>0</v>
      </c>
      <c r="AL54" s="469">
        <f t="shared" si="22"/>
        <v>0</v>
      </c>
      <c r="AM54" s="469">
        <f t="shared" si="22"/>
        <v>0</v>
      </c>
      <c r="AN54" s="469">
        <f t="shared" si="22"/>
        <v>0</v>
      </c>
      <c r="AO54" s="469">
        <f t="shared" si="22"/>
        <v>0</v>
      </c>
      <c r="AP54" s="469">
        <f t="shared" si="22"/>
        <v>0</v>
      </c>
      <c r="AQ54" s="469">
        <f t="shared" si="22"/>
        <v>0</v>
      </c>
      <c r="AR54" s="469">
        <f t="shared" si="22"/>
        <v>0</v>
      </c>
      <c r="AS54" s="469">
        <f t="shared" si="22"/>
        <v>0</v>
      </c>
      <c r="AT54" s="469">
        <f t="shared" si="22"/>
        <v>0</v>
      </c>
      <c r="AU54" s="469">
        <f t="shared" si="22"/>
        <v>0</v>
      </c>
      <c r="AV54" s="469">
        <f t="shared" si="22"/>
        <v>0</v>
      </c>
      <c r="AW54" s="469">
        <f t="shared" si="22"/>
        <v>0</v>
      </c>
      <c r="AX54" s="469">
        <f t="shared" si="22"/>
        <v>0</v>
      </c>
      <c r="AY54" s="469">
        <f t="shared" si="22"/>
        <v>0</v>
      </c>
      <c r="AZ54" s="469">
        <f t="shared" si="22"/>
        <v>0</v>
      </c>
      <c r="BA54" s="469">
        <f t="shared" si="22"/>
        <v>0</v>
      </c>
      <c r="BB54" s="469">
        <f t="shared" si="22"/>
        <v>0</v>
      </c>
      <c r="BC54" s="469">
        <f t="shared" si="22"/>
        <v>0</v>
      </c>
      <c r="BD54" s="293">
        <f t="shared" si="8"/>
        <v>0</v>
      </c>
      <c r="BE54" s="293">
        <f t="shared" si="9"/>
        <v>0</v>
      </c>
      <c r="BF54" s="293">
        <f t="shared" si="10"/>
        <v>0</v>
      </c>
      <c r="BG54" s="293">
        <f t="shared" si="11"/>
        <v>0</v>
      </c>
      <c r="BH54" s="293">
        <f t="shared" si="12"/>
        <v>0</v>
      </c>
      <c r="BI54" s="293">
        <f t="shared" si="13"/>
        <v>0</v>
      </c>
      <c r="BJ54" s="293">
        <f t="shared" si="14"/>
        <v>0</v>
      </c>
      <c r="BK54" s="293">
        <f t="shared" si="15"/>
        <v>0</v>
      </c>
      <c r="BL54" s="293">
        <f t="shared" si="16"/>
        <v>0</v>
      </c>
      <c r="BM54" s="293">
        <f t="shared" si="17"/>
        <v>0</v>
      </c>
      <c r="BN54" s="45"/>
      <c r="BO54" s="45"/>
      <c r="BP54" s="45"/>
      <c r="BS54" s="944" t="s">
        <v>1085</v>
      </c>
    </row>
    <row r="55" spans="5:75" s="493" customFormat="1" ht="17.25" hidden="1" customHeight="1">
      <c r="E55" s="623">
        <v>0</v>
      </c>
      <c r="F55" s="714">
        <f t="shared" ca="1" si="6"/>
        <v>0</v>
      </c>
      <c r="T55" s="634" t="b">
        <f t="shared" ca="1" si="21"/>
        <v>0</v>
      </c>
      <c r="X55" s="1527"/>
      <c r="Z55" s="1527"/>
      <c r="AB55" s="497"/>
      <c r="AC55" s="498"/>
      <c r="AD55" s="446"/>
      <c r="AE55" s="470"/>
      <c r="AF55" s="470"/>
      <c r="AG55" s="70"/>
      <c r="AH55" s="470"/>
      <c r="AI55" s="71"/>
      <c r="AJ55" s="470"/>
      <c r="AK55" s="470"/>
      <c r="AL55" s="470"/>
      <c r="AM55" s="470"/>
      <c r="AN55" s="470"/>
      <c r="AO55" s="470"/>
      <c r="AP55" s="470"/>
      <c r="AQ55" s="470"/>
      <c r="AR55" s="470"/>
      <c r="AS55" s="470"/>
      <c r="AT55" s="470"/>
      <c r="AU55" s="470"/>
      <c r="AV55" s="470"/>
      <c r="AW55" s="470"/>
      <c r="AX55" s="470"/>
      <c r="AY55" s="470"/>
      <c r="AZ55" s="470"/>
      <c r="BA55" s="470"/>
      <c r="BB55" s="470"/>
      <c r="BC55" s="470"/>
      <c r="BD55" s="494"/>
      <c r="BE55" s="494"/>
      <c r="BF55" s="494"/>
      <c r="BG55" s="494"/>
      <c r="BH55" s="494"/>
      <c r="BI55" s="494"/>
      <c r="BJ55" s="494"/>
      <c r="BK55" s="494"/>
      <c r="BL55" s="494"/>
      <c r="BM55" s="494"/>
      <c r="BN55" s="666"/>
      <c r="BO55" s="666"/>
      <c r="BP55" s="666"/>
      <c r="BS55" s="944" t="str">
        <f>IF(AND(ISNUMBER(VALUE(TRIM(SUBSTITUTE(AB55,".","")))),TRIM(SUBSTITUTE(AB55,".",""))&lt;&gt;""),"P"&amp;SUBSTITUTE(AB55,".",""),"")</f>
        <v/>
      </c>
      <c r="BT55" s="957"/>
      <c r="BU55" s="957"/>
      <c r="BV55" s="958"/>
      <c r="BW55" s="958"/>
    </row>
    <row r="56" spans="5:75" ht="16.7" hidden="1" customHeight="1">
      <c r="E56" s="623">
        <v>17.100000000000001</v>
      </c>
      <c r="F56" s="714">
        <f t="shared" ca="1" si="6"/>
        <v>0</v>
      </c>
      <c r="T56" s="634" t="b">
        <f ca="1">AND(F56&gt;0,Y56&gt;0)</f>
        <v>0</v>
      </c>
      <c r="W56" s="113" t="s">
        <v>170</v>
      </c>
      <c r="X56" s="1405"/>
      <c r="Y56" s="113">
        <v>0</v>
      </c>
      <c r="Z56" s="1405"/>
      <c r="AA56" s="865" t="s">
        <v>157</v>
      </c>
      <c r="AB56" s="489" t="str">
        <f>"11."&amp;Y56</f>
        <v>11.0</v>
      </c>
      <c r="AC56" s="72"/>
      <c r="AD56" s="499" t="s">
        <v>837</v>
      </c>
      <c r="AE56" s="60"/>
      <c r="AF56" s="60"/>
      <c r="AG56" s="73"/>
      <c r="AH56" s="293">
        <f>AG56-AF56</f>
        <v>0</v>
      </c>
      <c r="AI56" s="74"/>
      <c r="AJ56" s="471"/>
      <c r="AK56" s="1181"/>
      <c r="AL56" s="1181"/>
      <c r="AM56" s="60"/>
      <c r="AN56" s="60"/>
      <c r="AO56" s="60"/>
      <c r="AP56" s="60"/>
      <c r="AQ56" s="60"/>
      <c r="AR56" s="60"/>
      <c r="AS56" s="60"/>
      <c r="AT56" s="471"/>
      <c r="AU56" s="1181"/>
      <c r="AV56" s="1181"/>
      <c r="AW56" s="60"/>
      <c r="AX56" s="60"/>
      <c r="AY56" s="60"/>
      <c r="AZ56" s="60"/>
      <c r="BA56" s="60"/>
      <c r="BB56" s="60"/>
      <c r="BC56" s="60"/>
      <c r="BD56" s="293">
        <f>IF(AI56=0,0,(AT56-AI56)/AI56*100)</f>
        <v>0</v>
      </c>
      <c r="BE56" s="293">
        <f t="shared" ref="BE56:BM56" si="23">IF(AT56=0,0,(AU56-AT56)/AT56*100)</f>
        <v>0</v>
      </c>
      <c r="BF56" s="293">
        <f t="shared" si="23"/>
        <v>0</v>
      </c>
      <c r="BG56" s="293">
        <f t="shared" si="23"/>
        <v>0</v>
      </c>
      <c r="BH56" s="293">
        <f t="shared" si="23"/>
        <v>0</v>
      </c>
      <c r="BI56" s="293">
        <f t="shared" si="23"/>
        <v>0</v>
      </c>
      <c r="BJ56" s="293">
        <f t="shared" si="23"/>
        <v>0</v>
      </c>
      <c r="BK56" s="293">
        <f t="shared" si="23"/>
        <v>0</v>
      </c>
      <c r="BL56" s="293">
        <f t="shared" si="23"/>
        <v>0</v>
      </c>
      <c r="BM56" s="293">
        <f t="shared" si="23"/>
        <v>0</v>
      </c>
      <c r="BN56" s="45"/>
      <c r="BO56" s="45"/>
      <c r="BP56" s="45"/>
      <c r="BS56" s="944" t="s">
        <v>1085</v>
      </c>
      <c r="BT56" s="944" t="s">
        <v>1015</v>
      </c>
      <c r="BU56" s="954">
        <f>AC56</f>
        <v>0</v>
      </c>
      <c r="BW56" s="945" t="b">
        <v>1</v>
      </c>
    </row>
    <row r="57" spans="5:75" s="493" customFormat="1" ht="16.7" hidden="1" customHeight="1">
      <c r="E57" s="623">
        <v>17.100000000000001</v>
      </c>
      <c r="F57" s="714">
        <f t="shared" ca="1" si="6"/>
        <v>0</v>
      </c>
      <c r="T57" s="634" t="b">
        <f ca="1">F57&gt;0</f>
        <v>0</v>
      </c>
      <c r="W57" s="291" t="s">
        <v>1422</v>
      </c>
      <c r="X57" s="1527"/>
      <c r="Z57" s="1527"/>
      <c r="AB57" s="236"/>
      <c r="AC57" s="562" t="s">
        <v>172</v>
      </c>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855"/>
      <c r="BO57" s="855"/>
      <c r="BP57" s="851"/>
      <c r="BS57" s="944" t="str">
        <f>IF(AND(ISNUMBER(VALUE(TRIM(SUBSTITUTE(AB57,".","")))),TRIM(SUBSTITUTE(AB57,".",""))&lt;&gt;""),"P"&amp;SUBSTITUTE(AB57,".",""),"")</f>
        <v/>
      </c>
      <c r="BT57" s="957"/>
      <c r="BU57" s="957"/>
      <c r="BV57" s="958" t="s">
        <v>1015</v>
      </c>
      <c r="BW57" s="958"/>
    </row>
    <row r="58" spans="5:75" ht="16.7" hidden="1" customHeight="1">
      <c r="E58" s="623">
        <v>17.100000000000001</v>
      </c>
      <c r="F58" s="714">
        <f t="shared" ca="1" si="6"/>
        <v>0</v>
      </c>
      <c r="T58" s="634" t="b">
        <f ca="1">T57</f>
        <v>0</v>
      </c>
      <c r="X58" s="1405"/>
      <c r="Z58" s="1405"/>
      <c r="AB58" s="495" t="s">
        <v>1423</v>
      </c>
      <c r="AC58" s="496" t="s">
        <v>1424</v>
      </c>
      <c r="AD58" s="504" t="s">
        <v>837</v>
      </c>
      <c r="AE58" s="469">
        <f ca="1">AE28+AE29+AE30+IF(method_reg="Метод индексации",AE43+AE47,AE31+AE34)+AE49+AE50+AE51+AE52+AE53+AE54</f>
        <v>0</v>
      </c>
      <c r="AF58" s="469">
        <f ca="1">AF28+AF29+AF30+IF(method_reg="Метод индексации",AF43+AF47,AF31+AF34)+AF49+AF50+AF51+AF52+AF53+AF54</f>
        <v>0</v>
      </c>
      <c r="AG58" s="469">
        <f ca="1">AG28+AG29+AG30+IF(method_reg="Метод индексации",AG43+AG47,AG31+AG34)+AG49+AG50+AG51+AG52+AG53+AG54</f>
        <v>0</v>
      </c>
      <c r="AH58" s="293">
        <f ca="1">AG58-AF58</f>
        <v>0</v>
      </c>
      <c r="AI58" s="469">
        <f t="shared" ref="AI58:BC58" ca="1" si="24">AI28+AI29+AI30+IF(method_reg="Метод индексации",AI43+AI47,AI31+AI34)+AI49+AI50+AI51+AI52+AI53+AI54</f>
        <v>0</v>
      </c>
      <c r="AJ58" s="469">
        <f t="shared" ca="1" si="24"/>
        <v>0</v>
      </c>
      <c r="AK58" s="469">
        <f t="shared" ca="1" si="24"/>
        <v>0</v>
      </c>
      <c r="AL58" s="469">
        <f t="shared" ca="1" si="24"/>
        <v>0</v>
      </c>
      <c r="AM58" s="469">
        <f t="shared" ca="1" si="24"/>
        <v>0</v>
      </c>
      <c r="AN58" s="469">
        <f t="shared" ca="1" si="24"/>
        <v>0</v>
      </c>
      <c r="AO58" s="469">
        <f t="shared" ca="1" si="24"/>
        <v>0</v>
      </c>
      <c r="AP58" s="469">
        <f t="shared" ca="1" si="24"/>
        <v>0</v>
      </c>
      <c r="AQ58" s="469">
        <f t="shared" ca="1" si="24"/>
        <v>0</v>
      </c>
      <c r="AR58" s="469">
        <f t="shared" ca="1" si="24"/>
        <v>0</v>
      </c>
      <c r="AS58" s="469">
        <f t="shared" ca="1" si="24"/>
        <v>0</v>
      </c>
      <c r="AT58" s="469">
        <f t="shared" ca="1" si="24"/>
        <v>0</v>
      </c>
      <c r="AU58" s="469">
        <f t="shared" ca="1" si="24"/>
        <v>0</v>
      </c>
      <c r="AV58" s="469">
        <f t="shared" ca="1" si="24"/>
        <v>0</v>
      </c>
      <c r="AW58" s="469">
        <f t="shared" ca="1" si="24"/>
        <v>0</v>
      </c>
      <c r="AX58" s="469">
        <f t="shared" ca="1" si="24"/>
        <v>0</v>
      </c>
      <c r="AY58" s="469">
        <f t="shared" ca="1" si="24"/>
        <v>0</v>
      </c>
      <c r="AZ58" s="469">
        <f t="shared" ca="1" si="24"/>
        <v>0</v>
      </c>
      <c r="BA58" s="469">
        <f t="shared" ca="1" si="24"/>
        <v>0</v>
      </c>
      <c r="BB58" s="469">
        <f t="shared" ca="1" si="24"/>
        <v>0</v>
      </c>
      <c r="BC58" s="469">
        <f t="shared" ca="1" si="24"/>
        <v>0</v>
      </c>
      <c r="BD58" s="293">
        <f ca="1">IF(AI58=0,0,(AT58-AI58)/AI58*100)</f>
        <v>0</v>
      </c>
      <c r="BE58" s="293">
        <f t="shared" ref="BE58:BM62" ca="1" si="25">IF(AT58=0,0,(AU58-AT58)/AT58*100)</f>
        <v>0</v>
      </c>
      <c r="BF58" s="293">
        <f t="shared" ca="1" si="25"/>
        <v>0</v>
      </c>
      <c r="BG58" s="293">
        <f t="shared" ca="1" si="25"/>
        <v>0</v>
      </c>
      <c r="BH58" s="293">
        <f t="shared" ca="1" si="25"/>
        <v>0</v>
      </c>
      <c r="BI58" s="293">
        <f t="shared" ca="1" si="25"/>
        <v>0</v>
      </c>
      <c r="BJ58" s="293">
        <f t="shared" ca="1" si="25"/>
        <v>0</v>
      </c>
      <c r="BK58" s="293">
        <f t="shared" ca="1" si="25"/>
        <v>0</v>
      </c>
      <c r="BL58" s="293">
        <f t="shared" ca="1" si="25"/>
        <v>0</v>
      </c>
      <c r="BM58" s="293">
        <f t="shared" ca="1" si="25"/>
        <v>0</v>
      </c>
      <c r="BN58" s="26"/>
      <c r="BO58" s="26"/>
      <c r="BP58" s="26"/>
      <c r="BS58" s="944" t="s">
        <v>1425</v>
      </c>
    </row>
    <row r="59" spans="5:75" ht="48.75" hidden="1" customHeight="1">
      <c r="E59" s="623">
        <v>50</v>
      </c>
      <c r="F59" s="714">
        <f t="shared" ca="1" si="6"/>
        <v>0</v>
      </c>
      <c r="T59" s="634" t="b">
        <f ca="1">T58</f>
        <v>0</v>
      </c>
      <c r="X59" s="1405"/>
      <c r="Z59" s="1405"/>
      <c r="AB59" s="490" t="s">
        <v>1426</v>
      </c>
      <c r="AC59" s="843" t="s">
        <v>1427</v>
      </c>
      <c r="AD59" s="499" t="s">
        <v>837</v>
      </c>
      <c r="AE59" s="75"/>
      <c r="AF59" s="75"/>
      <c r="AG59" s="75"/>
      <c r="AH59" s="293">
        <f>AG59-AF59</f>
        <v>0</v>
      </c>
      <c r="AI59" s="75"/>
      <c r="AJ59" s="508"/>
      <c r="AK59" s="1200"/>
      <c r="AL59" s="1200"/>
      <c r="AM59" s="75"/>
      <c r="AN59" s="75"/>
      <c r="AO59" s="75"/>
      <c r="AP59" s="75"/>
      <c r="AQ59" s="75"/>
      <c r="AR59" s="75"/>
      <c r="AS59" s="75"/>
      <c r="AT59" s="508"/>
      <c r="AU59" s="1200"/>
      <c r="AV59" s="1200"/>
      <c r="AW59" s="75"/>
      <c r="AX59" s="75"/>
      <c r="AY59" s="75"/>
      <c r="AZ59" s="75"/>
      <c r="BA59" s="75"/>
      <c r="BB59" s="75"/>
      <c r="BC59" s="75"/>
      <c r="BD59" s="293">
        <f>IF(AI59=0,0,(AT59-AI59)/AI59*100)</f>
        <v>0</v>
      </c>
      <c r="BE59" s="293">
        <f t="shared" si="25"/>
        <v>0</v>
      </c>
      <c r="BF59" s="293">
        <f t="shared" si="25"/>
        <v>0</v>
      </c>
      <c r="BG59" s="293">
        <f t="shared" si="25"/>
        <v>0</v>
      </c>
      <c r="BH59" s="293">
        <f t="shared" si="25"/>
        <v>0</v>
      </c>
      <c r="BI59" s="293">
        <f t="shared" si="25"/>
        <v>0</v>
      </c>
      <c r="BJ59" s="293">
        <f t="shared" si="25"/>
        <v>0</v>
      </c>
      <c r="BK59" s="293">
        <f t="shared" si="25"/>
        <v>0</v>
      </c>
      <c r="BL59" s="293">
        <f t="shared" si="25"/>
        <v>0</v>
      </c>
      <c r="BM59" s="293">
        <f t="shared" si="25"/>
        <v>0</v>
      </c>
      <c r="BN59" s="26"/>
      <c r="BO59" s="26"/>
      <c r="BP59" s="26"/>
      <c r="BS59" s="944" t="s">
        <v>1428</v>
      </c>
    </row>
    <row r="60" spans="5:75" ht="16.7" hidden="1" customHeight="1">
      <c r="E60" s="623">
        <v>17.100000000000001</v>
      </c>
      <c r="F60" s="714">
        <f t="shared" ca="1" si="6"/>
        <v>0</v>
      </c>
      <c r="G60" s="130" t="s">
        <v>1429</v>
      </c>
      <c r="T60" s="634" t="b">
        <f ca="1">T59</f>
        <v>0</v>
      </c>
      <c r="X60" s="1405"/>
      <c r="Z60" s="1405"/>
      <c r="AB60" s="495" t="s">
        <v>1430</v>
      </c>
      <c r="AC60" s="844" t="s">
        <v>1431</v>
      </c>
      <c r="AD60" s="499" t="s">
        <v>837</v>
      </c>
      <c r="AE60" s="526">
        <f ca="1">AE58+AE59</f>
        <v>0</v>
      </c>
      <c r="AF60" s="526">
        <f ca="1">AF58+AF59</f>
        <v>0</v>
      </c>
      <c r="AG60" s="526">
        <f ca="1">AG58+AG59</f>
        <v>0</v>
      </c>
      <c r="AH60" s="293">
        <f ca="1">AG60-AF60</f>
        <v>0</v>
      </c>
      <c r="AI60" s="526">
        <f t="shared" ref="AI60:BC60" ca="1" si="26">AI58+AI59</f>
        <v>0</v>
      </c>
      <c r="AJ60" s="526">
        <f t="shared" ca="1" si="26"/>
        <v>0</v>
      </c>
      <c r="AK60" s="526">
        <f t="shared" ca="1" si="26"/>
        <v>0</v>
      </c>
      <c r="AL60" s="526">
        <f t="shared" ca="1" si="26"/>
        <v>0</v>
      </c>
      <c r="AM60" s="526">
        <f t="shared" ca="1" si="26"/>
        <v>0</v>
      </c>
      <c r="AN60" s="526">
        <f t="shared" ca="1" si="26"/>
        <v>0</v>
      </c>
      <c r="AO60" s="526">
        <f t="shared" ca="1" si="26"/>
        <v>0</v>
      </c>
      <c r="AP60" s="526">
        <f t="shared" ca="1" si="26"/>
        <v>0</v>
      </c>
      <c r="AQ60" s="526">
        <f t="shared" ca="1" si="26"/>
        <v>0</v>
      </c>
      <c r="AR60" s="526">
        <f t="shared" ca="1" si="26"/>
        <v>0</v>
      </c>
      <c r="AS60" s="526">
        <f t="shared" ca="1" si="26"/>
        <v>0</v>
      </c>
      <c r="AT60" s="526">
        <f t="shared" ca="1" si="26"/>
        <v>0</v>
      </c>
      <c r="AU60" s="526">
        <f t="shared" ca="1" si="26"/>
        <v>0</v>
      </c>
      <c r="AV60" s="526">
        <f t="shared" ca="1" si="26"/>
        <v>0</v>
      </c>
      <c r="AW60" s="526">
        <f t="shared" ca="1" si="26"/>
        <v>0</v>
      </c>
      <c r="AX60" s="526">
        <f t="shared" ca="1" si="26"/>
        <v>0</v>
      </c>
      <c r="AY60" s="526">
        <f t="shared" ca="1" si="26"/>
        <v>0</v>
      </c>
      <c r="AZ60" s="526">
        <f t="shared" ca="1" si="26"/>
        <v>0</v>
      </c>
      <c r="BA60" s="526">
        <f t="shared" ca="1" si="26"/>
        <v>0</v>
      </c>
      <c r="BB60" s="526">
        <f t="shared" ca="1" si="26"/>
        <v>0</v>
      </c>
      <c r="BC60" s="526">
        <f t="shared" ca="1" si="26"/>
        <v>0</v>
      </c>
      <c r="BD60" s="293">
        <f ca="1">IF(AI60=0,0,(AT60-AI60)/AI60*100)</f>
        <v>0</v>
      </c>
      <c r="BE60" s="293">
        <f t="shared" ca="1" si="25"/>
        <v>0</v>
      </c>
      <c r="BF60" s="293">
        <f t="shared" ca="1" si="25"/>
        <v>0</v>
      </c>
      <c r="BG60" s="293">
        <f t="shared" ca="1" si="25"/>
        <v>0</v>
      </c>
      <c r="BH60" s="293">
        <f t="shared" ca="1" si="25"/>
        <v>0</v>
      </c>
      <c r="BI60" s="293">
        <f t="shared" ca="1" si="25"/>
        <v>0</v>
      </c>
      <c r="BJ60" s="293">
        <f t="shared" ca="1" si="25"/>
        <v>0</v>
      </c>
      <c r="BK60" s="293">
        <f t="shared" ca="1" si="25"/>
        <v>0</v>
      </c>
      <c r="BL60" s="293">
        <f t="shared" ca="1" si="25"/>
        <v>0</v>
      </c>
      <c r="BM60" s="293">
        <f t="shared" ca="1" si="25"/>
        <v>0</v>
      </c>
      <c r="BN60" s="26"/>
      <c r="BO60" s="26"/>
      <c r="BP60" s="26"/>
      <c r="BS60" s="944" t="s">
        <v>1432</v>
      </c>
    </row>
    <row r="61" spans="5:75" ht="16.7" hidden="1" customHeight="1">
      <c r="E61" s="623">
        <v>17.100000000000001</v>
      </c>
      <c r="F61" s="714">
        <f t="shared" ca="1" si="6"/>
        <v>0</v>
      </c>
      <c r="G61" s="130" t="s">
        <v>780</v>
      </c>
      <c r="R61" s="130" t="s">
        <v>1433</v>
      </c>
      <c r="T61" s="634" t="b">
        <f ca="1">AND(F61&gt;0,G27="двухставочный")</f>
        <v>0</v>
      </c>
      <c r="X61" s="1405"/>
      <c r="Z61" s="1405"/>
      <c r="AB61" s="503" t="str">
        <f>AB60&amp;".1"</f>
        <v>14.1</v>
      </c>
      <c r="AC61" s="473" t="s">
        <v>1434</v>
      </c>
      <c r="AD61" s="242" t="s">
        <v>648</v>
      </c>
      <c r="AE61" s="60">
        <f ca="1">SUMIFS('Ресурсы (5.4)'!AE$26:AE$47,'Ресурсы (5.4)'!$F$26:$F$47,$F61,'Ресурсы (5.4)'!$AB$26:$AB$47,"6.1")</f>
        <v>0</v>
      </c>
      <c r="AF61" s="60">
        <f ca="1">SUMIFS('Ресурсы (5.4)'!AF$26:AF$47,'Ресурсы (5.4)'!$F$26:$F$47,$F61,'Ресурсы (5.4)'!$AB$26:$AB$47,"6.1")</f>
        <v>0</v>
      </c>
      <c r="AG61" s="60">
        <f ca="1">SUMIFS('Ресурсы (5.4)'!AG$26:AG$47,'Ресурсы (5.4)'!$F$26:$F$47,$F61,'Ресурсы (5.4)'!$AB$26:$AB$47,"6.1")</f>
        <v>0</v>
      </c>
      <c r="AH61" s="293">
        <f ca="1">AG61-AF61</f>
        <v>0</v>
      </c>
      <c r="AI61" s="60">
        <f ca="1">SUMIFS('Ресурсы (5.4)'!AI$26:AI$47,'Ресурсы (5.4)'!$F$26:$F$47,$F61,'Ресурсы (5.4)'!$AB$26:$AB$47,"6.1")</f>
        <v>0</v>
      </c>
      <c r="AJ61" s="471">
        <f ca="1">SUMIFS('Ресурсы (5.4)'!AJ$26:AJ$47,'Ресурсы (5.4)'!$F$26:$F$47,$F61,'Ресурсы (5.4)'!$AB$26:$AB$47,"6.1")</f>
        <v>0</v>
      </c>
      <c r="AK61" s="1181">
        <f ca="1">SUMIFS('Ресурсы (5.4)'!AK$26:AK$47,'Ресурсы (5.4)'!$F$26:$F$47,$F61,'Ресурсы (5.4)'!$AB$26:$AB$47,"6.1")</f>
        <v>0</v>
      </c>
      <c r="AL61" s="1181">
        <f ca="1">SUMIFS('Ресурсы (5.4)'!AL$26:AL$47,'Ресурсы (5.4)'!$F$26:$F$47,$F61,'Ресурсы (5.4)'!$AB$26:$AB$47,"6.1")</f>
        <v>0</v>
      </c>
      <c r="AM61" s="60">
        <f ca="1">SUMIFS('Ресурсы (5.4)'!AM$26:AM$47,'Ресурсы (5.4)'!$F$26:$F$47,$F61,'Ресурсы (5.4)'!$AB$26:$AB$47,"6.1")</f>
        <v>0</v>
      </c>
      <c r="AN61" s="60">
        <f ca="1">SUMIFS('Ресурсы (5.4)'!AN$26:AN$47,'Ресурсы (5.4)'!$F$26:$F$47,$F61,'Ресурсы (5.4)'!$AB$26:$AB$47,"6.1")</f>
        <v>0</v>
      </c>
      <c r="AO61" s="60">
        <f ca="1">SUMIFS('Ресурсы (5.4)'!AO$26:AO$47,'Ресурсы (5.4)'!$F$26:$F$47,$F61,'Ресурсы (5.4)'!$AB$26:$AB$47,"6.1")</f>
        <v>0</v>
      </c>
      <c r="AP61" s="60">
        <f ca="1">SUMIFS('Ресурсы (5.4)'!AP$26:AP$47,'Ресурсы (5.4)'!$F$26:$F$47,$F61,'Ресурсы (5.4)'!$AB$26:$AB$47,"6.1")</f>
        <v>0</v>
      </c>
      <c r="AQ61" s="60">
        <f ca="1">SUMIFS('Ресурсы (5.4)'!AQ$26:AQ$47,'Ресурсы (5.4)'!$F$26:$F$47,$F61,'Ресурсы (5.4)'!$AB$26:$AB$47,"6.1")</f>
        <v>0</v>
      </c>
      <c r="AR61" s="60">
        <f ca="1">SUMIFS('Ресурсы (5.4)'!AR$26:AR$47,'Ресурсы (5.4)'!$F$26:$F$47,$F61,'Ресурсы (5.4)'!$AB$26:$AB$47,"6.1")</f>
        <v>0</v>
      </c>
      <c r="AS61" s="60">
        <f ca="1">SUMIFS('Ресурсы (5.4)'!AS$26:AS$47,'Ресурсы (5.4)'!$F$26:$F$47,$F61,'Ресурсы (5.4)'!$AB$26:$AB$47,"6.1")</f>
        <v>0</v>
      </c>
      <c r="AT61" s="471">
        <f ca="1">SUMIFS('Ресурсы (5.4)'!AT$26:AT$47,'Ресурсы (5.4)'!$F$26:$F$47,$F61,'Ресурсы (5.4)'!$AB$26:$AB$47,"6.1")</f>
        <v>0</v>
      </c>
      <c r="AU61" s="1181">
        <f ca="1">SUMIFS('Ресурсы (5.4)'!AU$26:AU$47,'Ресурсы (5.4)'!$F$26:$F$47,$F61,'Ресурсы (5.4)'!$AB$26:$AB$47,"6.1")</f>
        <v>0</v>
      </c>
      <c r="AV61" s="1181">
        <f ca="1">SUMIFS('Ресурсы (5.4)'!AV$26:AV$47,'Ресурсы (5.4)'!$F$26:$F$47,$F61,'Ресурсы (5.4)'!$AB$26:$AB$47,"6.1")</f>
        <v>0</v>
      </c>
      <c r="AW61" s="60">
        <f ca="1">SUMIFS('Ресурсы (5.4)'!AW$26:AW$47,'Ресурсы (5.4)'!$F$26:$F$47,$F61,'Ресурсы (5.4)'!$AB$26:$AB$47,"6.1")</f>
        <v>0</v>
      </c>
      <c r="AX61" s="60">
        <f ca="1">SUMIFS('Ресурсы (5.4)'!AX$26:AX$47,'Ресурсы (5.4)'!$F$26:$F$47,$F61,'Ресурсы (5.4)'!$AB$26:$AB$47,"6.1")</f>
        <v>0</v>
      </c>
      <c r="AY61" s="60">
        <f ca="1">SUMIFS('Ресурсы (5.4)'!AY$26:AY$47,'Ресурсы (5.4)'!$F$26:$F$47,$F61,'Ресурсы (5.4)'!$AB$26:$AB$47,"6.1")</f>
        <v>0</v>
      </c>
      <c r="AZ61" s="60">
        <f ca="1">SUMIFS('Ресурсы (5.4)'!AZ$26:AZ$47,'Ресурсы (5.4)'!$F$26:$F$47,$F61,'Ресурсы (5.4)'!$AB$26:$AB$47,"6.1")</f>
        <v>0</v>
      </c>
      <c r="BA61" s="60">
        <f ca="1">SUMIFS('Ресурсы (5.4)'!BA$26:BA$47,'Ресурсы (5.4)'!$F$26:$F$47,$F61,'Ресурсы (5.4)'!$AB$26:$AB$47,"6.1")</f>
        <v>0</v>
      </c>
      <c r="BB61" s="60">
        <f ca="1">SUMIFS('Ресурсы (5.4)'!BB$26:BB$47,'Ресурсы (5.4)'!$F$26:$F$47,$F61,'Ресурсы (5.4)'!$AB$26:$AB$47,"6.1")</f>
        <v>0</v>
      </c>
      <c r="BC61" s="60">
        <f ca="1">SUMIFS('Ресурсы (5.4)'!BC$26:BC$47,'Ресурсы (5.4)'!$F$26:$F$47,$F61,'Ресурсы (5.4)'!$AB$26:$AB$47,"6.1")</f>
        <v>0</v>
      </c>
      <c r="BD61" s="293">
        <f ca="1">IF(AI61=0,0,(AT61-AI61)/AI61*100)</f>
        <v>0</v>
      </c>
      <c r="BE61" s="293">
        <f t="shared" ca="1" si="25"/>
        <v>0</v>
      </c>
      <c r="BF61" s="293">
        <f t="shared" ca="1" si="25"/>
        <v>0</v>
      </c>
      <c r="BG61" s="293">
        <f t="shared" ca="1" si="25"/>
        <v>0</v>
      </c>
      <c r="BH61" s="293">
        <f t="shared" ca="1" si="25"/>
        <v>0</v>
      </c>
      <c r="BI61" s="293">
        <f t="shared" ca="1" si="25"/>
        <v>0</v>
      </c>
      <c r="BJ61" s="293">
        <f t="shared" ca="1" si="25"/>
        <v>0</v>
      </c>
      <c r="BK61" s="293">
        <f t="shared" ca="1" si="25"/>
        <v>0</v>
      </c>
      <c r="BL61" s="293">
        <f t="shared" ca="1" si="25"/>
        <v>0</v>
      </c>
      <c r="BM61" s="293">
        <f t="shared" ca="1" si="25"/>
        <v>0</v>
      </c>
      <c r="BN61" s="22"/>
      <c r="BO61" s="22"/>
      <c r="BP61" s="22"/>
      <c r="BS61" s="944" t="s">
        <v>1435</v>
      </c>
    </row>
    <row r="62" spans="5:75" ht="16.7" hidden="1" customHeight="1">
      <c r="E62" s="623">
        <v>17.100000000000001</v>
      </c>
      <c r="F62" s="714">
        <f t="shared" ca="1" si="6"/>
        <v>0</v>
      </c>
      <c r="R62" s="130" t="s">
        <v>1433</v>
      </c>
      <c r="T62" s="634" t="b">
        <f ca="1">T61</f>
        <v>0</v>
      </c>
      <c r="X62" s="1405"/>
      <c r="Z62" s="1405"/>
      <c r="AB62" s="503" t="str">
        <f>AB60&amp;".2"</f>
        <v>14.2</v>
      </c>
      <c r="AC62" s="473" t="s">
        <v>1436</v>
      </c>
      <c r="AD62" s="242" t="s">
        <v>648</v>
      </c>
      <c r="AE62" s="469">
        <f ca="1">AE60-AE61</f>
        <v>0</v>
      </c>
      <c r="AF62" s="469">
        <f ca="1">AF60-AF61</f>
        <v>0</v>
      </c>
      <c r="AG62" s="469">
        <f ca="1">AG60-AG61</f>
        <v>0</v>
      </c>
      <c r="AH62" s="293">
        <f ca="1">AG62-AF62</f>
        <v>0</v>
      </c>
      <c r="AI62" s="469">
        <f t="shared" ref="AI62:BC62" ca="1" si="27">AI60-AI61</f>
        <v>0</v>
      </c>
      <c r="AJ62" s="469">
        <f t="shared" ca="1" si="27"/>
        <v>0</v>
      </c>
      <c r="AK62" s="469">
        <f t="shared" ca="1" si="27"/>
        <v>0</v>
      </c>
      <c r="AL62" s="469">
        <f t="shared" ca="1" si="27"/>
        <v>0</v>
      </c>
      <c r="AM62" s="469">
        <f t="shared" ca="1" si="27"/>
        <v>0</v>
      </c>
      <c r="AN62" s="469">
        <f t="shared" ca="1" si="27"/>
        <v>0</v>
      </c>
      <c r="AO62" s="469">
        <f t="shared" ca="1" si="27"/>
        <v>0</v>
      </c>
      <c r="AP62" s="469">
        <f t="shared" ca="1" si="27"/>
        <v>0</v>
      </c>
      <c r="AQ62" s="469">
        <f t="shared" ca="1" si="27"/>
        <v>0</v>
      </c>
      <c r="AR62" s="469">
        <f t="shared" ca="1" si="27"/>
        <v>0</v>
      </c>
      <c r="AS62" s="469">
        <f t="shared" ca="1" si="27"/>
        <v>0</v>
      </c>
      <c r="AT62" s="469">
        <f t="shared" ca="1" si="27"/>
        <v>0</v>
      </c>
      <c r="AU62" s="469">
        <f t="shared" ca="1" si="27"/>
        <v>0</v>
      </c>
      <c r="AV62" s="469">
        <f t="shared" ca="1" si="27"/>
        <v>0</v>
      </c>
      <c r="AW62" s="469">
        <f t="shared" ca="1" si="27"/>
        <v>0</v>
      </c>
      <c r="AX62" s="469">
        <f t="shared" ca="1" si="27"/>
        <v>0</v>
      </c>
      <c r="AY62" s="469">
        <f t="shared" ca="1" si="27"/>
        <v>0</v>
      </c>
      <c r="AZ62" s="469">
        <f t="shared" ca="1" si="27"/>
        <v>0</v>
      </c>
      <c r="BA62" s="469">
        <f t="shared" ca="1" si="27"/>
        <v>0</v>
      </c>
      <c r="BB62" s="469">
        <f t="shared" ca="1" si="27"/>
        <v>0</v>
      </c>
      <c r="BC62" s="500">
        <f t="shared" ca="1" si="27"/>
        <v>0</v>
      </c>
      <c r="BD62" s="293">
        <f ca="1">IF(AI62=0,0,(AT62-AI62)/AI62*100)</f>
        <v>0</v>
      </c>
      <c r="BE62" s="293">
        <f t="shared" ca="1" si="25"/>
        <v>0</v>
      </c>
      <c r="BF62" s="293">
        <f t="shared" ca="1" si="25"/>
        <v>0</v>
      </c>
      <c r="BG62" s="293">
        <f t="shared" ca="1" si="25"/>
        <v>0</v>
      </c>
      <c r="BH62" s="293">
        <f t="shared" ca="1" si="25"/>
        <v>0</v>
      </c>
      <c r="BI62" s="293">
        <f t="shared" ca="1" si="25"/>
        <v>0</v>
      </c>
      <c r="BJ62" s="293">
        <f t="shared" ca="1" si="25"/>
        <v>0</v>
      </c>
      <c r="BK62" s="293">
        <f t="shared" ca="1" si="25"/>
        <v>0</v>
      </c>
      <c r="BL62" s="293">
        <f t="shared" ca="1" si="25"/>
        <v>0</v>
      </c>
      <c r="BM62" s="293">
        <f t="shared" ca="1" si="25"/>
        <v>0</v>
      </c>
      <c r="BN62" s="22"/>
      <c r="BO62" s="22"/>
      <c r="BP62" s="22"/>
      <c r="BS62" s="944" t="s">
        <v>1437</v>
      </c>
    </row>
    <row r="63" spans="5:75" ht="16.7" hidden="1" customHeight="1">
      <c r="E63" s="623">
        <v>17.100000000000001</v>
      </c>
      <c r="F63" s="714">
        <f t="shared" ca="1" si="6"/>
        <v>0</v>
      </c>
      <c r="T63" s="634" t="b">
        <f ca="1">T60</f>
        <v>0</v>
      </c>
      <c r="X63" s="1405"/>
      <c r="Z63" s="1405"/>
      <c r="AB63" s="246" t="s">
        <v>1438</v>
      </c>
      <c r="AC63" s="243" t="s">
        <v>1439</v>
      </c>
      <c r="AD63" s="479" t="s">
        <v>491</v>
      </c>
      <c r="AE63" s="293">
        <f ca="1">SUMIFS('Баланс ТН'!AE$27:AE$101,'Баланс ТН'!$F$27:$F$101,$F63,'Баланс ТН'!$AB$27:$AB$101,"7")</f>
        <v>0</v>
      </c>
      <c r="AF63" s="470"/>
      <c r="AG63" s="470"/>
      <c r="AH63" s="470"/>
      <c r="AI63" s="293">
        <f ca="1">SUMIFS('Баланс ТН'!AH$27:AH$101,'Баланс ТН'!$F$27:$F$101,$F63,'Баланс ТН'!$AB$27:$AB$101,"7")</f>
        <v>0</v>
      </c>
      <c r="AJ63" s="293">
        <f ca="1">SUMIFS('Баланс ТН'!AI$27:AI$101,'Баланс ТН'!$F$27:$F$101,$F63,'Баланс ТН'!$AB$27:$AB$101,"7")</f>
        <v>0</v>
      </c>
      <c r="AK63" s="293">
        <f ca="1">SUMIFS('Баланс ТН'!AJ$27:AJ$101,'Баланс ТН'!$F$27:$F$101,$F63,'Баланс ТН'!$AB$27:$AB$101,"7")</f>
        <v>0</v>
      </c>
      <c r="AL63" s="293">
        <f ca="1">SUMIFS('Баланс ТН'!AK$27:AK$101,'Баланс ТН'!$F$27:$F$101,$F63,'Баланс ТН'!$AB$27:$AB$101,"7")</f>
        <v>0</v>
      </c>
      <c r="AM63" s="293">
        <f ca="1">SUMIFS('Баланс ТН'!AL$27:AL$101,'Баланс ТН'!$F$27:$F$101,$F63,'Баланс ТН'!$AB$27:$AB$101,"7")</f>
        <v>0</v>
      </c>
      <c r="AN63" s="293">
        <f ca="1">SUMIFS('Баланс ТН'!AM$27:AM$101,'Баланс ТН'!$F$27:$F$101,$F63,'Баланс ТН'!$AB$27:$AB$101,"7")</f>
        <v>0</v>
      </c>
      <c r="AO63" s="293">
        <f ca="1">SUMIFS('Баланс ТН'!AN$27:AN$101,'Баланс ТН'!$F$27:$F$101,$F63,'Баланс ТН'!$AB$27:$AB$101,"7")</f>
        <v>0</v>
      </c>
      <c r="AP63" s="293">
        <f ca="1">SUMIFS('Баланс ТН'!AO$27:AO$101,'Баланс ТН'!$F$27:$F$101,$F63,'Баланс ТН'!$AB$27:$AB$101,"7")</f>
        <v>0</v>
      </c>
      <c r="AQ63" s="293">
        <f ca="1">SUMIFS('Баланс ТН'!AP$27:AP$101,'Баланс ТН'!$F$27:$F$101,$F63,'Баланс ТН'!$AB$27:$AB$101,"7")</f>
        <v>0</v>
      </c>
      <c r="AR63" s="293">
        <f ca="1">SUMIFS('Баланс ТН'!AQ$27:AQ$101,'Баланс ТН'!$F$27:$F$101,$F63,'Баланс ТН'!$AB$27:$AB$101,"7")</f>
        <v>0</v>
      </c>
      <c r="AS63" s="293">
        <f ca="1">SUMIFS('Баланс ТН'!AR$27:AR$101,'Баланс ТН'!$F$27:$F$101,$F63,'Баланс ТН'!$AB$27:$AB$101,"7")</f>
        <v>0</v>
      </c>
      <c r="AT63" s="293">
        <f ca="1">SUMIFS('Баланс ТН'!AS$27:AS$101,'Баланс ТН'!$F$27:$F$101,$F63,'Баланс ТН'!$AB$27:$AB$101,"7")</f>
        <v>0</v>
      </c>
      <c r="AU63" s="293">
        <f ca="1">SUMIFS('Баланс ТН'!AT$27:AT$101,'Баланс ТН'!$F$27:$F$101,$F63,'Баланс ТН'!$AB$27:$AB$101,"7")</f>
        <v>0</v>
      </c>
      <c r="AV63" s="293">
        <f ca="1">SUMIFS('Баланс ТН'!AU$27:AU$101,'Баланс ТН'!$F$27:$F$101,$F63,'Баланс ТН'!$AB$27:$AB$101,"7")</f>
        <v>0</v>
      </c>
      <c r="AW63" s="293">
        <f ca="1">SUMIFS('Баланс ТН'!AV$27:AV$101,'Баланс ТН'!$F$27:$F$101,$F63,'Баланс ТН'!$AB$27:$AB$101,"7")</f>
        <v>0</v>
      </c>
      <c r="AX63" s="293">
        <f ca="1">SUMIFS('Баланс ТН'!AW$27:AW$101,'Баланс ТН'!$F$27:$F$101,$F63,'Баланс ТН'!$AB$27:$AB$101,"7")</f>
        <v>0</v>
      </c>
      <c r="AY63" s="293">
        <f ca="1">SUMIFS('Баланс ТН'!AX$27:AX$101,'Баланс ТН'!$F$27:$F$101,$F63,'Баланс ТН'!$AB$27:$AB$101,"7")</f>
        <v>0</v>
      </c>
      <c r="AZ63" s="293">
        <f ca="1">SUMIFS('Баланс ТН'!AY$27:AY$101,'Баланс ТН'!$F$27:$F$101,$F63,'Баланс ТН'!$AB$27:$AB$101,"7")</f>
        <v>0</v>
      </c>
      <c r="BA63" s="293">
        <f ca="1">SUMIFS('Баланс ТН'!AZ$27:AZ$101,'Баланс ТН'!$F$27:$F$101,$F63,'Баланс ТН'!$AB$27:$AB$101,"7")</f>
        <v>0</v>
      </c>
      <c r="BB63" s="293">
        <f ca="1">SUMIFS('Баланс ТН'!BA$27:BA$101,'Баланс ТН'!$F$27:$F$101,$F63,'Баланс ТН'!$AB$27:$AB$101,"7")</f>
        <v>0</v>
      </c>
      <c r="BC63" s="293">
        <f ca="1">SUMIFS('Баланс ТН'!BB$27:BB$101,'Баланс ТН'!$F$27:$F$101,$F63,'Баланс ТН'!$AB$27:$AB$101,"7")</f>
        <v>0</v>
      </c>
      <c r="BD63" s="506"/>
      <c r="BE63" s="506"/>
      <c r="BF63" s="506"/>
      <c r="BG63" s="506"/>
      <c r="BH63" s="506"/>
      <c r="BI63" s="506"/>
      <c r="BJ63" s="506"/>
      <c r="BK63" s="506"/>
      <c r="BL63" s="506"/>
      <c r="BM63" s="506"/>
      <c r="BN63" s="22"/>
      <c r="BO63" s="22"/>
      <c r="BP63" s="22"/>
      <c r="BS63" s="944" t="s">
        <v>1440</v>
      </c>
    </row>
    <row r="64" spans="5:75" ht="16.7" hidden="1" customHeight="1">
      <c r="E64" s="623">
        <v>17.100000000000001</v>
      </c>
      <c r="F64" s="714">
        <f t="shared" ca="1" si="6"/>
        <v>0</v>
      </c>
      <c r="G64" s="130" t="s">
        <v>1441</v>
      </c>
      <c r="T64" s="634" t="b">
        <f t="shared" ref="T64:T69" ca="1" si="28">T63</f>
        <v>0</v>
      </c>
      <c r="X64" s="1405"/>
      <c r="Z64" s="1405"/>
      <c r="AB64" s="503" t="str">
        <f>AB63&amp;".1"</f>
        <v>15.1</v>
      </c>
      <c r="AC64" s="223" t="s">
        <v>1442</v>
      </c>
      <c r="AD64" s="479" t="s">
        <v>491</v>
      </c>
      <c r="AE64" s="60"/>
      <c r="AF64" s="470"/>
      <c r="AG64" s="470"/>
      <c r="AH64" s="470"/>
      <c r="AI64" s="60"/>
      <c r="AJ64" s="471"/>
      <c r="AK64" s="1181"/>
      <c r="AL64" s="1181"/>
      <c r="AM64" s="60"/>
      <c r="AN64" s="60"/>
      <c r="AO64" s="60"/>
      <c r="AP64" s="60"/>
      <c r="AQ64" s="60"/>
      <c r="AR64" s="60"/>
      <c r="AS64" s="60"/>
      <c r="AT64" s="471"/>
      <c r="AU64" s="1181"/>
      <c r="AV64" s="1181"/>
      <c r="AW64" s="60"/>
      <c r="AX64" s="60"/>
      <c r="AY64" s="60"/>
      <c r="AZ64" s="60"/>
      <c r="BA64" s="60"/>
      <c r="BB64" s="60"/>
      <c r="BC64" s="60"/>
      <c r="BD64" s="294"/>
      <c r="BE64" s="294"/>
      <c r="BF64" s="294"/>
      <c r="BG64" s="294"/>
      <c r="BH64" s="294"/>
      <c r="BI64" s="294"/>
      <c r="BJ64" s="294"/>
      <c r="BK64" s="294"/>
      <c r="BL64" s="294"/>
      <c r="BM64" s="294"/>
      <c r="BN64" s="22"/>
      <c r="BO64" s="22"/>
      <c r="BP64" s="22"/>
      <c r="BS64" s="944" t="s">
        <v>1443</v>
      </c>
    </row>
    <row r="65" spans="1:75" ht="16.7" hidden="1" customHeight="1">
      <c r="E65" s="623">
        <v>17.100000000000001</v>
      </c>
      <c r="F65" s="714">
        <f t="shared" ca="1" si="6"/>
        <v>0</v>
      </c>
      <c r="G65" s="130" t="s">
        <v>1444</v>
      </c>
      <c r="T65" s="634" t="b">
        <f t="shared" ca="1" si="28"/>
        <v>0</v>
      </c>
      <c r="X65" s="1405"/>
      <c r="Z65" s="1405"/>
      <c r="AB65" s="503" t="str">
        <f>AB63&amp;".2"</f>
        <v>15.2</v>
      </c>
      <c r="AC65" s="223" t="s">
        <v>1445</v>
      </c>
      <c r="AD65" s="242" t="s">
        <v>1446</v>
      </c>
      <c r="AE65" s="60"/>
      <c r="AF65" s="470"/>
      <c r="AG65" s="470"/>
      <c r="AH65" s="470"/>
      <c r="AI65" s="60"/>
      <c r="AJ65" s="471">
        <f t="shared" ref="AJ65:AS65" ca="1" si="29">MIN(AI67,AJ69)</f>
        <v>0</v>
      </c>
      <c r="AK65" s="1181">
        <f t="shared" ca="1" si="29"/>
        <v>0</v>
      </c>
      <c r="AL65" s="1181">
        <f t="shared" ca="1" si="29"/>
        <v>0</v>
      </c>
      <c r="AM65" s="60">
        <f t="shared" ca="1" si="29"/>
        <v>0</v>
      </c>
      <c r="AN65" s="60">
        <f t="shared" ca="1" si="29"/>
        <v>0</v>
      </c>
      <c r="AO65" s="60">
        <f t="shared" ca="1" si="29"/>
        <v>0</v>
      </c>
      <c r="AP65" s="60">
        <f t="shared" ca="1" si="29"/>
        <v>0</v>
      </c>
      <c r="AQ65" s="60">
        <f t="shared" ca="1" si="29"/>
        <v>0</v>
      </c>
      <c r="AR65" s="60">
        <f t="shared" ca="1" si="29"/>
        <v>0</v>
      </c>
      <c r="AS65" s="60">
        <f t="shared" ca="1" si="29"/>
        <v>0</v>
      </c>
      <c r="AT65" s="471">
        <f ca="1">MIN(AI67,AT69)</f>
        <v>0</v>
      </c>
      <c r="AU65" s="1181">
        <f t="shared" ref="AU65:BC65" ca="1" si="30">MIN(AT67,AU69)</f>
        <v>0</v>
      </c>
      <c r="AV65" s="1181">
        <f t="shared" ca="1" si="30"/>
        <v>0</v>
      </c>
      <c r="AW65" s="60">
        <f t="shared" ca="1" si="30"/>
        <v>0</v>
      </c>
      <c r="AX65" s="60">
        <f t="shared" ca="1" si="30"/>
        <v>0</v>
      </c>
      <c r="AY65" s="60">
        <f t="shared" ca="1" si="30"/>
        <v>0</v>
      </c>
      <c r="AZ65" s="60">
        <f t="shared" ca="1" si="30"/>
        <v>0</v>
      </c>
      <c r="BA65" s="60">
        <f t="shared" ca="1" si="30"/>
        <v>0</v>
      </c>
      <c r="BB65" s="60">
        <f t="shared" ca="1" si="30"/>
        <v>0</v>
      </c>
      <c r="BC65" s="60">
        <f t="shared" ca="1" si="30"/>
        <v>0</v>
      </c>
      <c r="BD65" s="294"/>
      <c r="BE65" s="294"/>
      <c r="BF65" s="294"/>
      <c r="BG65" s="294"/>
      <c r="BH65" s="294"/>
      <c r="BI65" s="294"/>
      <c r="BJ65" s="294"/>
      <c r="BK65" s="294"/>
      <c r="BL65" s="294"/>
      <c r="BM65" s="294"/>
      <c r="BN65" s="22"/>
      <c r="BO65" s="22"/>
      <c r="BP65" s="22"/>
      <c r="BS65" s="944" t="s">
        <v>1447</v>
      </c>
    </row>
    <row r="66" spans="1:75" ht="16.7" hidden="1" customHeight="1">
      <c r="E66" s="623">
        <v>17.100000000000001</v>
      </c>
      <c r="F66" s="714">
        <f t="shared" ca="1" si="6"/>
        <v>0</v>
      </c>
      <c r="G66" s="130" t="s">
        <v>1448</v>
      </c>
      <c r="T66" s="634" t="b">
        <f t="shared" ca="1" si="28"/>
        <v>0</v>
      </c>
      <c r="X66" s="1405"/>
      <c r="Z66" s="1405"/>
      <c r="AB66" s="503" t="str">
        <f>AB63&amp;".3"</f>
        <v>15.3</v>
      </c>
      <c r="AC66" s="223" t="s">
        <v>1449</v>
      </c>
      <c r="AD66" s="479" t="s">
        <v>491</v>
      </c>
      <c r="AE66" s="469">
        <f ca="1">AE63-AE64</f>
        <v>0</v>
      </c>
      <c r="AF66" s="470"/>
      <c r="AG66" s="470"/>
      <c r="AH66" s="470"/>
      <c r="AI66" s="469">
        <f t="shared" ref="AI66:BC66" ca="1" si="31">AI63-AI64</f>
        <v>0</v>
      </c>
      <c r="AJ66" s="469">
        <f t="shared" ca="1" si="31"/>
        <v>0</v>
      </c>
      <c r="AK66" s="469">
        <f t="shared" ca="1" si="31"/>
        <v>0</v>
      </c>
      <c r="AL66" s="469">
        <f t="shared" ca="1" si="31"/>
        <v>0</v>
      </c>
      <c r="AM66" s="469">
        <f t="shared" ca="1" si="31"/>
        <v>0</v>
      </c>
      <c r="AN66" s="469">
        <f t="shared" ca="1" si="31"/>
        <v>0</v>
      </c>
      <c r="AO66" s="469">
        <f t="shared" ca="1" si="31"/>
        <v>0</v>
      </c>
      <c r="AP66" s="469">
        <f t="shared" ca="1" si="31"/>
        <v>0</v>
      </c>
      <c r="AQ66" s="469">
        <f t="shared" ca="1" si="31"/>
        <v>0</v>
      </c>
      <c r="AR66" s="469">
        <f t="shared" ca="1" si="31"/>
        <v>0</v>
      </c>
      <c r="AS66" s="469">
        <f t="shared" ca="1" si="31"/>
        <v>0</v>
      </c>
      <c r="AT66" s="469">
        <f t="shared" ca="1" si="31"/>
        <v>0</v>
      </c>
      <c r="AU66" s="469">
        <f t="shared" ca="1" si="31"/>
        <v>0</v>
      </c>
      <c r="AV66" s="469">
        <f t="shared" ca="1" si="31"/>
        <v>0</v>
      </c>
      <c r="AW66" s="469">
        <f t="shared" ca="1" si="31"/>
        <v>0</v>
      </c>
      <c r="AX66" s="469">
        <f t="shared" ca="1" si="31"/>
        <v>0</v>
      </c>
      <c r="AY66" s="469">
        <f t="shared" ca="1" si="31"/>
        <v>0</v>
      </c>
      <c r="AZ66" s="469">
        <f t="shared" ca="1" si="31"/>
        <v>0</v>
      </c>
      <c r="BA66" s="469">
        <f t="shared" ca="1" si="31"/>
        <v>0</v>
      </c>
      <c r="BB66" s="469">
        <f t="shared" ca="1" si="31"/>
        <v>0</v>
      </c>
      <c r="BC66" s="469">
        <f t="shared" ca="1" si="31"/>
        <v>0</v>
      </c>
      <c r="BD66" s="294"/>
      <c r="BE66" s="294"/>
      <c r="BF66" s="294"/>
      <c r="BG66" s="294"/>
      <c r="BH66" s="294"/>
      <c r="BI66" s="294"/>
      <c r="BJ66" s="294"/>
      <c r="BK66" s="294"/>
      <c r="BL66" s="294"/>
      <c r="BM66" s="294"/>
      <c r="BN66" s="22"/>
      <c r="BO66" s="22"/>
      <c r="BP66" s="22"/>
      <c r="BS66" s="944" t="s">
        <v>1450</v>
      </c>
    </row>
    <row r="67" spans="1:75" ht="16.7" hidden="1" customHeight="1">
      <c r="E67" s="623">
        <v>17.100000000000001</v>
      </c>
      <c r="F67" s="714">
        <f t="shared" ca="1" si="6"/>
        <v>0</v>
      </c>
      <c r="G67" s="130" t="s">
        <v>1451</v>
      </c>
      <c r="T67" s="634" t="b">
        <f t="shared" ca="1" si="28"/>
        <v>0</v>
      </c>
      <c r="X67" s="1405"/>
      <c r="Z67" s="1405"/>
      <c r="AB67" s="503" t="str">
        <f>AB63&amp;".4"</f>
        <v>15.4</v>
      </c>
      <c r="AC67" s="223" t="s">
        <v>1452</v>
      </c>
      <c r="AD67" s="242" t="s">
        <v>1446</v>
      </c>
      <c r="AE67" s="60"/>
      <c r="AF67" s="470"/>
      <c r="AG67" s="470"/>
      <c r="AH67" s="470"/>
      <c r="AI67" s="60"/>
      <c r="AJ67" s="471">
        <f t="shared" ref="AJ67:BC67" ca="1" si="32">IFERROR((AJ60-AJ64*AJ65)/AJ66,0)</f>
        <v>0</v>
      </c>
      <c r="AK67" s="1181">
        <f t="shared" ca="1" si="32"/>
        <v>0</v>
      </c>
      <c r="AL67" s="1181">
        <f t="shared" ca="1" si="32"/>
        <v>0</v>
      </c>
      <c r="AM67" s="60">
        <f t="shared" ca="1" si="32"/>
        <v>0</v>
      </c>
      <c r="AN67" s="60">
        <f t="shared" ca="1" si="32"/>
        <v>0</v>
      </c>
      <c r="AO67" s="60">
        <f t="shared" ca="1" si="32"/>
        <v>0</v>
      </c>
      <c r="AP67" s="60">
        <f t="shared" ca="1" si="32"/>
        <v>0</v>
      </c>
      <c r="AQ67" s="60">
        <f t="shared" ca="1" si="32"/>
        <v>0</v>
      </c>
      <c r="AR67" s="60">
        <f t="shared" ca="1" si="32"/>
        <v>0</v>
      </c>
      <c r="AS67" s="60">
        <f t="shared" ca="1" si="32"/>
        <v>0</v>
      </c>
      <c r="AT67" s="471">
        <f t="shared" ca="1" si="32"/>
        <v>0</v>
      </c>
      <c r="AU67" s="1181">
        <f t="shared" ca="1" si="32"/>
        <v>0</v>
      </c>
      <c r="AV67" s="1181">
        <f t="shared" ca="1" si="32"/>
        <v>0</v>
      </c>
      <c r="AW67" s="60">
        <f t="shared" ca="1" si="32"/>
        <v>0</v>
      </c>
      <c r="AX67" s="60">
        <f t="shared" ca="1" si="32"/>
        <v>0</v>
      </c>
      <c r="AY67" s="60">
        <f t="shared" ca="1" si="32"/>
        <v>0</v>
      </c>
      <c r="AZ67" s="60">
        <f t="shared" ca="1" si="32"/>
        <v>0</v>
      </c>
      <c r="BA67" s="60">
        <f t="shared" ca="1" si="32"/>
        <v>0</v>
      </c>
      <c r="BB67" s="60">
        <f t="shared" ca="1" si="32"/>
        <v>0</v>
      </c>
      <c r="BC67" s="60">
        <f t="shared" ca="1" si="32"/>
        <v>0</v>
      </c>
      <c r="BD67" s="294"/>
      <c r="BE67" s="294"/>
      <c r="BF67" s="294"/>
      <c r="BG67" s="294"/>
      <c r="BH67" s="294"/>
      <c r="BI67" s="294"/>
      <c r="BJ67" s="294"/>
      <c r="BK67" s="294"/>
      <c r="BL67" s="294"/>
      <c r="BM67" s="294"/>
      <c r="BN67" s="22"/>
      <c r="BO67" s="22"/>
      <c r="BP67" s="22"/>
      <c r="BS67" s="944" t="s">
        <v>1453</v>
      </c>
    </row>
    <row r="68" spans="1:75" ht="16.7" hidden="1" customHeight="1">
      <c r="E68" s="623">
        <v>17.100000000000001</v>
      </c>
      <c r="F68" s="714">
        <f t="shared" ca="1" si="6"/>
        <v>0</v>
      </c>
      <c r="T68" s="634" t="b">
        <f t="shared" ca="1" si="28"/>
        <v>0</v>
      </c>
      <c r="X68" s="1405"/>
      <c r="Z68" s="1405"/>
      <c r="AB68" s="503" t="str">
        <f>AB63&amp;".5"</f>
        <v>15.5</v>
      </c>
      <c r="AC68" s="245" t="s">
        <v>1454</v>
      </c>
      <c r="AD68" s="242" t="s">
        <v>388</v>
      </c>
      <c r="AE68" s="505">
        <f>IFERROR(AE67/AE65,0)</f>
        <v>0</v>
      </c>
      <c r="AF68" s="470"/>
      <c r="AG68" s="470"/>
      <c r="AH68" s="470"/>
      <c r="AI68" s="505">
        <f t="shared" ref="AI68:BC68" si="33">IFERROR(AI67/AI65,0)</f>
        <v>0</v>
      </c>
      <c r="AJ68" s="505">
        <f t="shared" ca="1" si="33"/>
        <v>0</v>
      </c>
      <c r="AK68" s="505">
        <f t="shared" ca="1" si="33"/>
        <v>0</v>
      </c>
      <c r="AL68" s="505">
        <f t="shared" ca="1" si="33"/>
        <v>0</v>
      </c>
      <c r="AM68" s="505">
        <f t="shared" ca="1" si="33"/>
        <v>0</v>
      </c>
      <c r="AN68" s="505">
        <f t="shared" ca="1" si="33"/>
        <v>0</v>
      </c>
      <c r="AO68" s="505">
        <f t="shared" ca="1" si="33"/>
        <v>0</v>
      </c>
      <c r="AP68" s="505">
        <f t="shared" ca="1" si="33"/>
        <v>0</v>
      </c>
      <c r="AQ68" s="505">
        <f t="shared" ca="1" si="33"/>
        <v>0</v>
      </c>
      <c r="AR68" s="505">
        <f t="shared" ca="1" si="33"/>
        <v>0</v>
      </c>
      <c r="AS68" s="505">
        <f t="shared" ca="1" si="33"/>
        <v>0</v>
      </c>
      <c r="AT68" s="505">
        <f t="shared" ca="1" si="33"/>
        <v>0</v>
      </c>
      <c r="AU68" s="505">
        <f t="shared" ca="1" si="33"/>
        <v>0</v>
      </c>
      <c r="AV68" s="505">
        <f t="shared" ca="1" si="33"/>
        <v>0</v>
      </c>
      <c r="AW68" s="505">
        <f t="shared" ca="1" si="33"/>
        <v>0</v>
      </c>
      <c r="AX68" s="505">
        <f t="shared" ca="1" si="33"/>
        <v>0</v>
      </c>
      <c r="AY68" s="505">
        <f t="shared" ca="1" si="33"/>
        <v>0</v>
      </c>
      <c r="AZ68" s="505">
        <f t="shared" ca="1" si="33"/>
        <v>0</v>
      </c>
      <c r="BA68" s="505">
        <f t="shared" ca="1" si="33"/>
        <v>0</v>
      </c>
      <c r="BB68" s="505">
        <f t="shared" ca="1" si="33"/>
        <v>0</v>
      </c>
      <c r="BC68" s="505">
        <f t="shared" ca="1" si="33"/>
        <v>0</v>
      </c>
      <c r="BD68" s="294"/>
      <c r="BE68" s="294"/>
      <c r="BF68" s="294"/>
      <c r="BG68" s="294"/>
      <c r="BH68" s="294"/>
      <c r="BI68" s="294"/>
      <c r="BJ68" s="294"/>
      <c r="BK68" s="294"/>
      <c r="BL68" s="294"/>
      <c r="BM68" s="294"/>
      <c r="BN68" s="22"/>
      <c r="BO68" s="22"/>
      <c r="BP68" s="22"/>
      <c r="BS68" s="944" t="s">
        <v>1455</v>
      </c>
    </row>
    <row r="69" spans="1:75" ht="16.7" hidden="1" customHeight="1">
      <c r="E69" s="623">
        <v>17.100000000000001</v>
      </c>
      <c r="F69" s="714">
        <f t="shared" ca="1" si="6"/>
        <v>0</v>
      </c>
      <c r="T69" s="634" t="b">
        <f t="shared" ca="1" si="28"/>
        <v>0</v>
      </c>
      <c r="X69" s="1405"/>
      <c r="Z69" s="1405"/>
      <c r="AB69" s="503" t="str">
        <f>AB63&amp;".6"</f>
        <v>15.6</v>
      </c>
      <c r="AC69" s="245" t="s">
        <v>1456</v>
      </c>
      <c r="AD69" s="242" t="s">
        <v>1446</v>
      </c>
      <c r="AE69" s="469">
        <f ca="1">IFERROR(AE60/AE63,0)</f>
        <v>0</v>
      </c>
      <c r="AF69" s="470"/>
      <c r="AG69" s="470"/>
      <c r="AH69" s="470"/>
      <c r="AI69" s="469">
        <f t="shared" ref="AI69:BC69" ca="1" si="34">IFERROR(AI60/AI63,0)</f>
        <v>0</v>
      </c>
      <c r="AJ69" s="469">
        <f t="shared" ca="1" si="34"/>
        <v>0</v>
      </c>
      <c r="AK69" s="469">
        <f t="shared" ca="1" si="34"/>
        <v>0</v>
      </c>
      <c r="AL69" s="469">
        <f t="shared" ca="1" si="34"/>
        <v>0</v>
      </c>
      <c r="AM69" s="469">
        <f t="shared" ca="1" si="34"/>
        <v>0</v>
      </c>
      <c r="AN69" s="469">
        <f t="shared" ca="1" si="34"/>
        <v>0</v>
      </c>
      <c r="AO69" s="469">
        <f t="shared" ca="1" si="34"/>
        <v>0</v>
      </c>
      <c r="AP69" s="469">
        <f t="shared" ca="1" si="34"/>
        <v>0</v>
      </c>
      <c r="AQ69" s="469">
        <f t="shared" ca="1" si="34"/>
        <v>0</v>
      </c>
      <c r="AR69" s="469">
        <f t="shared" ca="1" si="34"/>
        <v>0</v>
      </c>
      <c r="AS69" s="469">
        <f t="shared" ca="1" si="34"/>
        <v>0</v>
      </c>
      <c r="AT69" s="469">
        <f t="shared" ca="1" si="34"/>
        <v>0</v>
      </c>
      <c r="AU69" s="469">
        <f t="shared" ca="1" si="34"/>
        <v>0</v>
      </c>
      <c r="AV69" s="469">
        <f t="shared" ca="1" si="34"/>
        <v>0</v>
      </c>
      <c r="AW69" s="469">
        <f t="shared" ca="1" si="34"/>
        <v>0</v>
      </c>
      <c r="AX69" s="469">
        <f t="shared" ca="1" si="34"/>
        <v>0</v>
      </c>
      <c r="AY69" s="469">
        <f t="shared" ca="1" si="34"/>
        <v>0</v>
      </c>
      <c r="AZ69" s="469">
        <f t="shared" ca="1" si="34"/>
        <v>0</v>
      </c>
      <c r="BA69" s="469">
        <f t="shared" ca="1" si="34"/>
        <v>0</v>
      </c>
      <c r="BB69" s="469">
        <f t="shared" ca="1" si="34"/>
        <v>0</v>
      </c>
      <c r="BC69" s="469">
        <f t="shared" ca="1" si="34"/>
        <v>0</v>
      </c>
      <c r="BD69" s="294"/>
      <c r="BE69" s="294"/>
      <c r="BF69" s="294"/>
      <c r="BG69" s="294"/>
      <c r="BH69" s="294"/>
      <c r="BI69" s="294"/>
      <c r="BJ69" s="294"/>
      <c r="BK69" s="294"/>
      <c r="BL69" s="294"/>
      <c r="BM69" s="294"/>
      <c r="BN69" s="22"/>
      <c r="BO69" s="22"/>
      <c r="BP69" s="22"/>
      <c r="BS69" s="944" t="s">
        <v>1457</v>
      </c>
    </row>
    <row r="70" spans="1:75" ht="29.25" hidden="1" customHeight="1">
      <c r="E70" s="623">
        <v>30</v>
      </c>
      <c r="F70" s="714">
        <f t="shared" ca="1" si="6"/>
        <v>0</v>
      </c>
      <c r="T70" s="634" t="b">
        <f ca="1">T60</f>
        <v>0</v>
      </c>
      <c r="X70" s="1405"/>
      <c r="Z70" s="1405"/>
      <c r="AB70" s="222" t="s">
        <v>1458</v>
      </c>
      <c r="AC70" s="805" t="s">
        <v>1459</v>
      </c>
      <c r="AD70" s="446" t="s">
        <v>837</v>
      </c>
      <c r="AE70" s="40"/>
      <c r="AF70" s="40"/>
      <c r="AG70" s="76"/>
      <c r="AH70" s="293">
        <f>AG70-AF70</f>
        <v>0</v>
      </c>
      <c r="AI70" s="77"/>
      <c r="AJ70" s="806"/>
      <c r="AK70" s="1201"/>
      <c r="AL70" s="1201"/>
      <c r="AM70" s="77"/>
      <c r="AN70" s="77"/>
      <c r="AO70" s="77"/>
      <c r="AP70" s="77"/>
      <c r="AQ70" s="77"/>
      <c r="AR70" s="77"/>
      <c r="AS70" s="77"/>
      <c r="AT70" s="806"/>
      <c r="AU70" s="1201"/>
      <c r="AV70" s="1201"/>
      <c r="AW70" s="77"/>
      <c r="AX70" s="77"/>
      <c r="AY70" s="77"/>
      <c r="AZ70" s="77"/>
      <c r="BA70" s="77"/>
      <c r="BB70" s="77"/>
      <c r="BC70" s="77"/>
      <c r="BD70" s="293">
        <f>IF(AI70=0,0,(AT70-AI70)/AI70*100)</f>
        <v>0</v>
      </c>
      <c r="BE70" s="293">
        <f t="shared" ref="BE70:BM70" si="35">IF(AT70=0,0,(AU70-AT70)/AT70*100)</f>
        <v>0</v>
      </c>
      <c r="BF70" s="293">
        <f t="shared" si="35"/>
        <v>0</v>
      </c>
      <c r="BG70" s="293">
        <f t="shared" si="35"/>
        <v>0</v>
      </c>
      <c r="BH70" s="293">
        <f t="shared" si="35"/>
        <v>0</v>
      </c>
      <c r="BI70" s="293">
        <f t="shared" si="35"/>
        <v>0</v>
      </c>
      <c r="BJ70" s="293">
        <f t="shared" si="35"/>
        <v>0</v>
      </c>
      <c r="BK70" s="293">
        <f t="shared" si="35"/>
        <v>0</v>
      </c>
      <c r="BL70" s="293">
        <f t="shared" si="35"/>
        <v>0</v>
      </c>
      <c r="BM70" s="293">
        <f t="shared" si="35"/>
        <v>0</v>
      </c>
      <c r="BN70" s="22"/>
      <c r="BO70" s="22"/>
      <c r="BP70" s="22"/>
      <c r="BS70" s="944" t="s">
        <v>1460</v>
      </c>
    </row>
    <row r="71" spans="1:75" s="1202" customFormat="1" ht="16.5" customHeight="1">
      <c r="A71" s="157"/>
      <c r="B71" s="157"/>
      <c r="C71" s="157"/>
      <c r="D71" s="157"/>
      <c r="E71" s="623">
        <v>17.100000000000001</v>
      </c>
      <c r="F71" s="714" t="str">
        <f>X71</f>
        <v>1</v>
      </c>
      <c r="G71" s="566" t="str">
        <f>INDEX('Общие сведения'!$AK$169:$AK$202,MATCH($F71,'Общие сведения'!$Z$169:$Z$202,0))</f>
        <v>одноставочный</v>
      </c>
      <c r="H71" s="157"/>
      <c r="I71" s="150" t="str">
        <f>INDEX('Общие сведения'!$AE$169:$AE$202,MATCH($F71,'Общие сведения'!$Z$169:$Z$202,0))</f>
        <v>Теплоснабжение</v>
      </c>
      <c r="J71" s="157"/>
      <c r="K71" s="150" t="str">
        <f>INDEX('Общие сведения'!$AL$169:$AL$202,MATCH($F71,'Общие сведения'!$Z$169:$Z$202,0))</f>
        <v>Производство теплоносителя</v>
      </c>
      <c r="L71" s="157"/>
      <c r="M71" s="157"/>
      <c r="N71" s="157"/>
      <c r="O71" s="157"/>
      <c r="P71" s="157"/>
      <c r="Q71" s="157"/>
      <c r="R71" s="157"/>
      <c r="S71" s="157"/>
      <c r="T71" s="634" t="b">
        <f>X71&gt;0</f>
        <v>1</v>
      </c>
      <c r="U71" s="157"/>
      <c r="V71" s="113" t="str">
        <f>'Корр Факт'!$AB$75</f>
        <v>Тариф 1 (Теплоснабжение) - Тарифы на теплоноситель (Не определено)</v>
      </c>
      <c r="W71" s="157"/>
      <c r="X71" s="1526" t="s">
        <v>247</v>
      </c>
      <c r="Y71" s="157"/>
      <c r="Z71" s="1403"/>
      <c r="AA71" s="157"/>
      <c r="AB71" s="252" t="str">
        <f>IF(ISBLANK('Корр Факт'!$AB$75),"",'Корр Факт'!$AB$75)</f>
        <v>Тариф 1 (Теплоснабжение) - Тарифы на теплоноситель (Не определено)</v>
      </c>
      <c r="AC71" s="253"/>
      <c r="AD71" s="253"/>
      <c r="AE71" s="253"/>
      <c r="AF71" s="253"/>
      <c r="AG71" s="253"/>
      <c r="AH71" s="253"/>
      <c r="AI71" s="253"/>
      <c r="AJ71" s="253"/>
      <c r="AK71" s="253"/>
      <c r="AL71" s="253"/>
      <c r="AM71" s="253"/>
      <c r="AN71" s="253"/>
      <c r="AO71" s="253"/>
      <c r="AP71" s="253"/>
      <c r="AQ71" s="253"/>
      <c r="AR71" s="253"/>
      <c r="AS71" s="253"/>
      <c r="AT71" s="253"/>
      <c r="AU71" s="253"/>
      <c r="AV71" s="253"/>
      <c r="AW71" s="253"/>
      <c r="AX71" s="253"/>
      <c r="AY71" s="253"/>
      <c r="AZ71" s="253"/>
      <c r="BA71" s="253"/>
      <c r="BB71" s="253"/>
      <c r="BC71" s="253"/>
      <c r="BD71" s="253"/>
      <c r="BE71" s="253"/>
      <c r="BF71" s="253"/>
      <c r="BG71" s="253"/>
      <c r="BH71" s="253"/>
      <c r="BI71" s="253"/>
      <c r="BJ71" s="253"/>
      <c r="BK71" s="253"/>
      <c r="BL71" s="253"/>
      <c r="BM71" s="253"/>
      <c r="BN71" s="253"/>
      <c r="BO71" s="253"/>
      <c r="BP71" s="253"/>
      <c r="BQ71" s="157"/>
      <c r="BR71" s="157"/>
      <c r="BS71" s="912"/>
      <c r="BT71" s="912"/>
      <c r="BU71" s="912"/>
      <c r="BV71" s="915"/>
      <c r="BW71" s="915"/>
    </row>
    <row r="72" spans="1:75" s="1057" customFormat="1" ht="16.5" customHeight="1">
      <c r="A72" s="165"/>
      <c r="B72" s="718"/>
      <c r="C72" s="165"/>
      <c r="D72" s="165"/>
      <c r="E72" s="623">
        <v>17.100000000000001</v>
      </c>
      <c r="F72" s="714" t="str">
        <f t="shared" ref="F72:F114" ca="1" si="36">OFFSET(G72,-1,-1)</f>
        <v>1</v>
      </c>
      <c r="G72" s="130" t="s">
        <v>1094</v>
      </c>
      <c r="H72" s="167"/>
      <c r="I72" s="167"/>
      <c r="J72" s="167"/>
      <c r="K72" s="167"/>
      <c r="L72" s="167"/>
      <c r="M72" s="167"/>
      <c r="N72" s="167"/>
      <c r="O72" s="167"/>
      <c r="P72" s="167"/>
      <c r="Q72" s="130"/>
      <c r="R72" s="130"/>
      <c r="S72" s="167"/>
      <c r="T72" s="634" t="b">
        <f>T71</f>
        <v>1</v>
      </c>
      <c r="U72" s="1012"/>
      <c r="V72" s="1012"/>
      <c r="W72" s="1012"/>
      <c r="X72" s="1405"/>
      <c r="Y72" s="1012"/>
      <c r="Z72" s="1405"/>
      <c r="AA72" s="167"/>
      <c r="AB72" s="99" t="s">
        <v>247</v>
      </c>
      <c r="AC72" s="857" t="s">
        <v>1148</v>
      </c>
      <c r="AD72" s="387" t="s">
        <v>837</v>
      </c>
      <c r="AE72" s="469">
        <f ca="1">SUMIFS('Операционные (5.1)'!AE$26:AE$75,'Операционные (5.1)'!$F$26:$F$75,$F72,'Операционные (5.1)'!$G$26:$G$75,$G72)</f>
        <v>0</v>
      </c>
      <c r="AF72" s="469">
        <f ca="1">SUMIFS('Операционные (5.1)'!AF$26:AF$75,'Операционные (5.1)'!$F$26:$F$75,$F72,'Операционные (5.1)'!$G$26:$G$75,$G72)</f>
        <v>0</v>
      </c>
      <c r="AG72" s="469">
        <f ca="1">SUMIFS('Операционные (5.1)'!AG$26:AG$75,'Операционные (5.1)'!$F$26:$F$75,$F72,'Операционные (5.1)'!$G$26:$G$75,$G72)</f>
        <v>0</v>
      </c>
      <c r="AH72" s="293">
        <f t="shared" ref="AH72:AH98" ca="1" si="37">AG72-AF72</f>
        <v>0</v>
      </c>
      <c r="AI72" s="469">
        <f ca="1">SUMIFS('Операционные (5.1)'!AI$26:AI$75,'Операционные (5.1)'!$F$26:$F$75,$F72,'Операционные (5.1)'!$G$26:$G$75,$G72)</f>
        <v>0</v>
      </c>
      <c r="AJ72" s="567">
        <f ca="1">SUMIFS(INDEX('Операционные (5.2)'!$AJ$26:$BC$45,,MATCH(AJ$8,'Операционные (5.2)'!$AJ$8:$BC$8,0)),'Операционные (5.2)'!$F$26:$F$45,$F72,'Операционные (5.2)'!$G$26:$G$45,$G72)</f>
        <v>0</v>
      </c>
      <c r="AK72" s="567">
        <f ca="1">SUMIFS(INDEX('Операционные (5.2)'!$AJ$26:$BC$45,,MATCH(AK$8,'Операционные (5.2)'!$AJ$8:$BC$8,0)),'Операционные (5.2)'!$F$26:$F$45,$F72,'Операционные (5.2)'!$G$26:$G$45,$G72)</f>
        <v>0</v>
      </c>
      <c r="AL72" s="567">
        <f ca="1">SUMIFS(INDEX('Операционные (5.2)'!$AJ$26:$BC$45,,MATCH(AL$8,'Операционные (5.2)'!$AJ$8:$BC$8,0)),'Операционные (5.2)'!$F$26:$F$45,$F72,'Операционные (5.2)'!$G$26:$G$45,$G72)</f>
        <v>0</v>
      </c>
      <c r="AM72" s="567">
        <f ca="1">SUMIFS(INDEX('Операционные (5.2)'!$AJ$26:$BC$45,,MATCH(AM$8,'Операционные (5.2)'!$AJ$8:$BC$8,0)),'Операционные (5.2)'!$F$26:$F$45,$F72,'Операционные (5.2)'!$G$26:$G$45,$G72)</f>
        <v>0</v>
      </c>
      <c r="AN72" s="567">
        <f ca="1">SUMIFS(INDEX('Операционные (5.2)'!$AJ$26:$BC$45,,MATCH(AN$8,'Операционные (5.2)'!$AJ$8:$BC$8,0)),'Операционные (5.2)'!$F$26:$F$45,$F72,'Операционные (5.2)'!$G$26:$G$45,$G72)</f>
        <v>0</v>
      </c>
      <c r="AO72" s="567">
        <f ca="1">SUMIFS(INDEX('Операционные (5.2)'!$AJ$26:$BC$45,,MATCH(AO$8,'Операционные (5.2)'!$AJ$8:$BC$8,0)),'Операционные (5.2)'!$F$26:$F$45,$F72,'Операционные (5.2)'!$G$26:$G$45,$G72)</f>
        <v>0</v>
      </c>
      <c r="AP72" s="567">
        <f ca="1">SUMIFS(INDEX('Операционные (5.2)'!$AJ$26:$BC$45,,MATCH(AP$8,'Операционные (5.2)'!$AJ$8:$BC$8,0)),'Операционные (5.2)'!$F$26:$F$45,$F72,'Операционные (5.2)'!$G$26:$G$45,$G72)</f>
        <v>0</v>
      </c>
      <c r="AQ72" s="567">
        <f ca="1">SUMIFS(INDEX('Операционные (5.2)'!$AJ$26:$BC$45,,MATCH(AQ$8,'Операционные (5.2)'!$AJ$8:$BC$8,0)),'Операционные (5.2)'!$F$26:$F$45,$F72,'Операционные (5.2)'!$G$26:$G$45,$G72)</f>
        <v>0</v>
      </c>
      <c r="AR72" s="567">
        <f ca="1">SUMIFS(INDEX('Операционные (5.2)'!$AJ$26:$BC$45,,MATCH(AR$8,'Операционные (5.2)'!$AJ$8:$BC$8,0)),'Операционные (5.2)'!$F$26:$F$45,$F72,'Операционные (5.2)'!$G$26:$G$45,$G72)</f>
        <v>0</v>
      </c>
      <c r="AS72" s="567">
        <f ca="1">SUMIFS(INDEX('Операционные (5.2)'!$AJ$26:$BC$45,,MATCH(AS$8,'Операционные (5.2)'!$AJ$8:$BC$8,0)),'Операционные (5.2)'!$F$26:$F$45,$F72,'Операционные (5.2)'!$G$26:$G$45,$G72)</f>
        <v>0</v>
      </c>
      <c r="AT72" s="567">
        <f ca="1">SUMIFS(INDEX('Операционные (5.2)'!$AJ$26:$BC$45,,MATCH(AT$8,'Операционные (5.2)'!$AJ$8:$BC$8,0)),'Операционные (5.2)'!$F$26:$F$45,$F72,'Операционные (5.2)'!$G$26:$G$45,$G72)</f>
        <v>0</v>
      </c>
      <c r="AU72" s="567">
        <f ca="1">SUMIFS(INDEX('Операционные (5.2)'!$AJ$26:$BC$45,,MATCH(AU$8,'Операционные (5.2)'!$AJ$8:$BC$8,0)),'Операционные (5.2)'!$F$26:$F$45,$F72,'Операционные (5.2)'!$G$26:$G$45,$G72)</f>
        <v>0</v>
      </c>
      <c r="AV72" s="567">
        <f ca="1">SUMIFS(INDEX('Операционные (5.2)'!$AJ$26:$BC$45,,MATCH(AV$8,'Операционные (5.2)'!$AJ$8:$BC$8,0)),'Операционные (5.2)'!$F$26:$F$45,$F72,'Операционные (5.2)'!$G$26:$G$45,$G72)</f>
        <v>0</v>
      </c>
      <c r="AW72" s="567">
        <f ca="1">SUMIFS(INDEX('Операционные (5.2)'!$AJ$26:$BC$45,,MATCH(AW$8,'Операционные (5.2)'!$AJ$8:$BC$8,0)),'Операционные (5.2)'!$F$26:$F$45,$F72,'Операционные (5.2)'!$G$26:$G$45,$G72)</f>
        <v>0</v>
      </c>
      <c r="AX72" s="567">
        <f ca="1">SUMIFS(INDEX('Операционные (5.2)'!$AJ$26:$BC$45,,MATCH(AX$8,'Операционные (5.2)'!$AJ$8:$BC$8,0)),'Операционные (5.2)'!$F$26:$F$45,$F72,'Операционные (5.2)'!$G$26:$G$45,$G72)</f>
        <v>0</v>
      </c>
      <c r="AY72" s="567">
        <f ca="1">SUMIFS(INDEX('Операционные (5.2)'!$AJ$26:$BC$45,,MATCH(AY$8,'Операционные (5.2)'!$AJ$8:$BC$8,0)),'Операционные (5.2)'!$F$26:$F$45,$F72,'Операционные (5.2)'!$G$26:$G$45,$G72)</f>
        <v>0</v>
      </c>
      <c r="AZ72" s="567">
        <f ca="1">SUMIFS(INDEX('Операционные (5.2)'!$AJ$26:$BC$45,,MATCH(AZ$8,'Операционные (5.2)'!$AJ$8:$BC$8,0)),'Операционные (5.2)'!$F$26:$F$45,$F72,'Операционные (5.2)'!$G$26:$G$45,$G72)</f>
        <v>0</v>
      </c>
      <c r="BA72" s="567">
        <f ca="1">SUMIFS(INDEX('Операционные (5.2)'!$AJ$26:$BC$45,,MATCH(BA$8,'Операционные (5.2)'!$AJ$8:$BC$8,0)),'Операционные (5.2)'!$F$26:$F$45,$F72,'Операционные (5.2)'!$G$26:$G$45,$G72)</f>
        <v>0</v>
      </c>
      <c r="BB72" s="567">
        <f ca="1">SUMIFS(INDEX('Операционные (5.2)'!$AJ$26:$BC$45,,MATCH(BB$8,'Операционные (5.2)'!$AJ$8:$BC$8,0)),'Операционные (5.2)'!$F$26:$F$45,$F72,'Операционные (5.2)'!$G$26:$G$45,$G72)</f>
        <v>0</v>
      </c>
      <c r="BC72" s="567">
        <f ca="1">SUMIFS(INDEX('Операционные (5.2)'!$AJ$26:$BC$45,,MATCH(BC$8,'Операционные (5.2)'!$AJ$8:$BC$8,0)),'Операционные (5.2)'!$F$26:$F$45,$F72,'Операционные (5.2)'!$G$26:$G$45,$G72)</f>
        <v>0</v>
      </c>
      <c r="BD72" s="293">
        <f t="shared" ref="BD72:BD98" ca="1" si="38">IF(AI72=0,0,(AT72-AI72)/AI72*100)</f>
        <v>0</v>
      </c>
      <c r="BE72" s="293">
        <f t="shared" ref="BE72:BE98" ca="1" si="39">IF(AT72=0,0,(AU72-AT72)/AT72*100)</f>
        <v>0</v>
      </c>
      <c r="BF72" s="293">
        <f t="shared" ref="BF72:BF98" ca="1" si="40">IF(AU72=0,0,(AV72-AU72)/AU72*100)</f>
        <v>0</v>
      </c>
      <c r="BG72" s="293">
        <f t="shared" ref="BG72:BG98" ca="1" si="41">IF(AV72=0,0,(AW72-AV72)/AV72*100)</f>
        <v>0</v>
      </c>
      <c r="BH72" s="293">
        <f t="shared" ref="BH72:BH98" ca="1" si="42">IF(AW72=0,0,(AX72-AW72)/AW72*100)</f>
        <v>0</v>
      </c>
      <c r="BI72" s="293">
        <f t="shared" ref="BI72:BI98" ca="1" si="43">IF(AX72=0,0,(AY72-AX72)/AX72*100)</f>
        <v>0</v>
      </c>
      <c r="BJ72" s="293">
        <f t="shared" ref="BJ72:BJ98" ca="1" si="44">IF(AY72=0,0,(AZ72-AY72)/AY72*100)</f>
        <v>0</v>
      </c>
      <c r="BK72" s="293">
        <f t="shared" ref="BK72:BK98" ca="1" si="45">IF(AZ72=0,0,(BA72-AZ72)/AZ72*100)</f>
        <v>0</v>
      </c>
      <c r="BL72" s="293">
        <f t="shared" ref="BL72:BL98" ca="1" si="46">IF(BA72=0,0,(BB72-BA72)/BA72*100)</f>
        <v>0</v>
      </c>
      <c r="BM72" s="293">
        <f t="shared" ref="BM72:BM98" ca="1" si="47">IF(BB72=0,0,(BC72-BB72)/BB72*100)</f>
        <v>0</v>
      </c>
      <c r="BN72" s="1106"/>
      <c r="BO72" s="1106"/>
      <c r="BP72" s="1106"/>
      <c r="BQ72" s="167"/>
      <c r="BR72" s="167"/>
      <c r="BS72" s="944" t="s">
        <v>1371</v>
      </c>
      <c r="BT72" s="944"/>
      <c r="BU72" s="944"/>
      <c r="BV72" s="945"/>
      <c r="BW72" s="945"/>
    </row>
    <row r="73" spans="1:75" s="1057" customFormat="1" ht="16.5" customHeight="1">
      <c r="A73" s="165"/>
      <c r="B73" s="718"/>
      <c r="C73" s="165"/>
      <c r="D73" s="165"/>
      <c r="E73" s="623">
        <v>17.100000000000001</v>
      </c>
      <c r="F73" s="714" t="str">
        <f t="shared" ca="1" si="36"/>
        <v>1</v>
      </c>
      <c r="G73" s="130" t="s">
        <v>1154</v>
      </c>
      <c r="H73" s="167"/>
      <c r="I73" s="167"/>
      <c r="J73" s="167"/>
      <c r="K73" s="167"/>
      <c r="L73" s="167"/>
      <c r="M73" s="167"/>
      <c r="N73" s="167"/>
      <c r="O73" s="167"/>
      <c r="P73" s="167"/>
      <c r="Q73" s="130"/>
      <c r="R73" s="130"/>
      <c r="S73" s="167"/>
      <c r="T73" s="634" t="b">
        <f>T72</f>
        <v>1</v>
      </c>
      <c r="U73" s="1012"/>
      <c r="V73" s="1012"/>
      <c r="W73" s="1012"/>
      <c r="X73" s="1405"/>
      <c r="Y73" s="1012"/>
      <c r="Z73" s="1405"/>
      <c r="AA73" s="167"/>
      <c r="AB73" s="99" t="s">
        <v>343</v>
      </c>
      <c r="AC73" s="477" t="s">
        <v>1372</v>
      </c>
      <c r="AD73" s="387" t="s">
        <v>837</v>
      </c>
      <c r="AE73" s="469">
        <f ca="1">SUMIFS('Неподконтрольные (5.3)'!AE$26:AE$65,'Неподконтрольные (5.3)'!$F$26:$F$65,$F73,'Неподконтрольные (5.3)'!$G$26:$G$65,$G73)</f>
        <v>0</v>
      </c>
      <c r="AF73" s="469">
        <f ca="1">SUMIFS('Неподконтрольные (5.3)'!AF$26:AF$65,'Неподконтрольные (5.3)'!$F$26:$F$65,$F73,'Неподконтрольные (5.3)'!$G$26:$G$65,$G73)</f>
        <v>0</v>
      </c>
      <c r="AG73" s="469">
        <f ca="1">SUMIFS('Неподконтрольные (5.3)'!AG$26:AG$65,'Неподконтрольные (5.3)'!$F$26:$F$65,$F73,'Неподконтрольные (5.3)'!$G$26:$G$65,$G73)</f>
        <v>0</v>
      </c>
      <c r="AH73" s="293">
        <f t="shared" ca="1" si="37"/>
        <v>0</v>
      </c>
      <c r="AI73" s="469">
        <f ca="1">SUMIFS('Неподконтрольные (5.3)'!AI$26:AI$65,'Неподконтрольные (5.3)'!$F$26:$F$65,$F73,'Неподконтрольные (5.3)'!$G$26:$G$65,$G73)</f>
        <v>0</v>
      </c>
      <c r="AJ73" s="469">
        <f ca="1">SUMIFS('Неподконтрольные (5.3)'!AJ$26:AJ$65,'Неподконтрольные (5.3)'!$F$26:$F$65,$F73,'Неподконтрольные (5.3)'!$G$26:$G$65,$G73)</f>
        <v>0</v>
      </c>
      <c r="AK73" s="469">
        <f ca="1">SUMIFS('Неподконтрольные (5.3)'!AK$26:AK$65,'Неподконтрольные (5.3)'!$F$26:$F$65,$F73,'Неподконтрольные (5.3)'!$G$26:$G$65,$G73)</f>
        <v>0</v>
      </c>
      <c r="AL73" s="469">
        <f ca="1">SUMIFS('Неподконтрольные (5.3)'!AL$26:AL$65,'Неподконтрольные (5.3)'!$F$26:$F$65,$F73,'Неподконтрольные (5.3)'!$G$26:$G$65,$G73)</f>
        <v>0</v>
      </c>
      <c r="AM73" s="469">
        <f ca="1">SUMIFS('Неподконтрольные (5.3)'!AM$26:AM$65,'Неподконтрольные (5.3)'!$F$26:$F$65,$F73,'Неподконтрольные (5.3)'!$G$26:$G$65,$G73)</f>
        <v>0</v>
      </c>
      <c r="AN73" s="469">
        <f ca="1">SUMIFS('Неподконтрольные (5.3)'!AN$26:AN$65,'Неподконтрольные (5.3)'!$F$26:$F$65,$F73,'Неподконтрольные (5.3)'!$G$26:$G$65,$G73)</f>
        <v>0</v>
      </c>
      <c r="AO73" s="469">
        <f ca="1">SUMIFS('Неподконтрольные (5.3)'!AO$26:AO$65,'Неподконтрольные (5.3)'!$F$26:$F$65,$F73,'Неподконтрольные (5.3)'!$G$26:$G$65,$G73)</f>
        <v>0</v>
      </c>
      <c r="AP73" s="469">
        <f ca="1">SUMIFS('Неподконтрольные (5.3)'!AP$26:AP$65,'Неподконтрольные (5.3)'!$F$26:$F$65,$F73,'Неподконтрольные (5.3)'!$G$26:$G$65,$G73)</f>
        <v>0</v>
      </c>
      <c r="AQ73" s="469">
        <f ca="1">SUMIFS('Неподконтрольные (5.3)'!AQ$26:AQ$65,'Неподконтрольные (5.3)'!$F$26:$F$65,$F73,'Неподконтрольные (5.3)'!$G$26:$G$65,$G73)</f>
        <v>0</v>
      </c>
      <c r="AR73" s="469">
        <f ca="1">SUMIFS('Неподконтрольные (5.3)'!AR$26:AR$65,'Неподконтрольные (5.3)'!$F$26:$F$65,$F73,'Неподконтрольные (5.3)'!$G$26:$G$65,$G73)</f>
        <v>0</v>
      </c>
      <c r="AS73" s="469">
        <f ca="1">SUMIFS('Неподконтрольные (5.3)'!AS$26:AS$65,'Неподконтрольные (5.3)'!$F$26:$F$65,$F73,'Неподконтрольные (5.3)'!$G$26:$G$65,$G73)</f>
        <v>0</v>
      </c>
      <c r="AT73" s="469">
        <f ca="1">SUMIFS('Неподконтрольные (5.3)'!AT$26:AT$65,'Неподконтрольные (5.3)'!$F$26:$F$65,$F73,'Неподконтрольные (5.3)'!$G$26:$G$65,$G73)</f>
        <v>0</v>
      </c>
      <c r="AU73" s="469">
        <f ca="1">SUMIFS('Неподконтрольные (5.3)'!AU$26:AU$65,'Неподконтрольные (5.3)'!$F$26:$F$65,$F73,'Неподконтрольные (5.3)'!$G$26:$G$65,$G73)</f>
        <v>0</v>
      </c>
      <c r="AV73" s="469">
        <f ca="1">SUMIFS('Неподконтрольные (5.3)'!AV$26:AV$65,'Неподконтрольные (5.3)'!$F$26:$F$65,$F73,'Неподконтрольные (5.3)'!$G$26:$G$65,$G73)</f>
        <v>0</v>
      </c>
      <c r="AW73" s="469">
        <f ca="1">SUMIFS('Неподконтрольные (5.3)'!AW$26:AW$65,'Неподконтрольные (5.3)'!$F$26:$F$65,$F73,'Неподконтрольные (5.3)'!$G$26:$G$65,$G73)</f>
        <v>0</v>
      </c>
      <c r="AX73" s="469">
        <f ca="1">SUMIFS('Неподконтрольные (5.3)'!AX$26:AX$65,'Неподконтрольные (5.3)'!$F$26:$F$65,$F73,'Неподконтрольные (5.3)'!$G$26:$G$65,$G73)</f>
        <v>0</v>
      </c>
      <c r="AY73" s="469">
        <f ca="1">SUMIFS('Неподконтрольные (5.3)'!AY$26:AY$65,'Неподконтрольные (5.3)'!$F$26:$F$65,$F73,'Неподконтрольные (5.3)'!$G$26:$G$65,$G73)</f>
        <v>0</v>
      </c>
      <c r="AZ73" s="469">
        <f ca="1">SUMIFS('Неподконтрольные (5.3)'!AZ$26:AZ$65,'Неподконтрольные (5.3)'!$F$26:$F$65,$F73,'Неподконтрольные (5.3)'!$G$26:$G$65,$G73)</f>
        <v>0</v>
      </c>
      <c r="BA73" s="469">
        <f ca="1">SUMIFS('Неподконтрольные (5.3)'!BA$26:BA$65,'Неподконтрольные (5.3)'!$F$26:$F$65,$F73,'Неподконтрольные (5.3)'!$G$26:$G$65,$G73)</f>
        <v>0</v>
      </c>
      <c r="BB73" s="469">
        <f ca="1">SUMIFS('Неподконтрольные (5.3)'!BB$26:BB$65,'Неподконтрольные (5.3)'!$F$26:$F$65,$F73,'Неподконтрольные (5.3)'!$G$26:$G$65,$G73)</f>
        <v>0</v>
      </c>
      <c r="BC73" s="469">
        <f ca="1">SUMIFS('Неподконтрольные (5.3)'!BC$26:BC$65,'Неподконтрольные (5.3)'!$F$26:$F$65,$F73,'Неподконтрольные (5.3)'!$G$26:$G$65,$G73)</f>
        <v>0</v>
      </c>
      <c r="BD73" s="293">
        <f t="shared" ca="1" si="38"/>
        <v>0</v>
      </c>
      <c r="BE73" s="293">
        <f t="shared" ca="1" si="39"/>
        <v>0</v>
      </c>
      <c r="BF73" s="293">
        <f t="shared" ca="1" si="40"/>
        <v>0</v>
      </c>
      <c r="BG73" s="293">
        <f t="shared" ca="1" si="41"/>
        <v>0</v>
      </c>
      <c r="BH73" s="293">
        <f t="shared" ca="1" si="42"/>
        <v>0</v>
      </c>
      <c r="BI73" s="293">
        <f t="shared" ca="1" si="43"/>
        <v>0</v>
      </c>
      <c r="BJ73" s="293">
        <f t="shared" ca="1" si="44"/>
        <v>0</v>
      </c>
      <c r="BK73" s="293">
        <f t="shared" ca="1" si="45"/>
        <v>0</v>
      </c>
      <c r="BL73" s="293">
        <f t="shared" ca="1" si="46"/>
        <v>0</v>
      </c>
      <c r="BM73" s="293">
        <f t="shared" ca="1" si="47"/>
        <v>0</v>
      </c>
      <c r="BN73" s="1106"/>
      <c r="BO73" s="1106"/>
      <c r="BP73" s="1106"/>
      <c r="BQ73" s="167"/>
      <c r="BR73" s="167"/>
      <c r="BS73" s="944" t="s">
        <v>1373</v>
      </c>
      <c r="BT73" s="944"/>
      <c r="BU73" s="944"/>
      <c r="BV73" s="945"/>
      <c r="BW73" s="945"/>
    </row>
    <row r="74" spans="1:75" s="1057" customFormat="1" ht="25.5" customHeight="1">
      <c r="A74" s="165"/>
      <c r="B74" s="718"/>
      <c r="C74" s="165"/>
      <c r="D74" s="165"/>
      <c r="E74" s="623">
        <v>26.3</v>
      </c>
      <c r="F74" s="714" t="str">
        <f t="shared" ca="1" si="36"/>
        <v>1</v>
      </c>
      <c r="G74" s="130" t="s">
        <v>1197</v>
      </c>
      <c r="H74" s="167"/>
      <c r="I74" s="167"/>
      <c r="J74" s="167"/>
      <c r="K74" s="167"/>
      <c r="L74" s="167"/>
      <c r="M74" s="167"/>
      <c r="N74" s="167"/>
      <c r="O74" s="167"/>
      <c r="P74" s="167"/>
      <c r="Q74" s="130"/>
      <c r="R74" s="130"/>
      <c r="S74" s="167"/>
      <c r="T74" s="634" t="b">
        <f>T73</f>
        <v>1</v>
      </c>
      <c r="U74" s="1012"/>
      <c r="V74" s="1012"/>
      <c r="W74" s="1012"/>
      <c r="X74" s="1405"/>
      <c r="Y74" s="1012"/>
      <c r="Z74" s="1405"/>
      <c r="AA74" s="167"/>
      <c r="AB74" s="99" t="s">
        <v>520</v>
      </c>
      <c r="AC74" s="477" t="s">
        <v>1374</v>
      </c>
      <c r="AD74" s="387" t="s">
        <v>837</v>
      </c>
      <c r="AE74" s="469">
        <f ca="1">SUMIFS('Ресурсы (5.4)'!AE$26:AE$47,'Ресурсы (5.4)'!$F$26:$F$47,$F74,'Ресурсы (5.4)'!$G$26:$G$47,$G74)</f>
        <v>3437.5138216700002</v>
      </c>
      <c r="AF74" s="469">
        <f ca="1">SUMIFS('Ресурсы (5.4)'!AF$26:AF$47,'Ресурсы (5.4)'!$F$26:$F$47,$F74,'Ресурсы (5.4)'!$G$26:$G$47,$G74)</f>
        <v>3439.0210000000002</v>
      </c>
      <c r="AG74" s="469">
        <f ca="1">SUMIFS('Ресурсы (5.4)'!AG$26:AG$47,'Ресурсы (5.4)'!$F$26:$F$47,$F74,'Ресурсы (5.4)'!$G$26:$G$47,$G74)</f>
        <v>3439.02</v>
      </c>
      <c r="AH74" s="293">
        <f t="shared" ca="1" si="37"/>
        <v>-1.0000000002037268E-3</v>
      </c>
      <c r="AI74" s="469">
        <f ca="1">SUMIFS('Ресурсы (5.4)'!AI$26:AI$47,'Ресурсы (5.4)'!$F$26:$F$47,$F74,'Ресурсы (5.4)'!$G$26:$G$47,$G74)</f>
        <v>3891.6045094000006</v>
      </c>
      <c r="AJ74" s="469">
        <f ca="1">SUMIFS('Ресурсы (5.4)'!AJ$26:AJ$47,'Ресурсы (5.4)'!$F$26:$F$47,$F74,'Ресурсы (5.4)'!$G$26:$G$47,$G74)</f>
        <v>4362.83</v>
      </c>
      <c r="AK74" s="469">
        <f ca="1">SUMIFS('Ресурсы (5.4)'!AK$26:AK$47,'Ресурсы (5.4)'!$F$26:$F$47,$F74,'Ресурсы (5.4)'!$G$26:$G$47,$G74)</f>
        <v>0</v>
      </c>
      <c r="AL74" s="469">
        <f ca="1">SUMIFS('Ресурсы (5.4)'!AL$26:AL$47,'Ресурсы (5.4)'!$F$26:$F$47,$F74,'Ресурсы (5.4)'!$G$26:$G$47,$G74)</f>
        <v>0</v>
      </c>
      <c r="AM74" s="469">
        <f ca="1">SUMIFS('Ресурсы (5.4)'!AM$26:AM$47,'Ресурсы (5.4)'!$F$26:$F$47,$F74,'Ресурсы (5.4)'!$G$26:$G$47,$G74)</f>
        <v>0</v>
      </c>
      <c r="AN74" s="469">
        <f ca="1">SUMIFS('Ресурсы (5.4)'!AN$26:AN$47,'Ресурсы (5.4)'!$F$26:$F$47,$F74,'Ресурсы (5.4)'!$G$26:$G$47,$G74)</f>
        <v>0</v>
      </c>
      <c r="AO74" s="469">
        <f ca="1">SUMIFS('Ресурсы (5.4)'!AO$26:AO$47,'Ресурсы (5.4)'!$F$26:$F$47,$F74,'Ресурсы (5.4)'!$G$26:$G$47,$G74)</f>
        <v>0</v>
      </c>
      <c r="AP74" s="469">
        <f ca="1">SUMIFS('Ресурсы (5.4)'!AP$26:AP$47,'Ресурсы (5.4)'!$F$26:$F$47,$F74,'Ресурсы (5.4)'!$G$26:$G$47,$G74)</f>
        <v>0</v>
      </c>
      <c r="AQ74" s="469">
        <f ca="1">SUMIFS('Ресурсы (5.4)'!AQ$26:AQ$47,'Ресурсы (5.4)'!$F$26:$F$47,$F74,'Ресурсы (5.4)'!$G$26:$G$47,$G74)</f>
        <v>0</v>
      </c>
      <c r="AR74" s="469">
        <f ca="1">SUMIFS('Ресурсы (5.4)'!AR$26:AR$47,'Ресурсы (5.4)'!$F$26:$F$47,$F74,'Ресурсы (5.4)'!$G$26:$G$47,$G74)</f>
        <v>0</v>
      </c>
      <c r="AS74" s="469">
        <f ca="1">SUMIFS('Ресурсы (5.4)'!AS$26:AS$47,'Ресурсы (5.4)'!$F$26:$F$47,$F74,'Ресурсы (5.4)'!$G$26:$G$47,$G74)</f>
        <v>0</v>
      </c>
      <c r="AT74" s="469">
        <f ca="1">SUMIFS('Ресурсы (5.4)'!AT$26:AT$47,'Ресурсы (5.4)'!$F$26:$F$47,$F74,'Ресурсы (5.4)'!$G$26:$G$47,$G74)</f>
        <v>4302.093613</v>
      </c>
      <c r="AU74" s="469">
        <f ca="1">SUMIFS('Ресурсы (5.4)'!AU$26:AU$47,'Ресурсы (5.4)'!$F$26:$F$47,$F74,'Ресурсы (5.4)'!$G$26:$G$47,$G74)</f>
        <v>0</v>
      </c>
      <c r="AV74" s="469">
        <f ca="1">SUMIFS('Ресурсы (5.4)'!AV$26:AV$47,'Ресурсы (5.4)'!$F$26:$F$47,$F74,'Ресурсы (5.4)'!$G$26:$G$47,$G74)</f>
        <v>0</v>
      </c>
      <c r="AW74" s="469">
        <f ca="1">SUMIFS('Ресурсы (5.4)'!AW$26:AW$47,'Ресурсы (5.4)'!$F$26:$F$47,$F74,'Ресурсы (5.4)'!$G$26:$G$47,$G74)</f>
        <v>0</v>
      </c>
      <c r="AX74" s="469">
        <f ca="1">SUMIFS('Ресурсы (5.4)'!AX$26:AX$47,'Ресурсы (5.4)'!$F$26:$F$47,$F74,'Ресурсы (5.4)'!$G$26:$G$47,$G74)</f>
        <v>0</v>
      </c>
      <c r="AY74" s="469">
        <f ca="1">SUMIFS('Ресурсы (5.4)'!AY$26:AY$47,'Ресурсы (5.4)'!$F$26:$F$47,$F74,'Ресурсы (5.4)'!$G$26:$G$47,$G74)</f>
        <v>0</v>
      </c>
      <c r="AZ74" s="469">
        <f ca="1">SUMIFS('Ресурсы (5.4)'!AZ$26:AZ$47,'Ресурсы (5.4)'!$F$26:$F$47,$F74,'Ресурсы (5.4)'!$G$26:$G$47,$G74)</f>
        <v>0</v>
      </c>
      <c r="BA74" s="469">
        <f ca="1">SUMIFS('Ресурсы (5.4)'!BA$26:BA$47,'Ресурсы (5.4)'!$F$26:$F$47,$F74,'Ресурсы (5.4)'!$G$26:$G$47,$G74)</f>
        <v>0</v>
      </c>
      <c r="BB74" s="469">
        <f ca="1">SUMIFS('Ресурсы (5.4)'!BB$26:BB$47,'Ресурсы (5.4)'!$F$26:$F$47,$F74,'Ресурсы (5.4)'!$G$26:$G$47,$G74)</f>
        <v>0</v>
      </c>
      <c r="BC74" s="469">
        <f ca="1">SUMIFS('Ресурсы (5.4)'!BC$26:BC$47,'Ресурсы (5.4)'!$F$26:$F$47,$F74,'Ресурсы (5.4)'!$G$26:$G$47,$G74)</f>
        <v>0</v>
      </c>
      <c r="BD74" s="293">
        <f t="shared" ca="1" si="38"/>
        <v>10.548068350945758</v>
      </c>
      <c r="BE74" s="293">
        <f t="shared" ca="1" si="39"/>
        <v>-100</v>
      </c>
      <c r="BF74" s="293">
        <f t="shared" ca="1" si="40"/>
        <v>0</v>
      </c>
      <c r="BG74" s="293">
        <f t="shared" ca="1" si="41"/>
        <v>0</v>
      </c>
      <c r="BH74" s="293">
        <f t="shared" ca="1" si="42"/>
        <v>0</v>
      </c>
      <c r="BI74" s="293">
        <f t="shared" ca="1" si="43"/>
        <v>0</v>
      </c>
      <c r="BJ74" s="293">
        <f t="shared" ca="1" si="44"/>
        <v>0</v>
      </c>
      <c r="BK74" s="293">
        <f t="shared" ca="1" si="45"/>
        <v>0</v>
      </c>
      <c r="BL74" s="293">
        <f t="shared" ca="1" si="46"/>
        <v>0</v>
      </c>
      <c r="BM74" s="293">
        <f t="shared" ca="1" si="47"/>
        <v>0</v>
      </c>
      <c r="BN74" s="1106"/>
      <c r="BO74" s="1106"/>
      <c r="BP74" s="1106"/>
      <c r="BQ74" s="167"/>
      <c r="BR74" s="167"/>
      <c r="BS74" s="944" t="s">
        <v>1375</v>
      </c>
      <c r="BT74" s="944"/>
      <c r="BU74" s="944"/>
      <c r="BV74" s="945"/>
      <c r="BW74" s="945"/>
    </row>
    <row r="75" spans="1:75" s="1057" customFormat="1" ht="16.5" hidden="1" customHeight="1">
      <c r="A75" s="165"/>
      <c r="B75" s="718"/>
      <c r="C75" s="165"/>
      <c r="D75" s="165"/>
      <c r="E75" s="623">
        <v>17.100000000000001</v>
      </c>
      <c r="F75" s="714" t="str">
        <f t="shared" ca="1" si="36"/>
        <v>1</v>
      </c>
      <c r="G75" s="167"/>
      <c r="H75" s="167"/>
      <c r="I75" s="167"/>
      <c r="J75" s="167"/>
      <c r="K75" s="167"/>
      <c r="L75" s="167"/>
      <c r="M75" s="167"/>
      <c r="N75" s="167"/>
      <c r="O75" s="167"/>
      <c r="P75" s="167"/>
      <c r="Q75" s="130"/>
      <c r="R75" s="130"/>
      <c r="S75" s="167"/>
      <c r="T75" s="634" t="b">
        <f t="shared" ref="T75:T86" ca="1" si="48">AND(F75&gt;0,method_reg="Метод обеспечения доходности инвестированного капитала")</f>
        <v>0</v>
      </c>
      <c r="U75" s="1012"/>
      <c r="V75" s="1012"/>
      <c r="W75" s="1012"/>
      <c r="X75" s="1405"/>
      <c r="Y75" s="1012"/>
      <c r="Z75" s="1405"/>
      <c r="AA75" s="167"/>
      <c r="AB75" s="244" t="s">
        <v>527</v>
      </c>
      <c r="AC75" s="666" t="s">
        <v>1376</v>
      </c>
      <c r="AD75" s="242" t="s">
        <v>648</v>
      </c>
      <c r="AE75" s="60"/>
      <c r="AF75" s="60"/>
      <c r="AG75" s="60"/>
      <c r="AH75" s="293">
        <f t="shared" si="37"/>
        <v>0</v>
      </c>
      <c r="AI75" s="60"/>
      <c r="AJ75" s="471"/>
      <c r="AK75" s="1181"/>
      <c r="AL75" s="1181"/>
      <c r="AM75" s="60"/>
      <c r="AN75" s="60"/>
      <c r="AO75" s="60"/>
      <c r="AP75" s="60"/>
      <c r="AQ75" s="60"/>
      <c r="AR75" s="60"/>
      <c r="AS75" s="60"/>
      <c r="AT75" s="471"/>
      <c r="AU75" s="1181"/>
      <c r="AV75" s="1181"/>
      <c r="AW75" s="60"/>
      <c r="AX75" s="60"/>
      <c r="AY75" s="60"/>
      <c r="AZ75" s="60"/>
      <c r="BA75" s="60"/>
      <c r="BB75" s="60"/>
      <c r="BC75" s="60"/>
      <c r="BD75" s="293">
        <f t="shared" si="38"/>
        <v>0</v>
      </c>
      <c r="BE75" s="293">
        <f t="shared" si="39"/>
        <v>0</v>
      </c>
      <c r="BF75" s="293">
        <f t="shared" si="40"/>
        <v>0</v>
      </c>
      <c r="BG75" s="293">
        <f t="shared" si="41"/>
        <v>0</v>
      </c>
      <c r="BH75" s="293">
        <f t="shared" si="42"/>
        <v>0</v>
      </c>
      <c r="BI75" s="293">
        <f t="shared" si="43"/>
        <v>0</v>
      </c>
      <c r="BJ75" s="293">
        <f t="shared" si="44"/>
        <v>0</v>
      </c>
      <c r="BK75" s="293">
        <f t="shared" si="45"/>
        <v>0</v>
      </c>
      <c r="BL75" s="293">
        <f t="shared" si="46"/>
        <v>0</v>
      </c>
      <c r="BM75" s="293">
        <f t="shared" si="47"/>
        <v>0</v>
      </c>
      <c r="BN75" s="22"/>
      <c r="BO75" s="22"/>
      <c r="BP75" s="22"/>
      <c r="BQ75" s="167"/>
      <c r="BR75" s="167"/>
      <c r="BS75" s="944" t="s">
        <v>1377</v>
      </c>
      <c r="BT75" s="944"/>
      <c r="BU75" s="944"/>
      <c r="BV75" s="945"/>
      <c r="BW75" s="945"/>
    </row>
    <row r="76" spans="1:75" s="1057" customFormat="1" ht="16.5" hidden="1" customHeight="1">
      <c r="A76" s="165"/>
      <c r="B76" s="718"/>
      <c r="C76" s="165"/>
      <c r="D76" s="165"/>
      <c r="E76" s="623">
        <v>17.100000000000001</v>
      </c>
      <c r="F76" s="714" t="str">
        <f t="shared" ca="1" si="36"/>
        <v>1</v>
      </c>
      <c r="G76" s="167"/>
      <c r="H76" s="167"/>
      <c r="I76" s="167"/>
      <c r="J76" s="167"/>
      <c r="K76" s="167"/>
      <c r="L76" s="167"/>
      <c r="M76" s="167"/>
      <c r="N76" s="167"/>
      <c r="O76" s="167"/>
      <c r="P76" s="167"/>
      <c r="Q76" s="130"/>
      <c r="R76" s="130"/>
      <c r="S76" s="167"/>
      <c r="T76" s="634" t="b">
        <f t="shared" ca="1" si="48"/>
        <v>0</v>
      </c>
      <c r="U76" s="1012"/>
      <c r="V76" s="1012"/>
      <c r="W76" s="1012"/>
      <c r="X76" s="1405"/>
      <c r="Y76" s="1012"/>
      <c r="Z76" s="1405"/>
      <c r="AA76" s="167"/>
      <c r="AB76" s="244" t="s">
        <v>530</v>
      </c>
      <c r="AC76" s="245" t="s">
        <v>1378</v>
      </c>
      <c r="AD76" s="242" t="s">
        <v>648</v>
      </c>
      <c r="AE76" s="60"/>
      <c r="AF76" s="60"/>
      <c r="AG76" s="60"/>
      <c r="AH76" s="293">
        <f t="shared" si="37"/>
        <v>0</v>
      </c>
      <c r="AI76" s="60"/>
      <c r="AJ76" s="471"/>
      <c r="AK76" s="1181"/>
      <c r="AL76" s="1181"/>
      <c r="AM76" s="60"/>
      <c r="AN76" s="60"/>
      <c r="AO76" s="60"/>
      <c r="AP76" s="60"/>
      <c r="AQ76" s="60"/>
      <c r="AR76" s="60"/>
      <c r="AS76" s="60"/>
      <c r="AT76" s="471"/>
      <c r="AU76" s="1181"/>
      <c r="AV76" s="1181"/>
      <c r="AW76" s="60"/>
      <c r="AX76" s="60"/>
      <c r="AY76" s="60"/>
      <c r="AZ76" s="60"/>
      <c r="BA76" s="60"/>
      <c r="BB76" s="60"/>
      <c r="BC76" s="60"/>
      <c r="BD76" s="293">
        <f t="shared" si="38"/>
        <v>0</v>
      </c>
      <c r="BE76" s="293">
        <f t="shared" si="39"/>
        <v>0</v>
      </c>
      <c r="BF76" s="293">
        <f t="shared" si="40"/>
        <v>0</v>
      </c>
      <c r="BG76" s="293">
        <f t="shared" si="41"/>
        <v>0</v>
      </c>
      <c r="BH76" s="293">
        <f t="shared" si="42"/>
        <v>0</v>
      </c>
      <c r="BI76" s="293">
        <f t="shared" si="43"/>
        <v>0</v>
      </c>
      <c r="BJ76" s="293">
        <f t="shared" si="44"/>
        <v>0</v>
      </c>
      <c r="BK76" s="293">
        <f t="shared" si="45"/>
        <v>0</v>
      </c>
      <c r="BL76" s="293">
        <f t="shared" si="46"/>
        <v>0</v>
      </c>
      <c r="BM76" s="293">
        <f t="shared" si="47"/>
        <v>0</v>
      </c>
      <c r="BN76" s="22"/>
      <c r="BO76" s="22"/>
      <c r="BP76" s="22"/>
      <c r="BQ76" s="167"/>
      <c r="BR76" s="167"/>
      <c r="BS76" s="944" t="s">
        <v>1379</v>
      </c>
      <c r="BT76" s="944"/>
      <c r="BU76" s="944"/>
      <c r="BV76" s="945"/>
      <c r="BW76" s="945"/>
    </row>
    <row r="77" spans="1:75" s="1057" customFormat="1" ht="16.5" hidden="1" customHeight="1">
      <c r="A77" s="165"/>
      <c r="B77" s="718"/>
      <c r="C77" s="165"/>
      <c r="D77" s="165"/>
      <c r="E77" s="623">
        <v>17.100000000000001</v>
      </c>
      <c r="F77" s="714" t="str">
        <f t="shared" ca="1" si="36"/>
        <v>1</v>
      </c>
      <c r="G77" s="167"/>
      <c r="H77" s="167"/>
      <c r="I77" s="167"/>
      <c r="J77" s="167"/>
      <c r="K77" s="167"/>
      <c r="L77" s="167"/>
      <c r="M77" s="167"/>
      <c r="N77" s="167"/>
      <c r="O77" s="167"/>
      <c r="P77" s="167"/>
      <c r="Q77" s="130"/>
      <c r="R77" s="130"/>
      <c r="S77" s="167"/>
      <c r="T77" s="634" t="b">
        <f t="shared" ca="1" si="48"/>
        <v>0</v>
      </c>
      <c r="U77" s="1012"/>
      <c r="V77" s="1012"/>
      <c r="W77" s="1012"/>
      <c r="X77" s="1405"/>
      <c r="Y77" s="1012"/>
      <c r="Z77" s="1405"/>
      <c r="AA77" s="167"/>
      <c r="AB77" s="244" t="s">
        <v>532</v>
      </c>
      <c r="AC77" s="245" t="s">
        <v>1380</v>
      </c>
      <c r="AD77" s="242" t="s">
        <v>1381</v>
      </c>
      <c r="AE77" s="60"/>
      <c r="AF77" s="60"/>
      <c r="AG77" s="60"/>
      <c r="AH77" s="293">
        <f t="shared" si="37"/>
        <v>0</v>
      </c>
      <c r="AI77" s="60"/>
      <c r="AJ77" s="471"/>
      <c r="AK77" s="1181"/>
      <c r="AL77" s="1181"/>
      <c r="AM77" s="60"/>
      <c r="AN77" s="60"/>
      <c r="AO77" s="60"/>
      <c r="AP77" s="60"/>
      <c r="AQ77" s="60"/>
      <c r="AR77" s="60"/>
      <c r="AS77" s="60"/>
      <c r="AT77" s="471"/>
      <c r="AU77" s="1181"/>
      <c r="AV77" s="1181"/>
      <c r="AW77" s="60"/>
      <c r="AX77" s="60"/>
      <c r="AY77" s="60"/>
      <c r="AZ77" s="60"/>
      <c r="BA77" s="60"/>
      <c r="BB77" s="60"/>
      <c r="BC77" s="60"/>
      <c r="BD77" s="293">
        <f t="shared" si="38"/>
        <v>0</v>
      </c>
      <c r="BE77" s="293">
        <f t="shared" si="39"/>
        <v>0</v>
      </c>
      <c r="BF77" s="293">
        <f t="shared" si="40"/>
        <v>0</v>
      </c>
      <c r="BG77" s="293">
        <f t="shared" si="41"/>
        <v>0</v>
      </c>
      <c r="BH77" s="293">
        <f t="shared" si="42"/>
        <v>0</v>
      </c>
      <c r="BI77" s="293">
        <f t="shared" si="43"/>
        <v>0</v>
      </c>
      <c r="BJ77" s="293">
        <f t="shared" si="44"/>
        <v>0</v>
      </c>
      <c r="BK77" s="293">
        <f t="shared" si="45"/>
        <v>0</v>
      </c>
      <c r="BL77" s="293">
        <f t="shared" si="46"/>
        <v>0</v>
      </c>
      <c r="BM77" s="293">
        <f t="shared" si="47"/>
        <v>0</v>
      </c>
      <c r="BN77" s="22"/>
      <c r="BO77" s="22"/>
      <c r="BP77" s="22"/>
      <c r="BQ77" s="167"/>
      <c r="BR77" s="167"/>
      <c r="BS77" s="944" t="s">
        <v>1382</v>
      </c>
      <c r="BT77" s="944"/>
      <c r="BU77" s="944"/>
      <c r="BV77" s="945"/>
      <c r="BW77" s="945"/>
    </row>
    <row r="78" spans="1:75" s="1057" customFormat="1" ht="16.5" hidden="1" customHeight="1">
      <c r="A78" s="165"/>
      <c r="B78" s="718"/>
      <c r="C78" s="165"/>
      <c r="D78" s="165"/>
      <c r="E78" s="623">
        <v>17.100000000000001</v>
      </c>
      <c r="F78" s="714" t="str">
        <f t="shared" ca="1" si="36"/>
        <v>1</v>
      </c>
      <c r="G78" s="167"/>
      <c r="H78" s="167"/>
      <c r="I78" s="167"/>
      <c r="J78" s="167"/>
      <c r="K78" s="167"/>
      <c r="L78" s="167"/>
      <c r="M78" s="167"/>
      <c r="N78" s="167"/>
      <c r="O78" s="167"/>
      <c r="P78" s="167"/>
      <c r="Q78" s="130"/>
      <c r="R78" s="130"/>
      <c r="S78" s="167"/>
      <c r="T78" s="634" t="b">
        <f t="shared" ca="1" si="48"/>
        <v>0</v>
      </c>
      <c r="U78" s="1012"/>
      <c r="V78" s="1012"/>
      <c r="W78" s="1012"/>
      <c r="X78" s="1405"/>
      <c r="Y78" s="1012"/>
      <c r="Z78" s="1405"/>
      <c r="AA78" s="167"/>
      <c r="AB78" s="244" t="s">
        <v>534</v>
      </c>
      <c r="AC78" s="666" t="s">
        <v>1383</v>
      </c>
      <c r="AD78" s="242" t="s">
        <v>648</v>
      </c>
      <c r="AE78" s="60"/>
      <c r="AF78" s="60"/>
      <c r="AG78" s="60"/>
      <c r="AH78" s="293">
        <f t="shared" si="37"/>
        <v>0</v>
      </c>
      <c r="AI78" s="60"/>
      <c r="AJ78" s="471"/>
      <c r="AK78" s="1181"/>
      <c r="AL78" s="1181"/>
      <c r="AM78" s="60"/>
      <c r="AN78" s="60"/>
      <c r="AO78" s="60"/>
      <c r="AP78" s="60"/>
      <c r="AQ78" s="60"/>
      <c r="AR78" s="60"/>
      <c r="AS78" s="60"/>
      <c r="AT78" s="471"/>
      <c r="AU78" s="1181"/>
      <c r="AV78" s="1181"/>
      <c r="AW78" s="60"/>
      <c r="AX78" s="60"/>
      <c r="AY78" s="60"/>
      <c r="AZ78" s="60"/>
      <c r="BA78" s="60"/>
      <c r="BB78" s="60"/>
      <c r="BC78" s="60"/>
      <c r="BD78" s="293">
        <f t="shared" si="38"/>
        <v>0</v>
      </c>
      <c r="BE78" s="293">
        <f t="shared" si="39"/>
        <v>0</v>
      </c>
      <c r="BF78" s="293">
        <f t="shared" si="40"/>
        <v>0</v>
      </c>
      <c r="BG78" s="293">
        <f t="shared" si="41"/>
        <v>0</v>
      </c>
      <c r="BH78" s="293">
        <f t="shared" si="42"/>
        <v>0</v>
      </c>
      <c r="BI78" s="293">
        <f t="shared" si="43"/>
        <v>0</v>
      </c>
      <c r="BJ78" s="293">
        <f t="shared" si="44"/>
        <v>0</v>
      </c>
      <c r="BK78" s="293">
        <f t="shared" si="45"/>
        <v>0</v>
      </c>
      <c r="BL78" s="293">
        <f t="shared" si="46"/>
        <v>0</v>
      </c>
      <c r="BM78" s="293">
        <f t="shared" si="47"/>
        <v>0</v>
      </c>
      <c r="BN78" s="22"/>
      <c r="BO78" s="22"/>
      <c r="BP78" s="22"/>
      <c r="BQ78" s="167"/>
      <c r="BR78" s="167"/>
      <c r="BS78" s="944" t="s">
        <v>1384</v>
      </c>
      <c r="BT78" s="944"/>
      <c r="BU78" s="944"/>
      <c r="BV78" s="945"/>
      <c r="BW78" s="945"/>
    </row>
    <row r="79" spans="1:75" s="1057" customFormat="1" ht="16.5" hidden="1" customHeight="1">
      <c r="A79" s="165"/>
      <c r="B79" s="718"/>
      <c r="C79" s="165"/>
      <c r="D79" s="165"/>
      <c r="E79" s="623">
        <v>17.100000000000001</v>
      </c>
      <c r="F79" s="714" t="str">
        <f t="shared" ca="1" si="36"/>
        <v>1</v>
      </c>
      <c r="G79" s="167"/>
      <c r="H79" s="167"/>
      <c r="I79" s="167"/>
      <c r="J79" s="167"/>
      <c r="K79" s="167"/>
      <c r="L79" s="167"/>
      <c r="M79" s="167"/>
      <c r="N79" s="167"/>
      <c r="O79" s="167"/>
      <c r="P79" s="167"/>
      <c r="Q79" s="130"/>
      <c r="R79" s="130"/>
      <c r="S79" s="167"/>
      <c r="T79" s="634" t="b">
        <f t="shared" ca="1" si="48"/>
        <v>0</v>
      </c>
      <c r="U79" s="1012"/>
      <c r="V79" s="1012"/>
      <c r="W79" s="1012"/>
      <c r="X79" s="1405"/>
      <c r="Y79" s="1012"/>
      <c r="Z79" s="1405"/>
      <c r="AA79" s="167"/>
      <c r="AB79" s="244" t="s">
        <v>537</v>
      </c>
      <c r="AC79" s="245" t="s">
        <v>1385</v>
      </c>
      <c r="AD79" s="242" t="s">
        <v>648</v>
      </c>
      <c r="AE79" s="60"/>
      <c r="AF79" s="60"/>
      <c r="AG79" s="60"/>
      <c r="AH79" s="293">
        <f t="shared" si="37"/>
        <v>0</v>
      </c>
      <c r="AI79" s="60"/>
      <c r="AJ79" s="471"/>
      <c r="AK79" s="1181"/>
      <c r="AL79" s="1181"/>
      <c r="AM79" s="60"/>
      <c r="AN79" s="60"/>
      <c r="AO79" s="60"/>
      <c r="AP79" s="60"/>
      <c r="AQ79" s="60"/>
      <c r="AR79" s="60"/>
      <c r="AS79" s="60"/>
      <c r="AT79" s="471"/>
      <c r="AU79" s="1181"/>
      <c r="AV79" s="1181"/>
      <c r="AW79" s="60"/>
      <c r="AX79" s="60"/>
      <c r="AY79" s="60"/>
      <c r="AZ79" s="60"/>
      <c r="BA79" s="60"/>
      <c r="BB79" s="60"/>
      <c r="BC79" s="60"/>
      <c r="BD79" s="293">
        <f t="shared" si="38"/>
        <v>0</v>
      </c>
      <c r="BE79" s="293">
        <f t="shared" si="39"/>
        <v>0</v>
      </c>
      <c r="BF79" s="293">
        <f t="shared" si="40"/>
        <v>0</v>
      </c>
      <c r="BG79" s="293">
        <f t="shared" si="41"/>
        <v>0</v>
      </c>
      <c r="BH79" s="293">
        <f t="shared" si="42"/>
        <v>0</v>
      </c>
      <c r="BI79" s="293">
        <f t="shared" si="43"/>
        <v>0</v>
      </c>
      <c r="BJ79" s="293">
        <f t="shared" si="44"/>
        <v>0</v>
      </c>
      <c r="BK79" s="293">
        <f t="shared" si="45"/>
        <v>0</v>
      </c>
      <c r="BL79" s="293">
        <f t="shared" si="46"/>
        <v>0</v>
      </c>
      <c r="BM79" s="293">
        <f t="shared" si="47"/>
        <v>0</v>
      </c>
      <c r="BN79" s="22"/>
      <c r="BO79" s="22"/>
      <c r="BP79" s="22"/>
      <c r="BQ79" s="167"/>
      <c r="BR79" s="167"/>
      <c r="BS79" s="944" t="s">
        <v>1386</v>
      </c>
      <c r="BT79" s="944"/>
      <c r="BU79" s="944"/>
      <c r="BV79" s="945"/>
      <c r="BW79" s="945"/>
    </row>
    <row r="80" spans="1:75" s="1057" customFormat="1" ht="16.5" hidden="1" customHeight="1">
      <c r="A80" s="165"/>
      <c r="B80" s="718"/>
      <c r="C80" s="165"/>
      <c r="D80" s="165"/>
      <c r="E80" s="623">
        <v>17.100000000000001</v>
      </c>
      <c r="F80" s="714" t="str">
        <f t="shared" ca="1" si="36"/>
        <v>1</v>
      </c>
      <c r="G80" s="167"/>
      <c r="H80" s="167"/>
      <c r="I80" s="167"/>
      <c r="J80" s="167"/>
      <c r="K80" s="167"/>
      <c r="L80" s="167"/>
      <c r="M80" s="167"/>
      <c r="N80" s="167"/>
      <c r="O80" s="167"/>
      <c r="P80" s="167"/>
      <c r="Q80" s="130"/>
      <c r="R80" s="130"/>
      <c r="S80" s="167"/>
      <c r="T80" s="634" t="b">
        <f t="shared" ca="1" si="48"/>
        <v>0</v>
      </c>
      <c r="U80" s="1012"/>
      <c r="V80" s="1012"/>
      <c r="W80" s="1012"/>
      <c r="X80" s="1405"/>
      <c r="Y80" s="1012"/>
      <c r="Z80" s="1405"/>
      <c r="AA80" s="167"/>
      <c r="AB80" s="244" t="s">
        <v>539</v>
      </c>
      <c r="AC80" s="245" t="s">
        <v>1387</v>
      </c>
      <c r="AD80" s="242" t="s">
        <v>388</v>
      </c>
      <c r="AE80" s="60"/>
      <c r="AF80" s="60"/>
      <c r="AG80" s="60"/>
      <c r="AH80" s="293">
        <f t="shared" si="37"/>
        <v>0</v>
      </c>
      <c r="AI80" s="60"/>
      <c r="AJ80" s="471"/>
      <c r="AK80" s="1181"/>
      <c r="AL80" s="1181"/>
      <c r="AM80" s="60"/>
      <c r="AN80" s="60"/>
      <c r="AO80" s="60"/>
      <c r="AP80" s="60"/>
      <c r="AQ80" s="60"/>
      <c r="AR80" s="60"/>
      <c r="AS80" s="60"/>
      <c r="AT80" s="471"/>
      <c r="AU80" s="1181"/>
      <c r="AV80" s="1181"/>
      <c r="AW80" s="60"/>
      <c r="AX80" s="60"/>
      <c r="AY80" s="60"/>
      <c r="AZ80" s="60"/>
      <c r="BA80" s="60"/>
      <c r="BB80" s="60"/>
      <c r="BC80" s="60"/>
      <c r="BD80" s="293">
        <f t="shared" si="38"/>
        <v>0</v>
      </c>
      <c r="BE80" s="293">
        <f t="shared" si="39"/>
        <v>0</v>
      </c>
      <c r="BF80" s="293">
        <f t="shared" si="40"/>
        <v>0</v>
      </c>
      <c r="BG80" s="293">
        <f t="shared" si="41"/>
        <v>0</v>
      </c>
      <c r="BH80" s="293">
        <f t="shared" si="42"/>
        <v>0</v>
      </c>
      <c r="BI80" s="293">
        <f t="shared" si="43"/>
        <v>0</v>
      </c>
      <c r="BJ80" s="293">
        <f t="shared" si="44"/>
        <v>0</v>
      </c>
      <c r="BK80" s="293">
        <f t="shared" si="45"/>
        <v>0</v>
      </c>
      <c r="BL80" s="293">
        <f t="shared" si="46"/>
        <v>0</v>
      </c>
      <c r="BM80" s="293">
        <f t="shared" si="47"/>
        <v>0</v>
      </c>
      <c r="BN80" s="22"/>
      <c r="BO80" s="22"/>
      <c r="BP80" s="22"/>
      <c r="BQ80" s="167"/>
      <c r="BR80" s="167"/>
      <c r="BS80" s="944" t="s">
        <v>1388</v>
      </c>
      <c r="BT80" s="944"/>
      <c r="BU80" s="944"/>
      <c r="BV80" s="945"/>
      <c r="BW80" s="945"/>
    </row>
    <row r="81" spans="1:75" s="1057" customFormat="1" ht="16.5" hidden="1" customHeight="1">
      <c r="A81" s="165"/>
      <c r="B81" s="718"/>
      <c r="C81" s="165"/>
      <c r="D81" s="165"/>
      <c r="E81" s="623">
        <v>17.100000000000001</v>
      </c>
      <c r="F81" s="714" t="str">
        <f t="shared" ca="1" si="36"/>
        <v>1</v>
      </c>
      <c r="G81" s="167"/>
      <c r="H81" s="167"/>
      <c r="I81" s="167"/>
      <c r="J81" s="167"/>
      <c r="K81" s="167"/>
      <c r="L81" s="167"/>
      <c r="M81" s="167"/>
      <c r="N81" s="167"/>
      <c r="O81" s="167"/>
      <c r="P81" s="167"/>
      <c r="Q81" s="130"/>
      <c r="R81" s="130"/>
      <c r="S81" s="167"/>
      <c r="T81" s="634" t="b">
        <f t="shared" ca="1" si="48"/>
        <v>0</v>
      </c>
      <c r="U81" s="1012"/>
      <c r="V81" s="1012"/>
      <c r="W81" s="1012"/>
      <c r="X81" s="1405"/>
      <c r="Y81" s="1012"/>
      <c r="Z81" s="1405"/>
      <c r="AA81" s="167"/>
      <c r="AB81" s="244" t="s">
        <v>1110</v>
      </c>
      <c r="AC81" s="67" t="s">
        <v>1389</v>
      </c>
      <c r="AD81" s="242" t="s">
        <v>648</v>
      </c>
      <c r="AE81" s="60"/>
      <c r="AF81" s="60"/>
      <c r="AG81" s="60"/>
      <c r="AH81" s="293">
        <f t="shared" si="37"/>
        <v>0</v>
      </c>
      <c r="AI81" s="60"/>
      <c r="AJ81" s="471"/>
      <c r="AK81" s="1181"/>
      <c r="AL81" s="1181"/>
      <c r="AM81" s="60"/>
      <c r="AN81" s="60"/>
      <c r="AO81" s="60"/>
      <c r="AP81" s="60"/>
      <c r="AQ81" s="60"/>
      <c r="AR81" s="60"/>
      <c r="AS81" s="60"/>
      <c r="AT81" s="471"/>
      <c r="AU81" s="1181"/>
      <c r="AV81" s="1181"/>
      <c r="AW81" s="60"/>
      <c r="AX81" s="60"/>
      <c r="AY81" s="60"/>
      <c r="AZ81" s="60"/>
      <c r="BA81" s="60"/>
      <c r="BB81" s="60"/>
      <c r="BC81" s="60"/>
      <c r="BD81" s="293">
        <f t="shared" si="38"/>
        <v>0</v>
      </c>
      <c r="BE81" s="293">
        <f t="shared" si="39"/>
        <v>0</v>
      </c>
      <c r="BF81" s="293">
        <f t="shared" si="40"/>
        <v>0</v>
      </c>
      <c r="BG81" s="293">
        <f t="shared" si="41"/>
        <v>0</v>
      </c>
      <c r="BH81" s="293">
        <f t="shared" si="42"/>
        <v>0</v>
      </c>
      <c r="BI81" s="293">
        <f t="shared" si="43"/>
        <v>0</v>
      </c>
      <c r="BJ81" s="293">
        <f t="shared" si="44"/>
        <v>0</v>
      </c>
      <c r="BK81" s="293">
        <f t="shared" si="45"/>
        <v>0</v>
      </c>
      <c r="BL81" s="293">
        <f t="shared" si="46"/>
        <v>0</v>
      </c>
      <c r="BM81" s="293">
        <f t="shared" si="47"/>
        <v>0</v>
      </c>
      <c r="BN81" s="22"/>
      <c r="BO81" s="22"/>
      <c r="BP81" s="22"/>
      <c r="BQ81" s="167"/>
      <c r="BR81" s="167"/>
      <c r="BS81" s="944" t="s">
        <v>1390</v>
      </c>
      <c r="BT81" s="944"/>
      <c r="BU81" s="944"/>
      <c r="BV81" s="945"/>
      <c r="BW81" s="945"/>
    </row>
    <row r="82" spans="1:75" s="1057" customFormat="1" ht="16.5" hidden="1" customHeight="1">
      <c r="A82" s="165"/>
      <c r="B82" s="718"/>
      <c r="C82" s="165"/>
      <c r="D82" s="165"/>
      <c r="E82" s="623">
        <v>17.100000000000001</v>
      </c>
      <c r="F82" s="714" t="str">
        <f t="shared" ca="1" si="36"/>
        <v>1</v>
      </c>
      <c r="G82" s="167"/>
      <c r="H82" s="167"/>
      <c r="I82" s="167"/>
      <c r="J82" s="167"/>
      <c r="K82" s="167"/>
      <c r="L82" s="167"/>
      <c r="M82" s="167"/>
      <c r="N82" s="167"/>
      <c r="O82" s="167"/>
      <c r="P82" s="167"/>
      <c r="Q82" s="130"/>
      <c r="R82" s="130"/>
      <c r="S82" s="167"/>
      <c r="T82" s="634" t="b">
        <f t="shared" ca="1" si="48"/>
        <v>0</v>
      </c>
      <c r="U82" s="1012"/>
      <c r="V82" s="1012"/>
      <c r="W82" s="1012"/>
      <c r="X82" s="1405"/>
      <c r="Y82" s="1012"/>
      <c r="Z82" s="1405"/>
      <c r="AA82" s="167"/>
      <c r="AB82" s="244" t="s">
        <v>1113</v>
      </c>
      <c r="AC82" s="67" t="s">
        <v>1391</v>
      </c>
      <c r="AD82" s="242" t="s">
        <v>648</v>
      </c>
      <c r="AE82" s="60"/>
      <c r="AF82" s="60"/>
      <c r="AG82" s="60"/>
      <c r="AH82" s="293">
        <f t="shared" si="37"/>
        <v>0</v>
      </c>
      <c r="AI82" s="60"/>
      <c r="AJ82" s="471"/>
      <c r="AK82" s="1181"/>
      <c r="AL82" s="1181"/>
      <c r="AM82" s="60"/>
      <c r="AN82" s="60"/>
      <c r="AO82" s="60"/>
      <c r="AP82" s="60"/>
      <c r="AQ82" s="60"/>
      <c r="AR82" s="60"/>
      <c r="AS82" s="60"/>
      <c r="AT82" s="471"/>
      <c r="AU82" s="1181"/>
      <c r="AV82" s="1181"/>
      <c r="AW82" s="60"/>
      <c r="AX82" s="60"/>
      <c r="AY82" s="60"/>
      <c r="AZ82" s="60"/>
      <c r="BA82" s="60"/>
      <c r="BB82" s="60"/>
      <c r="BC82" s="60"/>
      <c r="BD82" s="293">
        <f t="shared" si="38"/>
        <v>0</v>
      </c>
      <c r="BE82" s="293">
        <f t="shared" si="39"/>
        <v>0</v>
      </c>
      <c r="BF82" s="293">
        <f t="shared" si="40"/>
        <v>0</v>
      </c>
      <c r="BG82" s="293">
        <f t="shared" si="41"/>
        <v>0</v>
      </c>
      <c r="BH82" s="293">
        <f t="shared" si="42"/>
        <v>0</v>
      </c>
      <c r="BI82" s="293">
        <f t="shared" si="43"/>
        <v>0</v>
      </c>
      <c r="BJ82" s="293">
        <f t="shared" si="44"/>
        <v>0</v>
      </c>
      <c r="BK82" s="293">
        <f t="shared" si="45"/>
        <v>0</v>
      </c>
      <c r="BL82" s="293">
        <f t="shared" si="46"/>
        <v>0</v>
      </c>
      <c r="BM82" s="293">
        <f t="shared" si="47"/>
        <v>0</v>
      </c>
      <c r="BN82" s="22"/>
      <c r="BO82" s="22"/>
      <c r="BP82" s="22"/>
      <c r="BQ82" s="167"/>
      <c r="BR82" s="167"/>
      <c r="BS82" s="944" t="s">
        <v>1392</v>
      </c>
      <c r="BT82" s="944"/>
      <c r="BU82" s="944"/>
      <c r="BV82" s="945"/>
      <c r="BW82" s="945"/>
    </row>
    <row r="83" spans="1:75" s="1057" customFormat="1" ht="16.5" hidden="1" customHeight="1">
      <c r="A83" s="165"/>
      <c r="B83" s="718"/>
      <c r="C83" s="165"/>
      <c r="D83" s="165"/>
      <c r="E83" s="623">
        <v>17.100000000000001</v>
      </c>
      <c r="F83" s="714" t="str">
        <f t="shared" ca="1" si="36"/>
        <v>1</v>
      </c>
      <c r="G83" s="167"/>
      <c r="H83" s="167"/>
      <c r="I83" s="167"/>
      <c r="J83" s="167"/>
      <c r="K83" s="167"/>
      <c r="L83" s="167"/>
      <c r="M83" s="167"/>
      <c r="N83" s="167"/>
      <c r="O83" s="167"/>
      <c r="P83" s="167"/>
      <c r="Q83" s="130"/>
      <c r="R83" s="130"/>
      <c r="S83" s="167"/>
      <c r="T83" s="634" t="b">
        <f t="shared" ca="1" si="48"/>
        <v>0</v>
      </c>
      <c r="U83" s="1012"/>
      <c r="V83" s="1012"/>
      <c r="W83" s="1012"/>
      <c r="X83" s="1405"/>
      <c r="Y83" s="1012"/>
      <c r="Z83" s="1405"/>
      <c r="AA83" s="167"/>
      <c r="AB83" s="244" t="s">
        <v>1393</v>
      </c>
      <c r="AC83" s="68" t="s">
        <v>1394</v>
      </c>
      <c r="AD83" s="242" t="s">
        <v>388</v>
      </c>
      <c r="AE83" s="60"/>
      <c r="AF83" s="60"/>
      <c r="AG83" s="60"/>
      <c r="AH83" s="293">
        <f t="shared" si="37"/>
        <v>0</v>
      </c>
      <c r="AI83" s="60"/>
      <c r="AJ83" s="471"/>
      <c r="AK83" s="1181"/>
      <c r="AL83" s="1181"/>
      <c r="AM83" s="60"/>
      <c r="AN83" s="60"/>
      <c r="AO83" s="60"/>
      <c r="AP83" s="60"/>
      <c r="AQ83" s="60"/>
      <c r="AR83" s="60"/>
      <c r="AS83" s="60"/>
      <c r="AT83" s="471"/>
      <c r="AU83" s="1181"/>
      <c r="AV83" s="1181"/>
      <c r="AW83" s="60"/>
      <c r="AX83" s="60"/>
      <c r="AY83" s="60"/>
      <c r="AZ83" s="60"/>
      <c r="BA83" s="60"/>
      <c r="BB83" s="60"/>
      <c r="BC83" s="60"/>
      <c r="BD83" s="293">
        <f t="shared" si="38"/>
        <v>0</v>
      </c>
      <c r="BE83" s="293">
        <f t="shared" si="39"/>
        <v>0</v>
      </c>
      <c r="BF83" s="293">
        <f t="shared" si="40"/>
        <v>0</v>
      </c>
      <c r="BG83" s="293">
        <f t="shared" si="41"/>
        <v>0</v>
      </c>
      <c r="BH83" s="293">
        <f t="shared" si="42"/>
        <v>0</v>
      </c>
      <c r="BI83" s="293">
        <f t="shared" si="43"/>
        <v>0</v>
      </c>
      <c r="BJ83" s="293">
        <f t="shared" si="44"/>
        <v>0</v>
      </c>
      <c r="BK83" s="293">
        <f t="shared" si="45"/>
        <v>0</v>
      </c>
      <c r="BL83" s="293">
        <f t="shared" si="46"/>
        <v>0</v>
      </c>
      <c r="BM83" s="293">
        <f t="shared" si="47"/>
        <v>0</v>
      </c>
      <c r="BN83" s="22"/>
      <c r="BO83" s="22"/>
      <c r="BP83" s="22"/>
      <c r="BQ83" s="167"/>
      <c r="BR83" s="167"/>
      <c r="BS83" s="944" t="s">
        <v>1395</v>
      </c>
      <c r="BT83" s="944"/>
      <c r="BU83" s="944"/>
      <c r="BV83" s="945"/>
      <c r="BW83" s="945"/>
    </row>
    <row r="84" spans="1:75" s="1057" customFormat="1" ht="16.5" hidden="1" customHeight="1">
      <c r="A84" s="165"/>
      <c r="B84" s="718"/>
      <c r="C84" s="165"/>
      <c r="D84" s="165"/>
      <c r="E84" s="623">
        <v>17.100000000000001</v>
      </c>
      <c r="F84" s="714" t="str">
        <f t="shared" ca="1" si="36"/>
        <v>1</v>
      </c>
      <c r="G84" s="167"/>
      <c r="H84" s="167"/>
      <c r="I84" s="167"/>
      <c r="J84" s="167"/>
      <c r="K84" s="167"/>
      <c r="L84" s="167"/>
      <c r="M84" s="167"/>
      <c r="N84" s="167"/>
      <c r="O84" s="167"/>
      <c r="P84" s="167"/>
      <c r="Q84" s="130"/>
      <c r="R84" s="130"/>
      <c r="S84" s="167"/>
      <c r="T84" s="634" t="b">
        <f t="shared" ca="1" si="48"/>
        <v>0</v>
      </c>
      <c r="U84" s="1012"/>
      <c r="V84" s="1012"/>
      <c r="W84" s="1012"/>
      <c r="X84" s="1405"/>
      <c r="Y84" s="1012"/>
      <c r="Z84" s="1405"/>
      <c r="AA84" s="167"/>
      <c r="AB84" s="244" t="s">
        <v>1116</v>
      </c>
      <c r="AC84" s="67" t="s">
        <v>1396</v>
      </c>
      <c r="AD84" s="242" t="s">
        <v>388</v>
      </c>
      <c r="AE84" s="60"/>
      <c r="AF84" s="60"/>
      <c r="AG84" s="60"/>
      <c r="AH84" s="293">
        <f t="shared" si="37"/>
        <v>0</v>
      </c>
      <c r="AI84" s="60"/>
      <c r="AJ84" s="471"/>
      <c r="AK84" s="1181"/>
      <c r="AL84" s="1181"/>
      <c r="AM84" s="60"/>
      <c r="AN84" s="60"/>
      <c r="AO84" s="60"/>
      <c r="AP84" s="60"/>
      <c r="AQ84" s="60"/>
      <c r="AR84" s="60"/>
      <c r="AS84" s="60"/>
      <c r="AT84" s="471"/>
      <c r="AU84" s="1181"/>
      <c r="AV84" s="1181"/>
      <c r="AW84" s="60"/>
      <c r="AX84" s="60"/>
      <c r="AY84" s="60"/>
      <c r="AZ84" s="60"/>
      <c r="BA84" s="60"/>
      <c r="BB84" s="60"/>
      <c r="BC84" s="60"/>
      <c r="BD84" s="293">
        <f t="shared" si="38"/>
        <v>0</v>
      </c>
      <c r="BE84" s="293">
        <f t="shared" si="39"/>
        <v>0</v>
      </c>
      <c r="BF84" s="293">
        <f t="shared" si="40"/>
        <v>0</v>
      </c>
      <c r="BG84" s="293">
        <f t="shared" si="41"/>
        <v>0</v>
      </c>
      <c r="BH84" s="293">
        <f t="shared" si="42"/>
        <v>0</v>
      </c>
      <c r="BI84" s="293">
        <f t="shared" si="43"/>
        <v>0</v>
      </c>
      <c r="BJ84" s="293">
        <f t="shared" si="44"/>
        <v>0</v>
      </c>
      <c r="BK84" s="293">
        <f t="shared" si="45"/>
        <v>0</v>
      </c>
      <c r="BL84" s="293">
        <f t="shared" si="46"/>
        <v>0</v>
      </c>
      <c r="BM84" s="293">
        <f t="shared" si="47"/>
        <v>0</v>
      </c>
      <c r="BN84" s="22"/>
      <c r="BO84" s="22"/>
      <c r="BP84" s="22"/>
      <c r="BQ84" s="167"/>
      <c r="BR84" s="167"/>
      <c r="BS84" s="944" t="s">
        <v>1397</v>
      </c>
      <c r="BT84" s="944"/>
      <c r="BU84" s="944"/>
      <c r="BV84" s="945"/>
      <c r="BW84" s="945"/>
    </row>
    <row r="85" spans="1:75" s="1057" customFormat="1" ht="16.5" hidden="1" customHeight="1">
      <c r="A85" s="165"/>
      <c r="B85" s="718"/>
      <c r="C85" s="165"/>
      <c r="D85" s="165"/>
      <c r="E85" s="623">
        <v>17.100000000000001</v>
      </c>
      <c r="F85" s="714" t="str">
        <f t="shared" ca="1" si="36"/>
        <v>1</v>
      </c>
      <c r="G85" s="167"/>
      <c r="H85" s="167"/>
      <c r="I85" s="167"/>
      <c r="J85" s="167"/>
      <c r="K85" s="167"/>
      <c r="L85" s="167"/>
      <c r="M85" s="167"/>
      <c r="N85" s="167"/>
      <c r="O85" s="167"/>
      <c r="P85" s="167"/>
      <c r="Q85" s="130"/>
      <c r="R85" s="130"/>
      <c r="S85" s="167"/>
      <c r="T85" s="634" t="b">
        <f t="shared" ca="1" si="48"/>
        <v>0</v>
      </c>
      <c r="U85" s="1012"/>
      <c r="V85" s="1012"/>
      <c r="W85" s="1012"/>
      <c r="X85" s="1405"/>
      <c r="Y85" s="1012"/>
      <c r="Z85" s="1405"/>
      <c r="AA85" s="167"/>
      <c r="AB85" s="244" t="s">
        <v>1398</v>
      </c>
      <c r="AC85" s="68" t="s">
        <v>1399</v>
      </c>
      <c r="AD85" s="242" t="s">
        <v>388</v>
      </c>
      <c r="AE85" s="60"/>
      <c r="AF85" s="60"/>
      <c r="AG85" s="60"/>
      <c r="AH85" s="293">
        <f t="shared" si="37"/>
        <v>0</v>
      </c>
      <c r="AI85" s="60"/>
      <c r="AJ85" s="471"/>
      <c r="AK85" s="1181"/>
      <c r="AL85" s="1181"/>
      <c r="AM85" s="60"/>
      <c r="AN85" s="60"/>
      <c r="AO85" s="60"/>
      <c r="AP85" s="60"/>
      <c r="AQ85" s="60"/>
      <c r="AR85" s="60"/>
      <c r="AS85" s="60"/>
      <c r="AT85" s="471"/>
      <c r="AU85" s="1181"/>
      <c r="AV85" s="1181"/>
      <c r="AW85" s="60"/>
      <c r="AX85" s="60"/>
      <c r="AY85" s="60"/>
      <c r="AZ85" s="60"/>
      <c r="BA85" s="60"/>
      <c r="BB85" s="60"/>
      <c r="BC85" s="60"/>
      <c r="BD85" s="293">
        <f t="shared" si="38"/>
        <v>0</v>
      </c>
      <c r="BE85" s="293">
        <f t="shared" si="39"/>
        <v>0</v>
      </c>
      <c r="BF85" s="293">
        <f t="shared" si="40"/>
        <v>0</v>
      </c>
      <c r="BG85" s="293">
        <f t="shared" si="41"/>
        <v>0</v>
      </c>
      <c r="BH85" s="293">
        <f t="shared" si="42"/>
        <v>0</v>
      </c>
      <c r="BI85" s="293">
        <f t="shared" si="43"/>
        <v>0</v>
      </c>
      <c r="BJ85" s="293">
        <f t="shared" si="44"/>
        <v>0</v>
      </c>
      <c r="BK85" s="293">
        <f t="shared" si="45"/>
        <v>0</v>
      </c>
      <c r="BL85" s="293">
        <f t="shared" si="46"/>
        <v>0</v>
      </c>
      <c r="BM85" s="293">
        <f t="shared" si="47"/>
        <v>0</v>
      </c>
      <c r="BN85" s="22"/>
      <c r="BO85" s="22"/>
      <c r="BP85" s="22"/>
      <c r="BQ85" s="167"/>
      <c r="BR85" s="167"/>
      <c r="BS85" s="944" t="s">
        <v>1400</v>
      </c>
      <c r="BT85" s="944"/>
      <c r="BU85" s="944"/>
      <c r="BV85" s="945"/>
      <c r="BW85" s="945"/>
    </row>
    <row r="86" spans="1:75" s="1057" customFormat="1" ht="16.5" hidden="1" customHeight="1">
      <c r="A86" s="165"/>
      <c r="B86" s="718"/>
      <c r="C86" s="165"/>
      <c r="D86" s="165"/>
      <c r="E86" s="623">
        <v>17.100000000000001</v>
      </c>
      <c r="F86" s="714" t="str">
        <f t="shared" ca="1" si="36"/>
        <v>1</v>
      </c>
      <c r="G86" s="167"/>
      <c r="H86" s="167"/>
      <c r="I86" s="167"/>
      <c r="J86" s="167"/>
      <c r="K86" s="167"/>
      <c r="L86" s="167"/>
      <c r="M86" s="167"/>
      <c r="N86" s="167"/>
      <c r="O86" s="167"/>
      <c r="P86" s="167"/>
      <c r="Q86" s="130"/>
      <c r="R86" s="130"/>
      <c r="S86" s="167"/>
      <c r="T86" s="634" t="b">
        <f t="shared" ca="1" si="48"/>
        <v>0</v>
      </c>
      <c r="U86" s="1012"/>
      <c r="V86" s="1012"/>
      <c r="W86" s="1012"/>
      <c r="X86" s="1405"/>
      <c r="Y86" s="1012"/>
      <c r="Z86" s="1405"/>
      <c r="AA86" s="167"/>
      <c r="AB86" s="244" t="s">
        <v>1401</v>
      </c>
      <c r="AC86" s="68" t="s">
        <v>1402</v>
      </c>
      <c r="AD86" s="242" t="s">
        <v>388</v>
      </c>
      <c r="AE86" s="60"/>
      <c r="AF86" s="60"/>
      <c r="AG86" s="60"/>
      <c r="AH86" s="293">
        <f t="shared" si="37"/>
        <v>0</v>
      </c>
      <c r="AI86" s="60"/>
      <c r="AJ86" s="471"/>
      <c r="AK86" s="1181"/>
      <c r="AL86" s="1181"/>
      <c r="AM86" s="60"/>
      <c r="AN86" s="60"/>
      <c r="AO86" s="60"/>
      <c r="AP86" s="60"/>
      <c r="AQ86" s="60"/>
      <c r="AR86" s="60"/>
      <c r="AS86" s="60"/>
      <c r="AT86" s="471"/>
      <c r="AU86" s="1181"/>
      <c r="AV86" s="1181"/>
      <c r="AW86" s="60"/>
      <c r="AX86" s="60"/>
      <c r="AY86" s="60"/>
      <c r="AZ86" s="60"/>
      <c r="BA86" s="60"/>
      <c r="BB86" s="60"/>
      <c r="BC86" s="60"/>
      <c r="BD86" s="293">
        <f t="shared" si="38"/>
        <v>0</v>
      </c>
      <c r="BE86" s="293">
        <f t="shared" si="39"/>
        <v>0</v>
      </c>
      <c r="BF86" s="293">
        <f t="shared" si="40"/>
        <v>0</v>
      </c>
      <c r="BG86" s="293">
        <f t="shared" si="41"/>
        <v>0</v>
      </c>
      <c r="BH86" s="293">
        <f t="shared" si="42"/>
        <v>0</v>
      </c>
      <c r="BI86" s="293">
        <f t="shared" si="43"/>
        <v>0</v>
      </c>
      <c r="BJ86" s="293">
        <f t="shared" si="44"/>
        <v>0</v>
      </c>
      <c r="BK86" s="293">
        <f t="shared" si="45"/>
        <v>0</v>
      </c>
      <c r="BL86" s="293">
        <f t="shared" si="46"/>
        <v>0</v>
      </c>
      <c r="BM86" s="293">
        <f t="shared" si="47"/>
        <v>0</v>
      </c>
      <c r="BN86" s="22"/>
      <c r="BO86" s="22"/>
      <c r="BP86" s="22"/>
      <c r="BQ86" s="167"/>
      <c r="BR86" s="167"/>
      <c r="BS86" s="944" t="s">
        <v>1403</v>
      </c>
      <c r="BT86" s="944"/>
      <c r="BU86" s="944"/>
      <c r="BV86" s="945"/>
      <c r="BW86" s="945"/>
    </row>
    <row r="87" spans="1:75" s="1057" customFormat="1" ht="16.5" customHeight="1">
      <c r="A87" s="165"/>
      <c r="B87" s="718"/>
      <c r="C87" s="165"/>
      <c r="D87" s="165"/>
      <c r="E87" s="623">
        <v>17.100000000000001</v>
      </c>
      <c r="F87" s="714" t="str">
        <f t="shared" ca="1" si="36"/>
        <v>1</v>
      </c>
      <c r="G87" s="130" t="s">
        <v>1301</v>
      </c>
      <c r="H87" s="167"/>
      <c r="I87" s="167"/>
      <c r="J87" s="167"/>
      <c r="K87" s="167"/>
      <c r="L87" s="167"/>
      <c r="M87" s="167"/>
      <c r="N87" s="167"/>
      <c r="O87" s="167"/>
      <c r="P87" s="167"/>
      <c r="Q87" s="130"/>
      <c r="R87" s="130"/>
      <c r="S87" s="167"/>
      <c r="T87" s="634" t="b">
        <f t="shared" ref="T87:T92" ca="1" si="49">AND(F87&gt;0,method_reg="Метод индексации")</f>
        <v>1</v>
      </c>
      <c r="U87" s="1012"/>
      <c r="V87" s="1012"/>
      <c r="W87" s="1012"/>
      <c r="X87" s="1405"/>
      <c r="Y87" s="1012"/>
      <c r="Z87" s="1405"/>
      <c r="AA87" s="167"/>
      <c r="AB87" s="99" t="s">
        <v>527</v>
      </c>
      <c r="AC87" s="467" t="s">
        <v>1303</v>
      </c>
      <c r="AD87" s="387" t="s">
        <v>837</v>
      </c>
      <c r="AE87" s="1185">
        <f>AE88+AE89+AE90</f>
        <v>0</v>
      </c>
      <c r="AF87" s="1185">
        <f>AF88+AF89+AF90</f>
        <v>0</v>
      </c>
      <c r="AG87" s="1185">
        <f>AG88+AG89+AG90</f>
        <v>0</v>
      </c>
      <c r="AH87" s="293">
        <f t="shared" si="37"/>
        <v>0</v>
      </c>
      <c r="AI87" s="1185">
        <f t="shared" ref="AI87:BC87" si="50">AI88+AI89+AI90</f>
        <v>0</v>
      </c>
      <c r="AJ87" s="471">
        <f t="shared" si="50"/>
        <v>0</v>
      </c>
      <c r="AK87" s="1181">
        <f t="shared" si="50"/>
        <v>0</v>
      </c>
      <c r="AL87" s="1181">
        <f t="shared" si="50"/>
        <v>0</v>
      </c>
      <c r="AM87" s="1185">
        <f t="shared" si="50"/>
        <v>0</v>
      </c>
      <c r="AN87" s="1185">
        <f t="shared" si="50"/>
        <v>0</v>
      </c>
      <c r="AO87" s="1185">
        <f t="shared" si="50"/>
        <v>0</v>
      </c>
      <c r="AP87" s="1185">
        <f t="shared" si="50"/>
        <v>0</v>
      </c>
      <c r="AQ87" s="1185">
        <f t="shared" si="50"/>
        <v>0</v>
      </c>
      <c r="AR87" s="1185">
        <f t="shared" si="50"/>
        <v>0</v>
      </c>
      <c r="AS87" s="1185">
        <f t="shared" si="50"/>
        <v>0</v>
      </c>
      <c r="AT87" s="471">
        <f t="shared" si="50"/>
        <v>0</v>
      </c>
      <c r="AU87" s="1181">
        <f t="shared" si="50"/>
        <v>0</v>
      </c>
      <c r="AV87" s="1181">
        <f t="shared" si="50"/>
        <v>0</v>
      </c>
      <c r="AW87" s="1185">
        <f t="shared" si="50"/>
        <v>0</v>
      </c>
      <c r="AX87" s="1185">
        <f t="shared" si="50"/>
        <v>0</v>
      </c>
      <c r="AY87" s="1185">
        <f t="shared" si="50"/>
        <v>0</v>
      </c>
      <c r="AZ87" s="1185">
        <f t="shared" si="50"/>
        <v>0</v>
      </c>
      <c r="BA87" s="1185">
        <f t="shared" si="50"/>
        <v>0</v>
      </c>
      <c r="BB87" s="1185">
        <f t="shared" si="50"/>
        <v>0</v>
      </c>
      <c r="BC87" s="1185">
        <f t="shared" si="50"/>
        <v>0</v>
      </c>
      <c r="BD87" s="293">
        <f t="shared" si="38"/>
        <v>0</v>
      </c>
      <c r="BE87" s="293">
        <f t="shared" si="39"/>
        <v>0</v>
      </c>
      <c r="BF87" s="293">
        <f t="shared" si="40"/>
        <v>0</v>
      </c>
      <c r="BG87" s="293">
        <f t="shared" si="41"/>
        <v>0</v>
      </c>
      <c r="BH87" s="293">
        <f t="shared" si="42"/>
        <v>0</v>
      </c>
      <c r="BI87" s="293">
        <f t="shared" si="43"/>
        <v>0</v>
      </c>
      <c r="BJ87" s="293">
        <f t="shared" si="44"/>
        <v>0</v>
      </c>
      <c r="BK87" s="293">
        <f t="shared" si="45"/>
        <v>0</v>
      </c>
      <c r="BL87" s="293">
        <f t="shared" si="46"/>
        <v>0</v>
      </c>
      <c r="BM87" s="293">
        <f t="shared" si="47"/>
        <v>0</v>
      </c>
      <c r="BN87" s="1106"/>
      <c r="BO87" s="1106"/>
      <c r="BP87" s="1106"/>
      <c r="BQ87" s="167"/>
      <c r="BR87" s="167"/>
      <c r="BS87" s="944" t="s">
        <v>1304</v>
      </c>
      <c r="BT87" s="944"/>
      <c r="BU87" s="944"/>
      <c r="BV87" s="945"/>
      <c r="BW87" s="945"/>
    </row>
    <row r="88" spans="1:75" s="1057" customFormat="1" ht="58.5" customHeight="1">
      <c r="A88" s="165"/>
      <c r="B88" s="718"/>
      <c r="C88" s="165"/>
      <c r="D88" s="165"/>
      <c r="E88" s="623">
        <v>60</v>
      </c>
      <c r="F88" s="714" t="str">
        <f t="shared" ca="1" si="36"/>
        <v>1</v>
      </c>
      <c r="G88" s="167"/>
      <c r="H88" s="167"/>
      <c r="I88" s="167"/>
      <c r="J88" s="167"/>
      <c r="K88" s="167"/>
      <c r="L88" s="167"/>
      <c r="M88" s="167"/>
      <c r="N88" s="167"/>
      <c r="O88" s="167"/>
      <c r="P88" s="167"/>
      <c r="Q88" s="130"/>
      <c r="R88" s="130"/>
      <c r="S88" s="167"/>
      <c r="T88" s="634" t="b">
        <f t="shared" ca="1" si="49"/>
        <v>1</v>
      </c>
      <c r="U88" s="1012"/>
      <c r="V88" s="1012"/>
      <c r="W88" s="1012"/>
      <c r="X88" s="1405"/>
      <c r="Y88" s="1012"/>
      <c r="Z88" s="1405"/>
      <c r="AA88" s="167"/>
      <c r="AB88" s="99" t="s">
        <v>530</v>
      </c>
      <c r="AC88" s="776" t="s">
        <v>1404</v>
      </c>
      <c r="AD88" s="387" t="s">
        <v>1204</v>
      </c>
      <c r="AE88" s="1185"/>
      <c r="AF88" s="1185"/>
      <c r="AG88" s="1185"/>
      <c r="AH88" s="293">
        <f t="shared" si="37"/>
        <v>0</v>
      </c>
      <c r="AI88" s="1185"/>
      <c r="AJ88" s="471"/>
      <c r="AK88" s="1181"/>
      <c r="AL88" s="1181"/>
      <c r="AM88" s="1185"/>
      <c r="AN88" s="1185"/>
      <c r="AO88" s="1185"/>
      <c r="AP88" s="1185"/>
      <c r="AQ88" s="1185"/>
      <c r="AR88" s="1185"/>
      <c r="AS88" s="1185"/>
      <c r="AT88" s="471"/>
      <c r="AU88" s="1181"/>
      <c r="AV88" s="1181"/>
      <c r="AW88" s="1185"/>
      <c r="AX88" s="1185"/>
      <c r="AY88" s="1185"/>
      <c r="AZ88" s="1185"/>
      <c r="BA88" s="1185"/>
      <c r="BB88" s="1185"/>
      <c r="BC88" s="1185"/>
      <c r="BD88" s="293">
        <f t="shared" si="38"/>
        <v>0</v>
      </c>
      <c r="BE88" s="293">
        <f t="shared" si="39"/>
        <v>0</v>
      </c>
      <c r="BF88" s="293">
        <f t="shared" si="40"/>
        <v>0</v>
      </c>
      <c r="BG88" s="293">
        <f t="shared" si="41"/>
        <v>0</v>
      </c>
      <c r="BH88" s="293">
        <f t="shared" si="42"/>
        <v>0</v>
      </c>
      <c r="BI88" s="293">
        <f t="shared" si="43"/>
        <v>0</v>
      </c>
      <c r="BJ88" s="293">
        <f t="shared" si="44"/>
        <v>0</v>
      </c>
      <c r="BK88" s="293">
        <f t="shared" si="45"/>
        <v>0</v>
      </c>
      <c r="BL88" s="293">
        <f t="shared" si="46"/>
        <v>0</v>
      </c>
      <c r="BM88" s="293">
        <f t="shared" si="47"/>
        <v>0</v>
      </c>
      <c r="BN88" s="1106"/>
      <c r="BO88" s="1106"/>
      <c r="BP88" s="1106"/>
      <c r="BQ88" s="167"/>
      <c r="BR88" s="167"/>
      <c r="BS88" s="944" t="s">
        <v>1405</v>
      </c>
      <c r="BT88" s="944"/>
      <c r="BU88" s="944"/>
      <c r="BV88" s="945"/>
      <c r="BW88" s="945"/>
    </row>
    <row r="89" spans="1:75" s="1057" customFormat="1" ht="29.25" customHeight="1">
      <c r="A89" s="165"/>
      <c r="B89" s="718"/>
      <c r="C89" s="165"/>
      <c r="D89" s="165"/>
      <c r="E89" s="623">
        <v>30</v>
      </c>
      <c r="F89" s="714" t="str">
        <f t="shared" ca="1" si="36"/>
        <v>1</v>
      </c>
      <c r="G89" s="167"/>
      <c r="H89" s="167"/>
      <c r="I89" s="167"/>
      <c r="J89" s="167"/>
      <c r="K89" s="167"/>
      <c r="L89" s="167"/>
      <c r="M89" s="167"/>
      <c r="N89" s="167"/>
      <c r="O89" s="167"/>
      <c r="P89" s="167"/>
      <c r="Q89" s="130"/>
      <c r="R89" s="130"/>
      <c r="S89" s="167"/>
      <c r="T89" s="634" t="b">
        <f t="shared" ca="1" si="49"/>
        <v>1</v>
      </c>
      <c r="U89" s="1012"/>
      <c r="V89" s="1012"/>
      <c r="W89" s="1012"/>
      <c r="X89" s="1405"/>
      <c r="Y89" s="1012"/>
      <c r="Z89" s="1405"/>
      <c r="AA89" s="167"/>
      <c r="AB89" s="99" t="s">
        <v>532</v>
      </c>
      <c r="AC89" s="467" t="s">
        <v>1406</v>
      </c>
      <c r="AD89" s="387" t="s">
        <v>1204</v>
      </c>
      <c r="AE89" s="1185"/>
      <c r="AF89" s="1185"/>
      <c r="AG89" s="1185"/>
      <c r="AH89" s="293">
        <f t="shared" si="37"/>
        <v>0</v>
      </c>
      <c r="AI89" s="1185"/>
      <c r="AJ89" s="471"/>
      <c r="AK89" s="1181"/>
      <c r="AL89" s="1181"/>
      <c r="AM89" s="1185"/>
      <c r="AN89" s="1185"/>
      <c r="AO89" s="1185"/>
      <c r="AP89" s="1185"/>
      <c r="AQ89" s="1185"/>
      <c r="AR89" s="1185"/>
      <c r="AS89" s="1185"/>
      <c r="AT89" s="471"/>
      <c r="AU89" s="1181"/>
      <c r="AV89" s="1181"/>
      <c r="AW89" s="1185"/>
      <c r="AX89" s="1185"/>
      <c r="AY89" s="1185"/>
      <c r="AZ89" s="1185"/>
      <c r="BA89" s="1185"/>
      <c r="BB89" s="1185"/>
      <c r="BC89" s="1185"/>
      <c r="BD89" s="293">
        <f t="shared" si="38"/>
        <v>0</v>
      </c>
      <c r="BE89" s="293">
        <f t="shared" si="39"/>
        <v>0</v>
      </c>
      <c r="BF89" s="293">
        <f t="shared" si="40"/>
        <v>0</v>
      </c>
      <c r="BG89" s="293">
        <f t="shared" si="41"/>
        <v>0</v>
      </c>
      <c r="BH89" s="293">
        <f t="shared" si="42"/>
        <v>0</v>
      </c>
      <c r="BI89" s="293">
        <f t="shared" si="43"/>
        <v>0</v>
      </c>
      <c r="BJ89" s="293">
        <f t="shared" si="44"/>
        <v>0</v>
      </c>
      <c r="BK89" s="293">
        <f t="shared" si="45"/>
        <v>0</v>
      </c>
      <c r="BL89" s="293">
        <f t="shared" si="46"/>
        <v>0</v>
      </c>
      <c r="BM89" s="293">
        <f t="shared" si="47"/>
        <v>0</v>
      </c>
      <c r="BN89" s="1106"/>
      <c r="BO89" s="1106"/>
      <c r="BP89" s="1106"/>
      <c r="BQ89" s="167"/>
      <c r="BR89" s="167"/>
      <c r="BS89" s="944" t="s">
        <v>1407</v>
      </c>
      <c r="BT89" s="944"/>
      <c r="BU89" s="944"/>
      <c r="BV89" s="945"/>
      <c r="BW89" s="945"/>
    </row>
    <row r="90" spans="1:75" s="1057" customFormat="1" ht="43.5" customHeight="1">
      <c r="A90" s="165"/>
      <c r="B90" s="718"/>
      <c r="C90" s="165"/>
      <c r="D90" s="165"/>
      <c r="E90" s="623">
        <v>45</v>
      </c>
      <c r="F90" s="714" t="str">
        <f t="shared" ca="1" si="36"/>
        <v>1</v>
      </c>
      <c r="G90" s="167"/>
      <c r="H90" s="167"/>
      <c r="I90" s="167"/>
      <c r="J90" s="167"/>
      <c r="K90" s="167"/>
      <c r="L90" s="167"/>
      <c r="M90" s="167"/>
      <c r="N90" s="167"/>
      <c r="O90" s="167"/>
      <c r="P90" s="167"/>
      <c r="Q90" s="130"/>
      <c r="R90" s="130"/>
      <c r="S90" s="167"/>
      <c r="T90" s="634" t="b">
        <f t="shared" ca="1" si="49"/>
        <v>1</v>
      </c>
      <c r="U90" s="1012"/>
      <c r="V90" s="1012"/>
      <c r="W90" s="1012"/>
      <c r="X90" s="1405"/>
      <c r="Y90" s="1012"/>
      <c r="Z90" s="1405"/>
      <c r="AA90" s="167"/>
      <c r="AB90" s="99" t="s">
        <v>1408</v>
      </c>
      <c r="AC90" s="467" t="s">
        <v>1409</v>
      </c>
      <c r="AD90" s="387" t="s">
        <v>1204</v>
      </c>
      <c r="AE90" s="1185"/>
      <c r="AF90" s="1185"/>
      <c r="AG90" s="1185"/>
      <c r="AH90" s="293">
        <f t="shared" si="37"/>
        <v>0</v>
      </c>
      <c r="AI90" s="1185"/>
      <c r="AJ90" s="471"/>
      <c r="AK90" s="1181"/>
      <c r="AL90" s="1181"/>
      <c r="AM90" s="1185"/>
      <c r="AN90" s="1185"/>
      <c r="AO90" s="1185"/>
      <c r="AP90" s="1185"/>
      <c r="AQ90" s="1185"/>
      <c r="AR90" s="1185"/>
      <c r="AS90" s="1185"/>
      <c r="AT90" s="471"/>
      <c r="AU90" s="1181"/>
      <c r="AV90" s="1181"/>
      <c r="AW90" s="1185"/>
      <c r="AX90" s="1185"/>
      <c r="AY90" s="1185"/>
      <c r="AZ90" s="1185"/>
      <c r="BA90" s="1185"/>
      <c r="BB90" s="1185"/>
      <c r="BC90" s="1185"/>
      <c r="BD90" s="293">
        <f t="shared" si="38"/>
        <v>0</v>
      </c>
      <c r="BE90" s="293">
        <f t="shared" si="39"/>
        <v>0</v>
      </c>
      <c r="BF90" s="293">
        <f t="shared" si="40"/>
        <v>0</v>
      </c>
      <c r="BG90" s="293">
        <f t="shared" si="41"/>
        <v>0</v>
      </c>
      <c r="BH90" s="293">
        <f t="shared" si="42"/>
        <v>0</v>
      </c>
      <c r="BI90" s="293">
        <f t="shared" si="43"/>
        <v>0</v>
      </c>
      <c r="BJ90" s="293">
        <f t="shared" si="44"/>
        <v>0</v>
      </c>
      <c r="BK90" s="293">
        <f t="shared" si="45"/>
        <v>0</v>
      </c>
      <c r="BL90" s="293">
        <f t="shared" si="46"/>
        <v>0</v>
      </c>
      <c r="BM90" s="293">
        <f t="shared" si="47"/>
        <v>0</v>
      </c>
      <c r="BN90" s="1106"/>
      <c r="BO90" s="1106"/>
      <c r="BP90" s="1106"/>
      <c r="BQ90" s="167"/>
      <c r="BR90" s="167"/>
      <c r="BS90" s="944" t="s">
        <v>1410</v>
      </c>
      <c r="BT90" s="944"/>
      <c r="BU90" s="944"/>
      <c r="BV90" s="945"/>
      <c r="BW90" s="945"/>
    </row>
    <row r="91" spans="1:75" s="1057" customFormat="1" ht="14.25" customHeight="1">
      <c r="A91" s="165"/>
      <c r="B91" s="718"/>
      <c r="C91" s="165"/>
      <c r="D91" s="165"/>
      <c r="E91" s="623">
        <v>15</v>
      </c>
      <c r="F91" s="714" t="str">
        <f t="shared" ca="1" si="36"/>
        <v>1</v>
      </c>
      <c r="G91" s="130" t="s">
        <v>1308</v>
      </c>
      <c r="H91" s="167"/>
      <c r="I91" s="167"/>
      <c r="J91" s="167"/>
      <c r="K91" s="167"/>
      <c r="L91" s="167"/>
      <c r="M91" s="167"/>
      <c r="N91" s="167"/>
      <c r="O91" s="167"/>
      <c r="P91" s="167"/>
      <c r="Q91" s="130"/>
      <c r="R91" s="130"/>
      <c r="S91" s="167"/>
      <c r="T91" s="634" t="b">
        <f t="shared" ca="1" si="49"/>
        <v>1</v>
      </c>
      <c r="U91" s="1012"/>
      <c r="V91" s="1012"/>
      <c r="W91" s="1012"/>
      <c r="X91" s="1405"/>
      <c r="Y91" s="1012"/>
      <c r="Z91" s="1405"/>
      <c r="AA91" s="167"/>
      <c r="AB91" s="99" t="s">
        <v>534</v>
      </c>
      <c r="AC91" s="467" t="s">
        <v>1310</v>
      </c>
      <c r="AD91" s="387" t="s">
        <v>837</v>
      </c>
      <c r="AE91" s="1185"/>
      <c r="AF91" s="1185"/>
      <c r="AG91" s="1185"/>
      <c r="AH91" s="293">
        <f t="shared" si="37"/>
        <v>0</v>
      </c>
      <c r="AI91" s="1185"/>
      <c r="AJ91" s="471"/>
      <c r="AK91" s="1181"/>
      <c r="AL91" s="1181"/>
      <c r="AM91" s="1185"/>
      <c r="AN91" s="1185"/>
      <c r="AO91" s="1185"/>
      <c r="AP91" s="1185"/>
      <c r="AQ91" s="1185"/>
      <c r="AR91" s="1185"/>
      <c r="AS91" s="1185"/>
      <c r="AT91" s="471"/>
      <c r="AU91" s="1181"/>
      <c r="AV91" s="1181"/>
      <c r="AW91" s="1185"/>
      <c r="AX91" s="1185"/>
      <c r="AY91" s="1185"/>
      <c r="AZ91" s="1185"/>
      <c r="BA91" s="1185"/>
      <c r="BB91" s="1185"/>
      <c r="BC91" s="1185"/>
      <c r="BD91" s="293">
        <f t="shared" si="38"/>
        <v>0</v>
      </c>
      <c r="BE91" s="293">
        <f t="shared" si="39"/>
        <v>0</v>
      </c>
      <c r="BF91" s="293">
        <f t="shared" si="40"/>
        <v>0</v>
      </c>
      <c r="BG91" s="293">
        <f t="shared" si="41"/>
        <v>0</v>
      </c>
      <c r="BH91" s="293">
        <f t="shared" si="42"/>
        <v>0</v>
      </c>
      <c r="BI91" s="293">
        <f t="shared" si="43"/>
        <v>0</v>
      </c>
      <c r="BJ91" s="293">
        <f t="shared" si="44"/>
        <v>0</v>
      </c>
      <c r="BK91" s="293">
        <f t="shared" si="45"/>
        <v>0</v>
      </c>
      <c r="BL91" s="293">
        <f t="shared" si="46"/>
        <v>0</v>
      </c>
      <c r="BM91" s="293">
        <f t="shared" si="47"/>
        <v>0</v>
      </c>
      <c r="BN91" s="1106"/>
      <c r="BO91" s="1106"/>
      <c r="BP91" s="1106"/>
      <c r="BQ91" s="167"/>
      <c r="BR91" s="167"/>
      <c r="BS91" s="944" t="s">
        <v>1411</v>
      </c>
      <c r="BT91" s="944"/>
      <c r="BU91" s="944"/>
      <c r="BV91" s="945"/>
      <c r="BW91" s="945"/>
    </row>
    <row r="92" spans="1:75" s="1057" customFormat="1" ht="14.25" customHeight="1">
      <c r="A92" s="165"/>
      <c r="B92" s="718"/>
      <c r="C92" s="165"/>
      <c r="D92" s="165"/>
      <c r="E92" s="623">
        <v>15</v>
      </c>
      <c r="F92" s="714" t="str">
        <f t="shared" ca="1" si="36"/>
        <v>1</v>
      </c>
      <c r="G92" s="167"/>
      <c r="H92" s="167"/>
      <c r="I92" s="167"/>
      <c r="J92" s="167"/>
      <c r="K92" s="167"/>
      <c r="L92" s="167"/>
      <c r="M92" s="167"/>
      <c r="N92" s="167"/>
      <c r="O92" s="167"/>
      <c r="P92" s="167"/>
      <c r="Q92" s="130"/>
      <c r="R92" s="130"/>
      <c r="S92" s="167"/>
      <c r="T92" s="634" t="b">
        <f t="shared" ca="1" si="49"/>
        <v>1</v>
      </c>
      <c r="U92" s="1012"/>
      <c r="V92" s="1012"/>
      <c r="W92" s="1012"/>
      <c r="X92" s="1405"/>
      <c r="Y92" s="1012"/>
      <c r="Z92" s="1405"/>
      <c r="AA92" s="167"/>
      <c r="AB92" s="99" t="s">
        <v>537</v>
      </c>
      <c r="AC92" s="103" t="s">
        <v>1306</v>
      </c>
      <c r="AD92" s="387" t="s">
        <v>388</v>
      </c>
      <c r="AE92" s="1188"/>
      <c r="AF92" s="1188"/>
      <c r="AG92" s="1188"/>
      <c r="AH92" s="293">
        <f t="shared" si="37"/>
        <v>0</v>
      </c>
      <c r="AI92" s="1188"/>
      <c r="AJ92" s="485"/>
      <c r="AK92" s="1182"/>
      <c r="AL92" s="1182"/>
      <c r="AM92" s="1188"/>
      <c r="AN92" s="1188"/>
      <c r="AO92" s="1188"/>
      <c r="AP92" s="1188"/>
      <c r="AQ92" s="1188"/>
      <c r="AR92" s="1188"/>
      <c r="AS92" s="1188"/>
      <c r="AT92" s="485"/>
      <c r="AU92" s="1182"/>
      <c r="AV92" s="1182"/>
      <c r="AW92" s="1188"/>
      <c r="AX92" s="1188"/>
      <c r="AY92" s="1188"/>
      <c r="AZ92" s="1188"/>
      <c r="BA92" s="1188"/>
      <c r="BB92" s="1188"/>
      <c r="BC92" s="1188"/>
      <c r="BD92" s="293">
        <f t="shared" si="38"/>
        <v>0</v>
      </c>
      <c r="BE92" s="293">
        <f t="shared" si="39"/>
        <v>0</v>
      </c>
      <c r="BF92" s="293">
        <f t="shared" si="40"/>
        <v>0</v>
      </c>
      <c r="BG92" s="293">
        <f t="shared" si="41"/>
        <v>0</v>
      </c>
      <c r="BH92" s="293">
        <f t="shared" si="42"/>
        <v>0</v>
      </c>
      <c r="BI92" s="293">
        <f t="shared" si="43"/>
        <v>0</v>
      </c>
      <c r="BJ92" s="293">
        <f t="shared" si="44"/>
        <v>0</v>
      </c>
      <c r="BK92" s="293">
        <f t="shared" si="45"/>
        <v>0</v>
      </c>
      <c r="BL92" s="293">
        <f t="shared" si="46"/>
        <v>0</v>
      </c>
      <c r="BM92" s="293">
        <f t="shared" si="47"/>
        <v>0</v>
      </c>
      <c r="BN92" s="1106"/>
      <c r="BO92" s="1106"/>
      <c r="BP92" s="1106"/>
      <c r="BQ92" s="167"/>
      <c r="BR92" s="167"/>
      <c r="BS92" s="944" t="s">
        <v>1412</v>
      </c>
      <c r="BT92" s="944"/>
      <c r="BU92" s="944"/>
      <c r="BV92" s="945"/>
      <c r="BW92" s="945"/>
    </row>
    <row r="93" spans="1:75" s="1057" customFormat="1" ht="28.5" customHeight="1">
      <c r="A93" s="165"/>
      <c r="B93" s="718"/>
      <c r="C93" s="165"/>
      <c r="D93" s="165"/>
      <c r="E93" s="623">
        <v>29.3</v>
      </c>
      <c r="F93" s="714" t="str">
        <f t="shared" ca="1" si="36"/>
        <v>1</v>
      </c>
      <c r="G93" s="130">
        <v>6</v>
      </c>
      <c r="H93" s="167"/>
      <c r="I93" s="167"/>
      <c r="J93" s="167"/>
      <c r="K93" s="167"/>
      <c r="L93" s="167"/>
      <c r="M93" s="167"/>
      <c r="N93" s="167"/>
      <c r="O93" s="167"/>
      <c r="P93" s="167"/>
      <c r="Q93" s="130"/>
      <c r="R93" s="130"/>
      <c r="S93" s="167"/>
      <c r="T93" s="634" t="b">
        <f ca="1">F93&gt;0</f>
        <v>1</v>
      </c>
      <c r="U93" s="1012"/>
      <c r="V93" s="1012"/>
      <c r="W93" s="1012"/>
      <c r="X93" s="1405"/>
      <c r="Y93" s="1012"/>
      <c r="Z93" s="1405"/>
      <c r="AA93" s="167"/>
      <c r="AB93" s="99" t="s">
        <v>541</v>
      </c>
      <c r="AC93" s="467" t="s">
        <v>1313</v>
      </c>
      <c r="AD93" s="387" t="s">
        <v>837</v>
      </c>
      <c r="AE93" s="1185"/>
      <c r="AF93" s="1185"/>
      <c r="AG93" s="1185"/>
      <c r="AH93" s="293">
        <f t="shared" si="37"/>
        <v>0</v>
      </c>
      <c r="AI93" s="1185"/>
      <c r="AJ93" s="471"/>
      <c r="AK93" s="1181"/>
      <c r="AL93" s="1181"/>
      <c r="AM93" s="1185"/>
      <c r="AN93" s="1185"/>
      <c r="AO93" s="1185"/>
      <c r="AP93" s="1185"/>
      <c r="AQ93" s="1185"/>
      <c r="AR93" s="1185"/>
      <c r="AS93" s="1185"/>
      <c r="AT93" s="471"/>
      <c r="AU93" s="1181"/>
      <c r="AV93" s="1181"/>
      <c r="AW93" s="1185"/>
      <c r="AX93" s="1185"/>
      <c r="AY93" s="1185"/>
      <c r="AZ93" s="1185"/>
      <c r="BA93" s="1185"/>
      <c r="BB93" s="1185"/>
      <c r="BC93" s="1185"/>
      <c r="BD93" s="293">
        <f t="shared" si="38"/>
        <v>0</v>
      </c>
      <c r="BE93" s="293">
        <f t="shared" si="39"/>
        <v>0</v>
      </c>
      <c r="BF93" s="293">
        <f t="shared" si="40"/>
        <v>0</v>
      </c>
      <c r="BG93" s="293">
        <f t="shared" si="41"/>
        <v>0</v>
      </c>
      <c r="BH93" s="293">
        <f t="shared" si="42"/>
        <v>0</v>
      </c>
      <c r="BI93" s="293">
        <f t="shared" si="43"/>
        <v>0</v>
      </c>
      <c r="BJ93" s="293">
        <f t="shared" si="44"/>
        <v>0</v>
      </c>
      <c r="BK93" s="293">
        <f t="shared" si="45"/>
        <v>0</v>
      </c>
      <c r="BL93" s="293">
        <f t="shared" si="46"/>
        <v>0</v>
      </c>
      <c r="BM93" s="293">
        <f t="shared" si="47"/>
        <v>0</v>
      </c>
      <c r="BN93" s="1106"/>
      <c r="BO93" s="1106"/>
      <c r="BP93" s="1106"/>
      <c r="BQ93" s="167"/>
      <c r="BR93" s="167"/>
      <c r="BS93" s="944" t="s">
        <v>1413</v>
      </c>
      <c r="BT93" s="944"/>
      <c r="BU93" s="944"/>
      <c r="BV93" s="945"/>
      <c r="BW93" s="945"/>
    </row>
    <row r="94" spans="1:75" s="1057" customFormat="1" ht="28.5" customHeight="1">
      <c r="A94" s="165"/>
      <c r="B94" s="718"/>
      <c r="C94" s="165"/>
      <c r="D94" s="165"/>
      <c r="E94" s="623">
        <v>29.3</v>
      </c>
      <c r="F94" s="714" t="str">
        <f t="shared" ca="1" si="36"/>
        <v>1</v>
      </c>
      <c r="G94" s="130" t="s">
        <v>1340</v>
      </c>
      <c r="H94" s="167"/>
      <c r="I94" s="167"/>
      <c r="J94" s="167"/>
      <c r="K94" s="167"/>
      <c r="L94" s="167"/>
      <c r="M94" s="167"/>
      <c r="N94" s="167"/>
      <c r="O94" s="167"/>
      <c r="P94" s="167"/>
      <c r="Q94" s="130"/>
      <c r="R94" s="130"/>
      <c r="S94" s="167"/>
      <c r="T94" s="634" t="b">
        <f t="shared" ref="T94:T99" ca="1" si="51">T93</f>
        <v>1</v>
      </c>
      <c r="U94" s="1012"/>
      <c r="V94" s="1012"/>
      <c r="W94" s="1012"/>
      <c r="X94" s="1405"/>
      <c r="Y94" s="1012"/>
      <c r="Z94" s="1405"/>
      <c r="AA94" s="167"/>
      <c r="AB94" s="99" t="s">
        <v>549</v>
      </c>
      <c r="AC94" s="568" t="s">
        <v>1414</v>
      </c>
      <c r="AD94" s="387" t="s">
        <v>837</v>
      </c>
      <c r="AE94" s="1185"/>
      <c r="AF94" s="1185"/>
      <c r="AG94" s="1185"/>
      <c r="AH94" s="293">
        <f t="shared" si="37"/>
        <v>0</v>
      </c>
      <c r="AI94" s="1185"/>
      <c r="AJ94" s="471">
        <f ca="1">SUMIFS('Корр Факт'!$AJ$27:AJ$122,'Корр Факт'!$F$27:$F$122,$F94,'Корр Факт'!$G27:$G122,$G94)</f>
        <v>0</v>
      </c>
      <c r="AK94" s="1181"/>
      <c r="AL94" s="1181"/>
      <c r="AM94" s="1185"/>
      <c r="AN94" s="1185"/>
      <c r="AO94" s="1185"/>
      <c r="AP94" s="1185"/>
      <c r="AQ94" s="1185"/>
      <c r="AR94" s="1185"/>
      <c r="AS94" s="1185"/>
      <c r="AT94" s="471">
        <f ca="1">SUMIFS('Корр Факт'!$AP$27:AP$122,'Корр Факт'!$F$27:$F$122,$F94,'Корр Факт'!$G27:$G122,$G94)</f>
        <v>0</v>
      </c>
      <c r="AU94" s="1181"/>
      <c r="AV94" s="1181"/>
      <c r="AW94" s="1185"/>
      <c r="AX94" s="1185"/>
      <c r="AY94" s="1185"/>
      <c r="AZ94" s="1185"/>
      <c r="BA94" s="1185"/>
      <c r="BB94" s="1185"/>
      <c r="BC94" s="1185"/>
      <c r="BD94" s="293">
        <f t="shared" si="38"/>
        <v>0</v>
      </c>
      <c r="BE94" s="293">
        <f t="shared" ca="1" si="39"/>
        <v>0</v>
      </c>
      <c r="BF94" s="293">
        <f t="shared" si="40"/>
        <v>0</v>
      </c>
      <c r="BG94" s="293">
        <f t="shared" si="41"/>
        <v>0</v>
      </c>
      <c r="BH94" s="293">
        <f t="shared" si="42"/>
        <v>0</v>
      </c>
      <c r="BI94" s="293">
        <f t="shared" si="43"/>
        <v>0</v>
      </c>
      <c r="BJ94" s="293">
        <f t="shared" si="44"/>
        <v>0</v>
      </c>
      <c r="BK94" s="293">
        <f t="shared" si="45"/>
        <v>0</v>
      </c>
      <c r="BL94" s="293">
        <f t="shared" si="46"/>
        <v>0</v>
      </c>
      <c r="BM94" s="293">
        <f t="shared" si="47"/>
        <v>0</v>
      </c>
      <c r="BN94" s="1106"/>
      <c r="BO94" s="1106"/>
      <c r="BP94" s="1106"/>
      <c r="BQ94" s="167"/>
      <c r="BR94" s="167"/>
      <c r="BS94" s="944" t="s">
        <v>1415</v>
      </c>
      <c r="BT94" s="944"/>
      <c r="BU94" s="944"/>
      <c r="BV94" s="945"/>
      <c r="BW94" s="945"/>
    </row>
    <row r="95" spans="1:75" s="1203" customFormat="1" ht="63.75" customHeight="1">
      <c r="A95" s="172"/>
      <c r="B95" s="172"/>
      <c r="C95" s="172"/>
      <c r="D95" s="172"/>
      <c r="E95" s="623">
        <v>66</v>
      </c>
      <c r="F95" s="714" t="str">
        <f t="shared" ca="1" si="36"/>
        <v>1</v>
      </c>
      <c r="G95" s="172"/>
      <c r="H95" s="172"/>
      <c r="I95" s="172"/>
      <c r="J95" s="172"/>
      <c r="K95" s="172"/>
      <c r="L95" s="172"/>
      <c r="M95" s="172"/>
      <c r="N95" s="172"/>
      <c r="O95" s="172"/>
      <c r="P95" s="172"/>
      <c r="Q95" s="172"/>
      <c r="R95" s="172"/>
      <c r="S95" s="172"/>
      <c r="T95" s="634" t="b">
        <f t="shared" ca="1" si="51"/>
        <v>1</v>
      </c>
      <c r="U95" s="172"/>
      <c r="V95" s="172"/>
      <c r="W95" s="172"/>
      <c r="X95" s="1499"/>
      <c r="Y95" s="172"/>
      <c r="Z95" s="1499"/>
      <c r="AA95" s="172"/>
      <c r="AB95" s="99" t="s">
        <v>1123</v>
      </c>
      <c r="AC95" s="467" t="s">
        <v>1416</v>
      </c>
      <c r="AD95" s="387" t="s">
        <v>837</v>
      </c>
      <c r="AE95" s="1185"/>
      <c r="AF95" s="1185"/>
      <c r="AG95" s="1185"/>
      <c r="AH95" s="293">
        <f t="shared" si="37"/>
        <v>0</v>
      </c>
      <c r="AI95" s="1185"/>
      <c r="AJ95" s="471"/>
      <c r="AK95" s="1181"/>
      <c r="AL95" s="1181"/>
      <c r="AM95" s="1185"/>
      <c r="AN95" s="1185"/>
      <c r="AO95" s="1185"/>
      <c r="AP95" s="1185"/>
      <c r="AQ95" s="1185"/>
      <c r="AR95" s="1185"/>
      <c r="AS95" s="1185"/>
      <c r="AT95" s="471"/>
      <c r="AU95" s="1181"/>
      <c r="AV95" s="1181"/>
      <c r="AW95" s="1185"/>
      <c r="AX95" s="1185"/>
      <c r="AY95" s="1185"/>
      <c r="AZ95" s="1185"/>
      <c r="BA95" s="1185"/>
      <c r="BB95" s="1185"/>
      <c r="BC95" s="1185"/>
      <c r="BD95" s="293">
        <f t="shared" si="38"/>
        <v>0</v>
      </c>
      <c r="BE95" s="293">
        <f t="shared" si="39"/>
        <v>0</v>
      </c>
      <c r="BF95" s="293">
        <f t="shared" si="40"/>
        <v>0</v>
      </c>
      <c r="BG95" s="293">
        <f t="shared" si="41"/>
        <v>0</v>
      </c>
      <c r="BH95" s="293">
        <f t="shared" si="42"/>
        <v>0</v>
      </c>
      <c r="BI95" s="293">
        <f t="shared" si="43"/>
        <v>0</v>
      </c>
      <c r="BJ95" s="293">
        <f t="shared" si="44"/>
        <v>0</v>
      </c>
      <c r="BK95" s="293">
        <f t="shared" si="45"/>
        <v>0</v>
      </c>
      <c r="BL95" s="293">
        <f t="shared" si="46"/>
        <v>0</v>
      </c>
      <c r="BM95" s="293">
        <f t="shared" si="47"/>
        <v>0</v>
      </c>
      <c r="BN95" s="1106"/>
      <c r="BO95" s="1106"/>
      <c r="BP95" s="1106"/>
      <c r="BQ95" s="172"/>
      <c r="BR95" s="172"/>
      <c r="BS95" s="944" t="s">
        <v>1317</v>
      </c>
      <c r="BT95" s="952"/>
      <c r="BU95" s="952"/>
      <c r="BV95" s="953"/>
      <c r="BW95" s="953"/>
    </row>
    <row r="96" spans="1:75" s="1204" customFormat="1" ht="32.25" customHeight="1">
      <c r="A96" s="172"/>
      <c r="B96" s="172"/>
      <c r="C96" s="172"/>
      <c r="D96" s="172"/>
      <c r="E96" s="623">
        <v>33.799999999999997</v>
      </c>
      <c r="F96" s="714" t="str">
        <f t="shared" ca="1" si="36"/>
        <v>1</v>
      </c>
      <c r="G96" s="172"/>
      <c r="H96" s="172"/>
      <c r="I96" s="172"/>
      <c r="J96" s="172"/>
      <c r="K96" s="172"/>
      <c r="L96" s="172"/>
      <c r="M96" s="172"/>
      <c r="N96" s="172"/>
      <c r="O96" s="172"/>
      <c r="P96" s="172"/>
      <c r="Q96" s="172"/>
      <c r="R96" s="172"/>
      <c r="S96" s="172"/>
      <c r="T96" s="634" t="b">
        <f t="shared" ca="1" si="51"/>
        <v>1</v>
      </c>
      <c r="U96" s="172"/>
      <c r="V96" s="172"/>
      <c r="W96" s="172"/>
      <c r="X96" s="1499"/>
      <c r="Y96" s="172"/>
      <c r="Z96" s="1499"/>
      <c r="AA96" s="172"/>
      <c r="AB96" s="99" t="s">
        <v>1126</v>
      </c>
      <c r="AC96" s="467" t="s">
        <v>1417</v>
      </c>
      <c r="AD96" s="387" t="s">
        <v>837</v>
      </c>
      <c r="AE96" s="1185"/>
      <c r="AF96" s="1185"/>
      <c r="AG96" s="1185"/>
      <c r="AH96" s="293">
        <f t="shared" si="37"/>
        <v>0</v>
      </c>
      <c r="AI96" s="1185"/>
      <c r="AJ96" s="471"/>
      <c r="AK96" s="1181"/>
      <c r="AL96" s="1181"/>
      <c r="AM96" s="1185"/>
      <c r="AN96" s="1185"/>
      <c r="AO96" s="1185"/>
      <c r="AP96" s="1185"/>
      <c r="AQ96" s="1185"/>
      <c r="AR96" s="1185"/>
      <c r="AS96" s="1185"/>
      <c r="AT96" s="471"/>
      <c r="AU96" s="1181"/>
      <c r="AV96" s="1181"/>
      <c r="AW96" s="1185"/>
      <c r="AX96" s="1185"/>
      <c r="AY96" s="1185"/>
      <c r="AZ96" s="1185"/>
      <c r="BA96" s="1185"/>
      <c r="BB96" s="1185"/>
      <c r="BC96" s="1185"/>
      <c r="BD96" s="293">
        <f t="shared" si="38"/>
        <v>0</v>
      </c>
      <c r="BE96" s="293">
        <f t="shared" si="39"/>
        <v>0</v>
      </c>
      <c r="BF96" s="293">
        <f t="shared" si="40"/>
        <v>0</v>
      </c>
      <c r="BG96" s="293">
        <f t="shared" si="41"/>
        <v>0</v>
      </c>
      <c r="BH96" s="293">
        <f t="shared" si="42"/>
        <v>0</v>
      </c>
      <c r="BI96" s="293">
        <f t="shared" si="43"/>
        <v>0</v>
      </c>
      <c r="BJ96" s="293">
        <f t="shared" si="44"/>
        <v>0</v>
      </c>
      <c r="BK96" s="293">
        <f t="shared" si="45"/>
        <v>0</v>
      </c>
      <c r="BL96" s="293">
        <f t="shared" si="46"/>
        <v>0</v>
      </c>
      <c r="BM96" s="293">
        <f t="shared" si="47"/>
        <v>0</v>
      </c>
      <c r="BN96" s="1106"/>
      <c r="BO96" s="1106"/>
      <c r="BP96" s="1106"/>
      <c r="BQ96" s="172"/>
      <c r="BR96" s="172"/>
      <c r="BS96" s="944" t="s">
        <v>1418</v>
      </c>
      <c r="BT96" s="952"/>
      <c r="BU96" s="952"/>
      <c r="BV96" s="953"/>
      <c r="BW96" s="953"/>
    </row>
    <row r="97" spans="1:75" s="1057" customFormat="1" ht="61.5" customHeight="1">
      <c r="A97" s="165"/>
      <c r="B97" s="718"/>
      <c r="C97" s="165"/>
      <c r="D97" s="165"/>
      <c r="E97" s="623">
        <v>63.8</v>
      </c>
      <c r="F97" s="714" t="str">
        <f t="shared" ca="1" si="36"/>
        <v>1</v>
      </c>
      <c r="G97" s="167"/>
      <c r="H97" s="167"/>
      <c r="I97" s="167"/>
      <c r="J97" s="167"/>
      <c r="K97" s="167"/>
      <c r="L97" s="167"/>
      <c r="M97" s="167"/>
      <c r="N97" s="167"/>
      <c r="O97" s="167"/>
      <c r="P97" s="167"/>
      <c r="Q97" s="130"/>
      <c r="R97" s="130"/>
      <c r="S97" s="167"/>
      <c r="T97" s="634" t="b">
        <f t="shared" ca="1" si="51"/>
        <v>1</v>
      </c>
      <c r="U97" s="1012"/>
      <c r="V97" s="1012"/>
      <c r="W97" s="1012"/>
      <c r="X97" s="1405"/>
      <c r="Y97" s="1012"/>
      <c r="Z97" s="1405"/>
      <c r="AA97" s="167"/>
      <c r="AB97" s="489" t="s">
        <v>1128</v>
      </c>
      <c r="AC97" s="491" t="s">
        <v>1419</v>
      </c>
      <c r="AD97" s="393" t="s">
        <v>837</v>
      </c>
      <c r="AE97" s="1205"/>
      <c r="AF97" s="1185"/>
      <c r="AG97" s="1185"/>
      <c r="AH97" s="293">
        <f t="shared" si="37"/>
        <v>0</v>
      </c>
      <c r="AI97" s="1185"/>
      <c r="AJ97" s="471"/>
      <c r="AK97" s="1181"/>
      <c r="AL97" s="1181"/>
      <c r="AM97" s="1185"/>
      <c r="AN97" s="1185"/>
      <c r="AO97" s="1185"/>
      <c r="AP97" s="1185"/>
      <c r="AQ97" s="1185"/>
      <c r="AR97" s="1185"/>
      <c r="AS97" s="1185"/>
      <c r="AT97" s="471"/>
      <c r="AU97" s="1181"/>
      <c r="AV97" s="1181"/>
      <c r="AW97" s="1185"/>
      <c r="AX97" s="1185"/>
      <c r="AY97" s="1185"/>
      <c r="AZ97" s="1185"/>
      <c r="BA97" s="1185"/>
      <c r="BB97" s="1185"/>
      <c r="BC97" s="1185"/>
      <c r="BD97" s="293">
        <f t="shared" si="38"/>
        <v>0</v>
      </c>
      <c r="BE97" s="293">
        <f t="shared" si="39"/>
        <v>0</v>
      </c>
      <c r="BF97" s="293">
        <f t="shared" si="40"/>
        <v>0</v>
      </c>
      <c r="BG97" s="293">
        <f t="shared" si="41"/>
        <v>0</v>
      </c>
      <c r="BH97" s="293">
        <f t="shared" si="42"/>
        <v>0</v>
      </c>
      <c r="BI97" s="293">
        <f t="shared" si="43"/>
        <v>0</v>
      </c>
      <c r="BJ97" s="293">
        <f t="shared" si="44"/>
        <v>0</v>
      </c>
      <c r="BK97" s="293">
        <f t="shared" si="45"/>
        <v>0</v>
      </c>
      <c r="BL97" s="293">
        <f t="shared" si="46"/>
        <v>0</v>
      </c>
      <c r="BM97" s="293">
        <f t="shared" si="47"/>
        <v>0</v>
      </c>
      <c r="BN97" s="1193"/>
      <c r="BO97" s="1193"/>
      <c r="BP97" s="1193"/>
      <c r="BQ97" s="167"/>
      <c r="BR97" s="167"/>
      <c r="BS97" s="944" t="s">
        <v>1420</v>
      </c>
      <c r="BT97" s="944"/>
      <c r="BU97" s="944"/>
      <c r="BV97" s="945"/>
      <c r="BW97" s="945"/>
    </row>
    <row r="98" spans="1:75" s="1057" customFormat="1" ht="16.5" customHeight="1">
      <c r="A98" s="165"/>
      <c r="B98" s="718"/>
      <c r="C98" s="165"/>
      <c r="D98" s="165"/>
      <c r="E98" s="623">
        <v>17.100000000000001</v>
      </c>
      <c r="F98" s="714" t="str">
        <f t="shared" ca="1" si="36"/>
        <v>1</v>
      </c>
      <c r="G98" s="167"/>
      <c r="H98" s="167"/>
      <c r="I98" s="167"/>
      <c r="J98" s="167"/>
      <c r="K98" s="167"/>
      <c r="L98" s="167"/>
      <c r="M98" s="167"/>
      <c r="N98" s="167"/>
      <c r="O98" s="167"/>
      <c r="P98" s="167"/>
      <c r="Q98" s="130"/>
      <c r="R98" s="130"/>
      <c r="S98" s="167"/>
      <c r="T98" s="634" t="b">
        <f t="shared" ca="1" si="51"/>
        <v>1</v>
      </c>
      <c r="U98" s="1012"/>
      <c r="V98" s="1012"/>
      <c r="W98" s="1012"/>
      <c r="X98" s="1405"/>
      <c r="Y98" s="1012"/>
      <c r="Z98" s="1405"/>
      <c r="AA98" s="167"/>
      <c r="AB98" s="99" t="s">
        <v>1130</v>
      </c>
      <c r="AC98" s="467" t="s">
        <v>1421</v>
      </c>
      <c r="AD98" s="499" t="s">
        <v>837</v>
      </c>
      <c r="AE98" s="469">
        <f>SUM(AE99:AE101)</f>
        <v>0</v>
      </c>
      <c r="AF98" s="469">
        <f>SUM(AF99:AF101)</f>
        <v>0</v>
      </c>
      <c r="AG98" s="500">
        <f>SUM(AG99:AG101)</f>
        <v>0</v>
      </c>
      <c r="AH98" s="293">
        <f t="shared" si="37"/>
        <v>0</v>
      </c>
      <c r="AI98" s="501">
        <f t="shared" ref="AI98:BC98" si="52">SUM(AI99:AI101)</f>
        <v>0</v>
      </c>
      <c r="AJ98" s="469">
        <f t="shared" si="52"/>
        <v>0</v>
      </c>
      <c r="AK98" s="469">
        <f t="shared" si="52"/>
        <v>0</v>
      </c>
      <c r="AL98" s="469">
        <f t="shared" si="52"/>
        <v>0</v>
      </c>
      <c r="AM98" s="469">
        <f t="shared" si="52"/>
        <v>0</v>
      </c>
      <c r="AN98" s="469">
        <f t="shared" si="52"/>
        <v>0</v>
      </c>
      <c r="AO98" s="469">
        <f t="shared" si="52"/>
        <v>0</v>
      </c>
      <c r="AP98" s="469">
        <f t="shared" si="52"/>
        <v>0</v>
      </c>
      <c r="AQ98" s="469">
        <f t="shared" si="52"/>
        <v>0</v>
      </c>
      <c r="AR98" s="469">
        <f t="shared" si="52"/>
        <v>0</v>
      </c>
      <c r="AS98" s="469">
        <f t="shared" si="52"/>
        <v>0</v>
      </c>
      <c r="AT98" s="469">
        <f t="shared" si="52"/>
        <v>0</v>
      </c>
      <c r="AU98" s="469">
        <f t="shared" si="52"/>
        <v>0</v>
      </c>
      <c r="AV98" s="469">
        <f t="shared" si="52"/>
        <v>0</v>
      </c>
      <c r="AW98" s="469">
        <f t="shared" si="52"/>
        <v>0</v>
      </c>
      <c r="AX98" s="469">
        <f t="shared" si="52"/>
        <v>0</v>
      </c>
      <c r="AY98" s="469">
        <f t="shared" si="52"/>
        <v>0</v>
      </c>
      <c r="AZ98" s="469">
        <f t="shared" si="52"/>
        <v>0</v>
      </c>
      <c r="BA98" s="469">
        <f t="shared" si="52"/>
        <v>0</v>
      </c>
      <c r="BB98" s="469">
        <f t="shared" si="52"/>
        <v>0</v>
      </c>
      <c r="BC98" s="469">
        <f t="shared" si="52"/>
        <v>0</v>
      </c>
      <c r="BD98" s="293">
        <f t="shared" si="38"/>
        <v>0</v>
      </c>
      <c r="BE98" s="293">
        <f t="shared" si="39"/>
        <v>0</v>
      </c>
      <c r="BF98" s="293">
        <f t="shared" si="40"/>
        <v>0</v>
      </c>
      <c r="BG98" s="293">
        <f t="shared" si="41"/>
        <v>0</v>
      </c>
      <c r="BH98" s="293">
        <f t="shared" si="42"/>
        <v>0</v>
      </c>
      <c r="BI98" s="293">
        <f t="shared" si="43"/>
        <v>0</v>
      </c>
      <c r="BJ98" s="293">
        <f t="shared" si="44"/>
        <v>0</v>
      </c>
      <c r="BK98" s="293">
        <f t="shared" si="45"/>
        <v>0</v>
      </c>
      <c r="BL98" s="293">
        <f t="shared" si="46"/>
        <v>0</v>
      </c>
      <c r="BM98" s="293">
        <f t="shared" si="47"/>
        <v>0</v>
      </c>
      <c r="BN98" s="1145"/>
      <c r="BO98" s="1145"/>
      <c r="BP98" s="1145"/>
      <c r="BQ98" s="167"/>
      <c r="BR98" s="167"/>
      <c r="BS98" s="944" t="s">
        <v>1085</v>
      </c>
      <c r="BT98" s="944"/>
      <c r="BU98" s="944"/>
      <c r="BV98" s="945"/>
      <c r="BW98" s="945"/>
    </row>
    <row r="99" spans="1:75" s="1206" customFormat="1" ht="17.25" hidden="1" customHeight="1">
      <c r="A99" s="493"/>
      <c r="B99" s="493"/>
      <c r="C99" s="493"/>
      <c r="D99" s="493"/>
      <c r="E99" s="623">
        <v>0</v>
      </c>
      <c r="F99" s="714" t="str">
        <f t="shared" ca="1" si="36"/>
        <v>1</v>
      </c>
      <c r="G99" s="493"/>
      <c r="H99" s="493"/>
      <c r="I99" s="493"/>
      <c r="J99" s="493"/>
      <c r="K99" s="493"/>
      <c r="L99" s="493"/>
      <c r="M99" s="493"/>
      <c r="N99" s="493"/>
      <c r="O99" s="493"/>
      <c r="P99" s="493"/>
      <c r="Q99" s="493"/>
      <c r="R99" s="493"/>
      <c r="S99" s="493"/>
      <c r="T99" s="634" t="b">
        <f t="shared" ca="1" si="51"/>
        <v>1</v>
      </c>
      <c r="U99" s="493"/>
      <c r="V99" s="493"/>
      <c r="W99" s="493"/>
      <c r="X99" s="1527"/>
      <c r="Y99" s="493"/>
      <c r="Z99" s="1527"/>
      <c r="AA99" s="493"/>
      <c r="AB99" s="497"/>
      <c r="AC99" s="498"/>
      <c r="AD99" s="446"/>
      <c r="AE99" s="470"/>
      <c r="AF99" s="470"/>
      <c r="AG99" s="70"/>
      <c r="AH99" s="470"/>
      <c r="AI99" s="71"/>
      <c r="AJ99" s="470"/>
      <c r="AK99" s="470"/>
      <c r="AL99" s="470"/>
      <c r="AM99" s="470"/>
      <c r="AN99" s="470"/>
      <c r="AO99" s="470"/>
      <c r="AP99" s="470"/>
      <c r="AQ99" s="470"/>
      <c r="AR99" s="470"/>
      <c r="AS99" s="470"/>
      <c r="AT99" s="470"/>
      <c r="AU99" s="470"/>
      <c r="AV99" s="470"/>
      <c r="AW99" s="470"/>
      <c r="AX99" s="470"/>
      <c r="AY99" s="470"/>
      <c r="AZ99" s="470"/>
      <c r="BA99" s="470"/>
      <c r="BB99" s="470"/>
      <c r="BC99" s="470"/>
      <c r="BD99" s="494"/>
      <c r="BE99" s="494"/>
      <c r="BF99" s="494"/>
      <c r="BG99" s="494"/>
      <c r="BH99" s="494"/>
      <c r="BI99" s="494"/>
      <c r="BJ99" s="494"/>
      <c r="BK99" s="494"/>
      <c r="BL99" s="494"/>
      <c r="BM99" s="494"/>
      <c r="BN99" s="666"/>
      <c r="BO99" s="666"/>
      <c r="BP99" s="666"/>
      <c r="BQ99" s="493"/>
      <c r="BR99" s="493"/>
      <c r="BS99" s="944" t="str">
        <f>IF(AND(ISNUMBER(VALUE(TRIM(SUBSTITUTE(AB99,".","")))),TRIM(SUBSTITUTE(AB99,".",""))&lt;&gt;""),"P"&amp;SUBSTITUTE(AB99,".",""),"")</f>
        <v/>
      </c>
      <c r="BT99" s="957"/>
      <c r="BU99" s="957"/>
      <c r="BV99" s="958"/>
      <c r="BW99" s="958"/>
    </row>
    <row r="100" spans="1:75" s="1057" customFormat="1" ht="16.5" hidden="1" customHeight="1">
      <c r="A100" s="165"/>
      <c r="B100" s="718"/>
      <c r="C100" s="165"/>
      <c r="D100" s="165"/>
      <c r="E100" s="623">
        <v>17.100000000000001</v>
      </c>
      <c r="F100" s="714" t="str">
        <f t="shared" ca="1" si="36"/>
        <v>1</v>
      </c>
      <c r="G100" s="167"/>
      <c r="H100" s="167"/>
      <c r="I100" s="167"/>
      <c r="J100" s="167"/>
      <c r="K100" s="167"/>
      <c r="L100" s="167"/>
      <c r="M100" s="167"/>
      <c r="N100" s="167"/>
      <c r="O100" s="167"/>
      <c r="P100" s="167"/>
      <c r="Q100" s="130"/>
      <c r="R100" s="130"/>
      <c r="S100" s="167"/>
      <c r="T100" s="634" t="b">
        <f ca="1">AND(F100&gt;0,Y100&gt;0)</f>
        <v>0</v>
      </c>
      <c r="U100" s="1012"/>
      <c r="V100" s="1012"/>
      <c r="W100" s="113" t="s">
        <v>170</v>
      </c>
      <c r="X100" s="1405"/>
      <c r="Y100" s="113">
        <v>0</v>
      </c>
      <c r="Z100" s="1405"/>
      <c r="AA100" s="865" t="s">
        <v>157</v>
      </c>
      <c r="AB100" s="489" t="str">
        <f>"11."&amp;Y100</f>
        <v>11.0</v>
      </c>
      <c r="AC100" s="72"/>
      <c r="AD100" s="499" t="s">
        <v>837</v>
      </c>
      <c r="AE100" s="60"/>
      <c r="AF100" s="60"/>
      <c r="AG100" s="73"/>
      <c r="AH100" s="293">
        <f>AG100-AF100</f>
        <v>0</v>
      </c>
      <c r="AI100" s="74"/>
      <c r="AJ100" s="471"/>
      <c r="AK100" s="1181"/>
      <c r="AL100" s="1181"/>
      <c r="AM100" s="60"/>
      <c r="AN100" s="60"/>
      <c r="AO100" s="60"/>
      <c r="AP100" s="60"/>
      <c r="AQ100" s="60"/>
      <c r="AR100" s="60"/>
      <c r="AS100" s="60"/>
      <c r="AT100" s="471"/>
      <c r="AU100" s="1181"/>
      <c r="AV100" s="1181"/>
      <c r="AW100" s="60"/>
      <c r="AX100" s="60"/>
      <c r="AY100" s="60"/>
      <c r="AZ100" s="60"/>
      <c r="BA100" s="60"/>
      <c r="BB100" s="60"/>
      <c r="BC100" s="60"/>
      <c r="BD100" s="293">
        <f>IF(AI100=0,0,(AT100-AI100)/AI100*100)</f>
        <v>0</v>
      </c>
      <c r="BE100" s="293">
        <f t="shared" ref="BE100:BM100" si="53">IF(AT100=0,0,(AU100-AT100)/AT100*100)</f>
        <v>0</v>
      </c>
      <c r="BF100" s="293">
        <f t="shared" si="53"/>
        <v>0</v>
      </c>
      <c r="BG100" s="293">
        <f t="shared" si="53"/>
        <v>0</v>
      </c>
      <c r="BH100" s="293">
        <f t="shared" si="53"/>
        <v>0</v>
      </c>
      <c r="BI100" s="293">
        <f t="shared" si="53"/>
        <v>0</v>
      </c>
      <c r="BJ100" s="293">
        <f t="shared" si="53"/>
        <v>0</v>
      </c>
      <c r="BK100" s="293">
        <f t="shared" si="53"/>
        <v>0</v>
      </c>
      <c r="BL100" s="293">
        <f t="shared" si="53"/>
        <v>0</v>
      </c>
      <c r="BM100" s="293">
        <f t="shared" si="53"/>
        <v>0</v>
      </c>
      <c r="BN100" s="45"/>
      <c r="BO100" s="45"/>
      <c r="BP100" s="45"/>
      <c r="BQ100" s="167"/>
      <c r="BR100" s="167"/>
      <c r="BS100" s="944" t="s">
        <v>1085</v>
      </c>
      <c r="BT100" s="944" t="s">
        <v>1015</v>
      </c>
      <c r="BU100" s="954">
        <f>AC100</f>
        <v>0</v>
      </c>
      <c r="BV100" s="945"/>
      <c r="BW100" s="945" t="b">
        <v>1</v>
      </c>
    </row>
    <row r="101" spans="1:75" s="1207" customFormat="1" ht="16.5" customHeight="1">
      <c r="A101" s="493"/>
      <c r="B101" s="493"/>
      <c r="C101" s="493"/>
      <c r="D101" s="493"/>
      <c r="E101" s="623">
        <v>17.100000000000001</v>
      </c>
      <c r="F101" s="714" t="str">
        <f t="shared" ca="1" si="36"/>
        <v>1</v>
      </c>
      <c r="G101" s="493"/>
      <c r="H101" s="493"/>
      <c r="I101" s="493"/>
      <c r="J101" s="493"/>
      <c r="K101" s="493"/>
      <c r="L101" s="493"/>
      <c r="M101" s="493"/>
      <c r="N101" s="493"/>
      <c r="O101" s="493"/>
      <c r="P101" s="493"/>
      <c r="Q101" s="493"/>
      <c r="R101" s="493"/>
      <c r="S101" s="493"/>
      <c r="T101" s="634" t="b">
        <f ca="1">F101&gt;0</f>
        <v>1</v>
      </c>
      <c r="U101" s="493"/>
      <c r="V101" s="493"/>
      <c r="W101" s="291" t="s">
        <v>1422</v>
      </c>
      <c r="X101" s="1527"/>
      <c r="Y101" s="493"/>
      <c r="Z101" s="1527"/>
      <c r="AA101" s="493"/>
      <c r="AB101" s="236"/>
      <c r="AC101" s="562" t="s">
        <v>172</v>
      </c>
      <c r="AD101" s="237"/>
      <c r="AE101" s="237"/>
      <c r="AF101" s="237"/>
      <c r="AG101" s="237"/>
      <c r="AH101" s="237"/>
      <c r="AI101" s="237"/>
      <c r="AJ101" s="237"/>
      <c r="AK101" s="237"/>
      <c r="AL101" s="237"/>
      <c r="AM101" s="237"/>
      <c r="AN101" s="237"/>
      <c r="AO101" s="237"/>
      <c r="AP101" s="237"/>
      <c r="AQ101" s="237"/>
      <c r="AR101" s="237"/>
      <c r="AS101" s="237"/>
      <c r="AT101" s="237"/>
      <c r="AU101" s="237"/>
      <c r="AV101" s="237"/>
      <c r="AW101" s="237"/>
      <c r="AX101" s="237"/>
      <c r="AY101" s="237"/>
      <c r="AZ101" s="237"/>
      <c r="BA101" s="237"/>
      <c r="BB101" s="237"/>
      <c r="BC101" s="237"/>
      <c r="BD101" s="237"/>
      <c r="BE101" s="237"/>
      <c r="BF101" s="237"/>
      <c r="BG101" s="237"/>
      <c r="BH101" s="237"/>
      <c r="BI101" s="237"/>
      <c r="BJ101" s="237"/>
      <c r="BK101" s="237"/>
      <c r="BL101" s="237"/>
      <c r="BM101" s="237"/>
      <c r="BN101" s="855"/>
      <c r="BO101" s="855"/>
      <c r="BP101" s="851"/>
      <c r="BQ101" s="493"/>
      <c r="BR101" s="493"/>
      <c r="BS101" s="944" t="str">
        <f>IF(AND(ISNUMBER(VALUE(TRIM(SUBSTITUTE(AB101,".","")))),TRIM(SUBSTITUTE(AB101,".",""))&lt;&gt;""),"P"&amp;SUBSTITUTE(AB101,".",""),"")</f>
        <v/>
      </c>
      <c r="BT101" s="957"/>
      <c r="BU101" s="957"/>
      <c r="BV101" s="958" t="s">
        <v>1015</v>
      </c>
      <c r="BW101" s="958"/>
    </row>
    <row r="102" spans="1:75" s="1057" customFormat="1" ht="16.5" customHeight="1">
      <c r="A102" s="165"/>
      <c r="B102" s="718"/>
      <c r="C102" s="165"/>
      <c r="D102" s="165"/>
      <c r="E102" s="623">
        <v>17.100000000000001</v>
      </c>
      <c r="F102" s="714" t="str">
        <f t="shared" ca="1" si="36"/>
        <v>1</v>
      </c>
      <c r="G102" s="167"/>
      <c r="H102" s="167"/>
      <c r="I102" s="167"/>
      <c r="J102" s="167"/>
      <c r="K102" s="167"/>
      <c r="L102" s="167"/>
      <c r="M102" s="167"/>
      <c r="N102" s="167"/>
      <c r="O102" s="167"/>
      <c r="P102" s="167"/>
      <c r="Q102" s="130"/>
      <c r="R102" s="130"/>
      <c r="S102" s="167"/>
      <c r="T102" s="634" t="b">
        <f ca="1">T101</f>
        <v>1</v>
      </c>
      <c r="U102" s="1012"/>
      <c r="V102" s="1012"/>
      <c r="W102" s="1012"/>
      <c r="X102" s="1405"/>
      <c r="Y102" s="1012"/>
      <c r="Z102" s="1405"/>
      <c r="AA102" s="167"/>
      <c r="AB102" s="495" t="s">
        <v>1423</v>
      </c>
      <c r="AC102" s="496" t="s">
        <v>1424</v>
      </c>
      <c r="AD102" s="504" t="s">
        <v>837</v>
      </c>
      <c r="AE102" s="469">
        <f ca="1">AE72+AE73+AE74+IF(method_reg="Метод индексации",AE87+AE91,AE75+AE78)+AE93+AE94+AE95+AE96+AE97+AE98</f>
        <v>3437.5138216700002</v>
      </c>
      <c r="AF102" s="469">
        <f ca="1">AF72+AF73+AF74+IF(method_reg="Метод индексации",AF87+AF91,AF75+AF78)+AF93+AF94+AF95+AF96+AF97+AF98</f>
        <v>3439.0210000000002</v>
      </c>
      <c r="AG102" s="469">
        <f ca="1">AG72+AG73+AG74+IF(method_reg="Метод индексации",AG87+AG91,AG75+AG78)+AG93+AG94+AG95+AG96+AG97+AG98</f>
        <v>3439.02</v>
      </c>
      <c r="AH102" s="293">
        <f ca="1">AG102-AF102</f>
        <v>-1.0000000002037268E-3</v>
      </c>
      <c r="AI102" s="469">
        <f t="shared" ref="AI102:BC102" ca="1" si="54">AI72+AI73+AI74+IF(method_reg="Метод индексации",AI87+AI91,AI75+AI78)+AI93+AI94+AI95+AI96+AI97+AI98</f>
        <v>3891.6045094000006</v>
      </c>
      <c r="AJ102" s="469">
        <f t="shared" ca="1" si="54"/>
        <v>4362.83</v>
      </c>
      <c r="AK102" s="469">
        <f t="shared" ca="1" si="54"/>
        <v>0</v>
      </c>
      <c r="AL102" s="469">
        <f t="shared" ca="1" si="54"/>
        <v>0</v>
      </c>
      <c r="AM102" s="469">
        <f t="shared" ca="1" si="54"/>
        <v>0</v>
      </c>
      <c r="AN102" s="469">
        <f t="shared" ca="1" si="54"/>
        <v>0</v>
      </c>
      <c r="AO102" s="469">
        <f t="shared" ca="1" si="54"/>
        <v>0</v>
      </c>
      <c r="AP102" s="469">
        <f t="shared" ca="1" si="54"/>
        <v>0</v>
      </c>
      <c r="AQ102" s="469">
        <f t="shared" ca="1" si="54"/>
        <v>0</v>
      </c>
      <c r="AR102" s="469">
        <f t="shared" ca="1" si="54"/>
        <v>0</v>
      </c>
      <c r="AS102" s="469">
        <f t="shared" ca="1" si="54"/>
        <v>0</v>
      </c>
      <c r="AT102" s="469">
        <f t="shared" ca="1" si="54"/>
        <v>4302.093613</v>
      </c>
      <c r="AU102" s="469">
        <f t="shared" ca="1" si="54"/>
        <v>0</v>
      </c>
      <c r="AV102" s="469">
        <f t="shared" ca="1" si="54"/>
        <v>0</v>
      </c>
      <c r="AW102" s="469">
        <f t="shared" ca="1" si="54"/>
        <v>0</v>
      </c>
      <c r="AX102" s="469">
        <f t="shared" ca="1" si="54"/>
        <v>0</v>
      </c>
      <c r="AY102" s="469">
        <f t="shared" ca="1" si="54"/>
        <v>0</v>
      </c>
      <c r="AZ102" s="469">
        <f t="shared" ca="1" si="54"/>
        <v>0</v>
      </c>
      <c r="BA102" s="469">
        <f t="shared" ca="1" si="54"/>
        <v>0</v>
      </c>
      <c r="BB102" s="469">
        <f t="shared" ca="1" si="54"/>
        <v>0</v>
      </c>
      <c r="BC102" s="469">
        <f t="shared" ca="1" si="54"/>
        <v>0</v>
      </c>
      <c r="BD102" s="293">
        <f ca="1">IF(AI102=0,0,(AT102-AI102)/AI102*100)</f>
        <v>10.548068350945758</v>
      </c>
      <c r="BE102" s="293">
        <f t="shared" ref="BE102:BM106" ca="1" si="55">IF(AT102=0,0,(AU102-AT102)/AT102*100)</f>
        <v>-100</v>
      </c>
      <c r="BF102" s="293">
        <f t="shared" ca="1" si="55"/>
        <v>0</v>
      </c>
      <c r="BG102" s="293">
        <f t="shared" ca="1" si="55"/>
        <v>0</v>
      </c>
      <c r="BH102" s="293">
        <f t="shared" ca="1" si="55"/>
        <v>0</v>
      </c>
      <c r="BI102" s="293">
        <f t="shared" ca="1" si="55"/>
        <v>0</v>
      </c>
      <c r="BJ102" s="293">
        <f t="shared" ca="1" si="55"/>
        <v>0</v>
      </c>
      <c r="BK102" s="293">
        <f t="shared" ca="1" si="55"/>
        <v>0</v>
      </c>
      <c r="BL102" s="293">
        <f t="shared" ca="1" si="55"/>
        <v>0</v>
      </c>
      <c r="BM102" s="293">
        <f t="shared" ca="1" si="55"/>
        <v>0</v>
      </c>
      <c r="BN102" s="1108"/>
      <c r="BO102" s="1108"/>
      <c r="BP102" s="1108"/>
      <c r="BQ102" s="167"/>
      <c r="BR102" s="167"/>
      <c r="BS102" s="944" t="s">
        <v>1425</v>
      </c>
      <c r="BT102" s="944"/>
      <c r="BU102" s="944"/>
      <c r="BV102" s="945"/>
      <c r="BW102" s="945"/>
    </row>
    <row r="103" spans="1:75" s="1057" customFormat="1" ht="48.75" customHeight="1">
      <c r="A103" s="165"/>
      <c r="B103" s="718"/>
      <c r="C103" s="165"/>
      <c r="D103" s="165"/>
      <c r="E103" s="623">
        <v>50</v>
      </c>
      <c r="F103" s="714" t="str">
        <f t="shared" ca="1" si="36"/>
        <v>1</v>
      </c>
      <c r="G103" s="167"/>
      <c r="H103" s="167"/>
      <c r="I103" s="167"/>
      <c r="J103" s="167"/>
      <c r="K103" s="167"/>
      <c r="L103" s="167"/>
      <c r="M103" s="167"/>
      <c r="N103" s="167"/>
      <c r="O103" s="167"/>
      <c r="P103" s="167"/>
      <c r="Q103" s="130"/>
      <c r="R103" s="130"/>
      <c r="S103" s="167"/>
      <c r="T103" s="634" t="b">
        <f ca="1">T102</f>
        <v>1</v>
      </c>
      <c r="U103" s="1012"/>
      <c r="V103" s="1012"/>
      <c r="W103" s="1012"/>
      <c r="X103" s="1405"/>
      <c r="Y103" s="1012"/>
      <c r="Z103" s="1405"/>
      <c r="AA103" s="167"/>
      <c r="AB103" s="490" t="s">
        <v>1426</v>
      </c>
      <c r="AC103" s="843" t="s">
        <v>1427</v>
      </c>
      <c r="AD103" s="499" t="s">
        <v>837</v>
      </c>
      <c r="AE103" s="1208"/>
      <c r="AF103" s="1208"/>
      <c r="AG103" s="1208"/>
      <c r="AH103" s="293">
        <f>AG103-AF103</f>
        <v>0</v>
      </c>
      <c r="AI103" s="1208"/>
      <c r="AJ103" s="508"/>
      <c r="AK103" s="1200"/>
      <c r="AL103" s="1200"/>
      <c r="AM103" s="1208"/>
      <c r="AN103" s="1208"/>
      <c r="AO103" s="1208"/>
      <c r="AP103" s="1208"/>
      <c r="AQ103" s="1208"/>
      <c r="AR103" s="1208"/>
      <c r="AS103" s="1208"/>
      <c r="AT103" s="508"/>
      <c r="AU103" s="1200"/>
      <c r="AV103" s="1200"/>
      <c r="AW103" s="1208"/>
      <c r="AX103" s="1208"/>
      <c r="AY103" s="1208"/>
      <c r="AZ103" s="1208"/>
      <c r="BA103" s="1208"/>
      <c r="BB103" s="1208"/>
      <c r="BC103" s="1208"/>
      <c r="BD103" s="293">
        <f>IF(AI103=0,0,(AT103-AI103)/AI103*100)</f>
        <v>0</v>
      </c>
      <c r="BE103" s="293">
        <f t="shared" si="55"/>
        <v>0</v>
      </c>
      <c r="BF103" s="293">
        <f t="shared" si="55"/>
        <v>0</v>
      </c>
      <c r="BG103" s="293">
        <f t="shared" si="55"/>
        <v>0</v>
      </c>
      <c r="BH103" s="293">
        <f t="shared" si="55"/>
        <v>0</v>
      </c>
      <c r="BI103" s="293">
        <f t="shared" si="55"/>
        <v>0</v>
      </c>
      <c r="BJ103" s="293">
        <f t="shared" si="55"/>
        <v>0</v>
      </c>
      <c r="BK103" s="293">
        <f t="shared" si="55"/>
        <v>0</v>
      </c>
      <c r="BL103" s="293">
        <f t="shared" si="55"/>
        <v>0</v>
      </c>
      <c r="BM103" s="293">
        <f t="shared" si="55"/>
        <v>0</v>
      </c>
      <c r="BN103" s="1108"/>
      <c r="BO103" s="1108"/>
      <c r="BP103" s="1108"/>
      <c r="BQ103" s="167"/>
      <c r="BR103" s="167"/>
      <c r="BS103" s="944" t="s">
        <v>1428</v>
      </c>
      <c r="BT103" s="944"/>
      <c r="BU103" s="944"/>
      <c r="BV103" s="945"/>
      <c r="BW103" s="945"/>
    </row>
    <row r="104" spans="1:75" s="1057" customFormat="1" ht="16.5" customHeight="1">
      <c r="A104" s="165"/>
      <c r="B104" s="718"/>
      <c r="C104" s="165"/>
      <c r="D104" s="165"/>
      <c r="E104" s="623">
        <v>17.100000000000001</v>
      </c>
      <c r="F104" s="714" t="str">
        <f t="shared" ca="1" si="36"/>
        <v>1</v>
      </c>
      <c r="G104" s="130" t="s">
        <v>1429</v>
      </c>
      <c r="H104" s="167"/>
      <c r="I104" s="167"/>
      <c r="J104" s="167"/>
      <c r="K104" s="167"/>
      <c r="L104" s="167"/>
      <c r="M104" s="167"/>
      <c r="N104" s="167"/>
      <c r="O104" s="167"/>
      <c r="P104" s="167"/>
      <c r="Q104" s="130"/>
      <c r="R104" s="130"/>
      <c r="S104" s="167"/>
      <c r="T104" s="634" t="b">
        <f ca="1">T103</f>
        <v>1</v>
      </c>
      <c r="U104" s="1012"/>
      <c r="V104" s="1012"/>
      <c r="W104" s="1012"/>
      <c r="X104" s="1405"/>
      <c r="Y104" s="1012"/>
      <c r="Z104" s="1405"/>
      <c r="AA104" s="167"/>
      <c r="AB104" s="495" t="s">
        <v>1430</v>
      </c>
      <c r="AC104" s="844" t="s">
        <v>1431</v>
      </c>
      <c r="AD104" s="499" t="s">
        <v>837</v>
      </c>
      <c r="AE104" s="526">
        <f ca="1">AE102+AE103</f>
        <v>3437.5138216700002</v>
      </c>
      <c r="AF104" s="526">
        <f ca="1">AF102+AF103</f>
        <v>3439.0210000000002</v>
      </c>
      <c r="AG104" s="526">
        <f ca="1">AG102+AG103</f>
        <v>3439.02</v>
      </c>
      <c r="AH104" s="293">
        <f ca="1">AG104-AF104</f>
        <v>-1.0000000002037268E-3</v>
      </c>
      <c r="AI104" s="526">
        <f t="shared" ref="AI104:BC104" ca="1" si="56">AI102+AI103</f>
        <v>3891.6045094000006</v>
      </c>
      <c r="AJ104" s="526">
        <f t="shared" ca="1" si="56"/>
        <v>4362.83</v>
      </c>
      <c r="AK104" s="526">
        <f t="shared" ca="1" si="56"/>
        <v>0</v>
      </c>
      <c r="AL104" s="526">
        <f t="shared" ca="1" si="56"/>
        <v>0</v>
      </c>
      <c r="AM104" s="526">
        <f t="shared" ca="1" si="56"/>
        <v>0</v>
      </c>
      <c r="AN104" s="526">
        <f t="shared" ca="1" si="56"/>
        <v>0</v>
      </c>
      <c r="AO104" s="526">
        <f t="shared" ca="1" si="56"/>
        <v>0</v>
      </c>
      <c r="AP104" s="526">
        <f t="shared" ca="1" si="56"/>
        <v>0</v>
      </c>
      <c r="AQ104" s="526">
        <f t="shared" ca="1" si="56"/>
        <v>0</v>
      </c>
      <c r="AR104" s="526">
        <f t="shared" ca="1" si="56"/>
        <v>0</v>
      </c>
      <c r="AS104" s="526">
        <f t="shared" ca="1" si="56"/>
        <v>0</v>
      </c>
      <c r="AT104" s="526">
        <f t="shared" ca="1" si="56"/>
        <v>4302.093613</v>
      </c>
      <c r="AU104" s="526">
        <f t="shared" ca="1" si="56"/>
        <v>0</v>
      </c>
      <c r="AV104" s="526">
        <f t="shared" ca="1" si="56"/>
        <v>0</v>
      </c>
      <c r="AW104" s="526">
        <f t="shared" ca="1" si="56"/>
        <v>0</v>
      </c>
      <c r="AX104" s="526">
        <f t="shared" ca="1" si="56"/>
        <v>0</v>
      </c>
      <c r="AY104" s="526">
        <f t="shared" ca="1" si="56"/>
        <v>0</v>
      </c>
      <c r="AZ104" s="526">
        <f t="shared" ca="1" si="56"/>
        <v>0</v>
      </c>
      <c r="BA104" s="526">
        <f t="shared" ca="1" si="56"/>
        <v>0</v>
      </c>
      <c r="BB104" s="526">
        <f t="shared" ca="1" si="56"/>
        <v>0</v>
      </c>
      <c r="BC104" s="526">
        <f t="shared" ca="1" si="56"/>
        <v>0</v>
      </c>
      <c r="BD104" s="293">
        <f ca="1">IF(AI104=0,0,(AT104-AI104)/AI104*100)</f>
        <v>10.548068350945758</v>
      </c>
      <c r="BE104" s="293">
        <f t="shared" ca="1" si="55"/>
        <v>-100</v>
      </c>
      <c r="BF104" s="293">
        <f t="shared" ca="1" si="55"/>
        <v>0</v>
      </c>
      <c r="BG104" s="293">
        <f t="shared" ca="1" si="55"/>
        <v>0</v>
      </c>
      <c r="BH104" s="293">
        <f t="shared" ca="1" si="55"/>
        <v>0</v>
      </c>
      <c r="BI104" s="293">
        <f t="shared" ca="1" si="55"/>
        <v>0</v>
      </c>
      <c r="BJ104" s="293">
        <f t="shared" ca="1" si="55"/>
        <v>0</v>
      </c>
      <c r="BK104" s="293">
        <f t="shared" ca="1" si="55"/>
        <v>0</v>
      </c>
      <c r="BL104" s="293">
        <f t="shared" ca="1" si="55"/>
        <v>0</v>
      </c>
      <c r="BM104" s="293">
        <f t="shared" ca="1" si="55"/>
        <v>0</v>
      </c>
      <c r="BN104" s="1108"/>
      <c r="BO104" s="1108"/>
      <c r="BP104" s="1108"/>
      <c r="BQ104" s="167"/>
      <c r="BR104" s="167"/>
      <c r="BS104" s="944" t="s">
        <v>1432</v>
      </c>
      <c r="BT104" s="944"/>
      <c r="BU104" s="944"/>
      <c r="BV104" s="945"/>
      <c r="BW104" s="945"/>
    </row>
    <row r="105" spans="1:75" s="1057" customFormat="1" ht="16.5" hidden="1" customHeight="1">
      <c r="A105" s="165"/>
      <c r="B105" s="718"/>
      <c r="C105" s="165"/>
      <c r="D105" s="165"/>
      <c r="E105" s="623">
        <v>17.100000000000001</v>
      </c>
      <c r="F105" s="714" t="str">
        <f t="shared" ca="1" si="36"/>
        <v>1</v>
      </c>
      <c r="G105" s="130" t="s">
        <v>780</v>
      </c>
      <c r="H105" s="167"/>
      <c r="I105" s="167"/>
      <c r="J105" s="167"/>
      <c r="K105" s="167"/>
      <c r="L105" s="167"/>
      <c r="M105" s="167"/>
      <c r="N105" s="167"/>
      <c r="O105" s="167"/>
      <c r="P105" s="167"/>
      <c r="Q105" s="130"/>
      <c r="R105" s="130" t="s">
        <v>1433</v>
      </c>
      <c r="S105" s="167"/>
      <c r="T105" s="634" t="b">
        <f ca="1">AND(F105&gt;0,G71="двухставочный")</f>
        <v>0</v>
      </c>
      <c r="U105" s="1012"/>
      <c r="V105" s="1012"/>
      <c r="W105" s="1012"/>
      <c r="X105" s="1405"/>
      <c r="Y105" s="1012"/>
      <c r="Z105" s="1405"/>
      <c r="AA105" s="167"/>
      <c r="AB105" s="503" t="str">
        <f>AB104&amp;".1"</f>
        <v>14.1</v>
      </c>
      <c r="AC105" s="473" t="s">
        <v>1434</v>
      </c>
      <c r="AD105" s="242" t="s">
        <v>648</v>
      </c>
      <c r="AE105" s="60">
        <f ca="1">SUMIFS('Ресурсы (5.4)'!AE$26:AE$47,'Ресурсы (5.4)'!$F$26:$F$47,$F105,'Ресурсы (5.4)'!$AB$26:$AB$47,"6.1")</f>
        <v>0</v>
      </c>
      <c r="AF105" s="60">
        <f ca="1">SUMIFS('Ресурсы (5.4)'!AF$26:AF$47,'Ресурсы (5.4)'!$F$26:$F$47,$F105,'Ресурсы (5.4)'!$AB$26:$AB$47,"6.1")</f>
        <v>0</v>
      </c>
      <c r="AG105" s="60">
        <f ca="1">SUMIFS('Ресурсы (5.4)'!AG$26:AG$47,'Ресурсы (5.4)'!$F$26:$F$47,$F105,'Ресурсы (5.4)'!$AB$26:$AB$47,"6.1")</f>
        <v>0</v>
      </c>
      <c r="AH105" s="293">
        <f ca="1">AG105-AF105</f>
        <v>0</v>
      </c>
      <c r="AI105" s="60">
        <f ca="1">SUMIFS('Ресурсы (5.4)'!AI$26:AI$47,'Ресурсы (5.4)'!$F$26:$F$47,$F105,'Ресурсы (5.4)'!$AB$26:$AB$47,"6.1")</f>
        <v>0</v>
      </c>
      <c r="AJ105" s="471">
        <f ca="1">SUMIFS('Ресурсы (5.4)'!AJ$26:AJ$47,'Ресурсы (5.4)'!$F$26:$F$47,$F105,'Ресурсы (5.4)'!$AB$26:$AB$47,"6.1")</f>
        <v>0</v>
      </c>
      <c r="AK105" s="1181">
        <f ca="1">SUMIFS('Ресурсы (5.4)'!AK$26:AK$47,'Ресурсы (5.4)'!$F$26:$F$47,$F105,'Ресурсы (5.4)'!$AB$26:$AB$47,"6.1")</f>
        <v>0</v>
      </c>
      <c r="AL105" s="1181">
        <f ca="1">SUMIFS('Ресурсы (5.4)'!AL$26:AL$47,'Ресурсы (5.4)'!$F$26:$F$47,$F105,'Ресурсы (5.4)'!$AB$26:$AB$47,"6.1")</f>
        <v>0</v>
      </c>
      <c r="AM105" s="60">
        <f ca="1">SUMIFS('Ресурсы (5.4)'!AM$26:AM$47,'Ресурсы (5.4)'!$F$26:$F$47,$F105,'Ресурсы (5.4)'!$AB$26:$AB$47,"6.1")</f>
        <v>0</v>
      </c>
      <c r="AN105" s="60">
        <f ca="1">SUMIFS('Ресурсы (5.4)'!AN$26:AN$47,'Ресурсы (5.4)'!$F$26:$F$47,$F105,'Ресурсы (5.4)'!$AB$26:$AB$47,"6.1")</f>
        <v>0</v>
      </c>
      <c r="AO105" s="60">
        <f ca="1">SUMIFS('Ресурсы (5.4)'!AO$26:AO$47,'Ресурсы (5.4)'!$F$26:$F$47,$F105,'Ресурсы (5.4)'!$AB$26:$AB$47,"6.1")</f>
        <v>0</v>
      </c>
      <c r="AP105" s="60">
        <f ca="1">SUMIFS('Ресурсы (5.4)'!AP$26:AP$47,'Ресурсы (5.4)'!$F$26:$F$47,$F105,'Ресурсы (5.4)'!$AB$26:$AB$47,"6.1")</f>
        <v>0</v>
      </c>
      <c r="AQ105" s="60">
        <f ca="1">SUMIFS('Ресурсы (5.4)'!AQ$26:AQ$47,'Ресурсы (5.4)'!$F$26:$F$47,$F105,'Ресурсы (5.4)'!$AB$26:$AB$47,"6.1")</f>
        <v>0</v>
      </c>
      <c r="AR105" s="60">
        <f ca="1">SUMIFS('Ресурсы (5.4)'!AR$26:AR$47,'Ресурсы (5.4)'!$F$26:$F$47,$F105,'Ресурсы (5.4)'!$AB$26:$AB$47,"6.1")</f>
        <v>0</v>
      </c>
      <c r="AS105" s="60">
        <f ca="1">SUMIFS('Ресурсы (5.4)'!AS$26:AS$47,'Ресурсы (5.4)'!$F$26:$F$47,$F105,'Ресурсы (5.4)'!$AB$26:$AB$47,"6.1")</f>
        <v>0</v>
      </c>
      <c r="AT105" s="471">
        <f ca="1">SUMIFS('Ресурсы (5.4)'!AT$26:AT$47,'Ресурсы (5.4)'!$F$26:$F$47,$F105,'Ресурсы (5.4)'!$AB$26:$AB$47,"6.1")</f>
        <v>0</v>
      </c>
      <c r="AU105" s="1181">
        <f ca="1">SUMIFS('Ресурсы (5.4)'!AU$26:AU$47,'Ресурсы (5.4)'!$F$26:$F$47,$F105,'Ресурсы (5.4)'!$AB$26:$AB$47,"6.1")</f>
        <v>0</v>
      </c>
      <c r="AV105" s="1181">
        <f ca="1">SUMIFS('Ресурсы (5.4)'!AV$26:AV$47,'Ресурсы (5.4)'!$F$26:$F$47,$F105,'Ресурсы (5.4)'!$AB$26:$AB$47,"6.1")</f>
        <v>0</v>
      </c>
      <c r="AW105" s="60">
        <f ca="1">SUMIFS('Ресурсы (5.4)'!AW$26:AW$47,'Ресурсы (5.4)'!$F$26:$F$47,$F105,'Ресурсы (5.4)'!$AB$26:$AB$47,"6.1")</f>
        <v>0</v>
      </c>
      <c r="AX105" s="60">
        <f ca="1">SUMIFS('Ресурсы (5.4)'!AX$26:AX$47,'Ресурсы (5.4)'!$F$26:$F$47,$F105,'Ресурсы (5.4)'!$AB$26:$AB$47,"6.1")</f>
        <v>0</v>
      </c>
      <c r="AY105" s="60">
        <f ca="1">SUMIFS('Ресурсы (5.4)'!AY$26:AY$47,'Ресурсы (5.4)'!$F$26:$F$47,$F105,'Ресурсы (5.4)'!$AB$26:$AB$47,"6.1")</f>
        <v>0</v>
      </c>
      <c r="AZ105" s="60">
        <f ca="1">SUMIFS('Ресурсы (5.4)'!AZ$26:AZ$47,'Ресурсы (5.4)'!$F$26:$F$47,$F105,'Ресурсы (5.4)'!$AB$26:$AB$47,"6.1")</f>
        <v>0</v>
      </c>
      <c r="BA105" s="60">
        <f ca="1">SUMIFS('Ресурсы (5.4)'!BA$26:BA$47,'Ресурсы (5.4)'!$F$26:$F$47,$F105,'Ресурсы (5.4)'!$AB$26:$AB$47,"6.1")</f>
        <v>0</v>
      </c>
      <c r="BB105" s="60">
        <f ca="1">SUMIFS('Ресурсы (5.4)'!BB$26:BB$47,'Ресурсы (5.4)'!$F$26:$F$47,$F105,'Ресурсы (5.4)'!$AB$26:$AB$47,"6.1")</f>
        <v>0</v>
      </c>
      <c r="BC105" s="60">
        <f ca="1">SUMIFS('Ресурсы (5.4)'!BC$26:BC$47,'Ресурсы (5.4)'!$F$26:$F$47,$F105,'Ресурсы (5.4)'!$AB$26:$AB$47,"6.1")</f>
        <v>0</v>
      </c>
      <c r="BD105" s="293">
        <f ca="1">IF(AI105=0,0,(AT105-AI105)/AI105*100)</f>
        <v>0</v>
      </c>
      <c r="BE105" s="293">
        <f t="shared" ca="1" si="55"/>
        <v>0</v>
      </c>
      <c r="BF105" s="293">
        <f t="shared" ca="1" si="55"/>
        <v>0</v>
      </c>
      <c r="BG105" s="293">
        <f t="shared" ca="1" si="55"/>
        <v>0</v>
      </c>
      <c r="BH105" s="293">
        <f t="shared" ca="1" si="55"/>
        <v>0</v>
      </c>
      <c r="BI105" s="293">
        <f t="shared" ca="1" si="55"/>
        <v>0</v>
      </c>
      <c r="BJ105" s="293">
        <f t="shared" ca="1" si="55"/>
        <v>0</v>
      </c>
      <c r="BK105" s="293">
        <f t="shared" ca="1" si="55"/>
        <v>0</v>
      </c>
      <c r="BL105" s="293">
        <f t="shared" ca="1" si="55"/>
        <v>0</v>
      </c>
      <c r="BM105" s="293">
        <f t="shared" ca="1" si="55"/>
        <v>0</v>
      </c>
      <c r="BN105" s="22"/>
      <c r="BO105" s="22"/>
      <c r="BP105" s="22"/>
      <c r="BQ105" s="167"/>
      <c r="BR105" s="167"/>
      <c r="BS105" s="944" t="s">
        <v>1435</v>
      </c>
      <c r="BT105" s="944"/>
      <c r="BU105" s="944"/>
      <c r="BV105" s="945"/>
      <c r="BW105" s="945"/>
    </row>
    <row r="106" spans="1:75" s="1057" customFormat="1" ht="16.5" hidden="1" customHeight="1">
      <c r="A106" s="165"/>
      <c r="B106" s="718"/>
      <c r="C106" s="165"/>
      <c r="D106" s="165"/>
      <c r="E106" s="623">
        <v>17.100000000000001</v>
      </c>
      <c r="F106" s="714" t="str">
        <f t="shared" ca="1" si="36"/>
        <v>1</v>
      </c>
      <c r="G106" s="167"/>
      <c r="H106" s="167"/>
      <c r="I106" s="167"/>
      <c r="J106" s="167"/>
      <c r="K106" s="167"/>
      <c r="L106" s="167"/>
      <c r="M106" s="167"/>
      <c r="N106" s="167"/>
      <c r="O106" s="167"/>
      <c r="P106" s="167"/>
      <c r="Q106" s="130"/>
      <c r="R106" s="130" t="s">
        <v>1433</v>
      </c>
      <c r="S106" s="167"/>
      <c r="T106" s="634" t="b">
        <f ca="1">T105</f>
        <v>0</v>
      </c>
      <c r="U106" s="1012"/>
      <c r="V106" s="1012"/>
      <c r="W106" s="1012"/>
      <c r="X106" s="1405"/>
      <c r="Y106" s="1012"/>
      <c r="Z106" s="1405"/>
      <c r="AA106" s="167"/>
      <c r="AB106" s="503" t="str">
        <f>AB104&amp;".2"</f>
        <v>14.2</v>
      </c>
      <c r="AC106" s="473" t="s">
        <v>1436</v>
      </c>
      <c r="AD106" s="242" t="s">
        <v>648</v>
      </c>
      <c r="AE106" s="469">
        <f ca="1">AE104-AE105</f>
        <v>3437.5138216700002</v>
      </c>
      <c r="AF106" s="469">
        <f ca="1">AF104-AF105</f>
        <v>3439.0210000000002</v>
      </c>
      <c r="AG106" s="469">
        <f ca="1">AG104-AG105</f>
        <v>3439.02</v>
      </c>
      <c r="AH106" s="293">
        <f ca="1">AG106-AF106</f>
        <v>-1.0000000002037268E-3</v>
      </c>
      <c r="AI106" s="469">
        <f t="shared" ref="AI106:BC106" ca="1" si="57">AI104-AI105</f>
        <v>3891.6045094000006</v>
      </c>
      <c r="AJ106" s="469">
        <f t="shared" ca="1" si="57"/>
        <v>4362.83</v>
      </c>
      <c r="AK106" s="469">
        <f t="shared" ca="1" si="57"/>
        <v>0</v>
      </c>
      <c r="AL106" s="469">
        <f t="shared" ca="1" si="57"/>
        <v>0</v>
      </c>
      <c r="AM106" s="469">
        <f t="shared" ca="1" si="57"/>
        <v>0</v>
      </c>
      <c r="AN106" s="469">
        <f t="shared" ca="1" si="57"/>
        <v>0</v>
      </c>
      <c r="AO106" s="469">
        <f t="shared" ca="1" si="57"/>
        <v>0</v>
      </c>
      <c r="AP106" s="469">
        <f t="shared" ca="1" si="57"/>
        <v>0</v>
      </c>
      <c r="AQ106" s="469">
        <f t="shared" ca="1" si="57"/>
        <v>0</v>
      </c>
      <c r="AR106" s="469">
        <f t="shared" ca="1" si="57"/>
        <v>0</v>
      </c>
      <c r="AS106" s="469">
        <f t="shared" ca="1" si="57"/>
        <v>0</v>
      </c>
      <c r="AT106" s="469">
        <f t="shared" ca="1" si="57"/>
        <v>4302.093613</v>
      </c>
      <c r="AU106" s="469">
        <f t="shared" ca="1" si="57"/>
        <v>0</v>
      </c>
      <c r="AV106" s="469">
        <f t="shared" ca="1" si="57"/>
        <v>0</v>
      </c>
      <c r="AW106" s="469">
        <f t="shared" ca="1" si="57"/>
        <v>0</v>
      </c>
      <c r="AX106" s="469">
        <f t="shared" ca="1" si="57"/>
        <v>0</v>
      </c>
      <c r="AY106" s="469">
        <f t="shared" ca="1" si="57"/>
        <v>0</v>
      </c>
      <c r="AZ106" s="469">
        <f t="shared" ca="1" si="57"/>
        <v>0</v>
      </c>
      <c r="BA106" s="469">
        <f t="shared" ca="1" si="57"/>
        <v>0</v>
      </c>
      <c r="BB106" s="469">
        <f t="shared" ca="1" si="57"/>
        <v>0</v>
      </c>
      <c r="BC106" s="500">
        <f t="shared" ca="1" si="57"/>
        <v>0</v>
      </c>
      <c r="BD106" s="293">
        <f ca="1">IF(AI106=0,0,(AT106-AI106)/AI106*100)</f>
        <v>10.548068350945758</v>
      </c>
      <c r="BE106" s="293">
        <f t="shared" ca="1" si="55"/>
        <v>-100</v>
      </c>
      <c r="BF106" s="293">
        <f t="shared" ca="1" si="55"/>
        <v>0</v>
      </c>
      <c r="BG106" s="293">
        <f t="shared" ca="1" si="55"/>
        <v>0</v>
      </c>
      <c r="BH106" s="293">
        <f t="shared" ca="1" si="55"/>
        <v>0</v>
      </c>
      <c r="BI106" s="293">
        <f t="shared" ca="1" si="55"/>
        <v>0</v>
      </c>
      <c r="BJ106" s="293">
        <f t="shared" ca="1" si="55"/>
        <v>0</v>
      </c>
      <c r="BK106" s="293">
        <f t="shared" ca="1" si="55"/>
        <v>0</v>
      </c>
      <c r="BL106" s="293">
        <f t="shared" ca="1" si="55"/>
        <v>0</v>
      </c>
      <c r="BM106" s="293">
        <f t="shared" ca="1" si="55"/>
        <v>0</v>
      </c>
      <c r="BN106" s="22"/>
      <c r="BO106" s="22"/>
      <c r="BP106" s="22"/>
      <c r="BQ106" s="167"/>
      <c r="BR106" s="167"/>
      <c r="BS106" s="944" t="s">
        <v>1437</v>
      </c>
      <c r="BT106" s="944"/>
      <c r="BU106" s="944"/>
      <c r="BV106" s="945"/>
      <c r="BW106" s="945"/>
    </row>
    <row r="107" spans="1:75" s="1057" customFormat="1" ht="16.5" customHeight="1">
      <c r="A107" s="165"/>
      <c r="B107" s="718"/>
      <c r="C107" s="165"/>
      <c r="D107" s="165"/>
      <c r="E107" s="623">
        <v>17.100000000000001</v>
      </c>
      <c r="F107" s="714" t="str">
        <f t="shared" ca="1" si="36"/>
        <v>1</v>
      </c>
      <c r="G107" s="167"/>
      <c r="H107" s="167"/>
      <c r="I107" s="167"/>
      <c r="J107" s="167"/>
      <c r="K107" s="167"/>
      <c r="L107" s="167"/>
      <c r="M107" s="167"/>
      <c r="N107" s="167"/>
      <c r="O107" s="167"/>
      <c r="P107" s="167"/>
      <c r="Q107" s="130"/>
      <c r="R107" s="130"/>
      <c r="S107" s="167"/>
      <c r="T107" s="634" t="b">
        <f ca="1">T104</f>
        <v>1</v>
      </c>
      <c r="U107" s="1012"/>
      <c r="V107" s="1012"/>
      <c r="W107" s="1012"/>
      <c r="X107" s="1405"/>
      <c r="Y107" s="1012"/>
      <c r="Z107" s="1405"/>
      <c r="AA107" s="167"/>
      <c r="AB107" s="246" t="s">
        <v>1438</v>
      </c>
      <c r="AC107" s="243" t="s">
        <v>1439</v>
      </c>
      <c r="AD107" s="479" t="s">
        <v>491</v>
      </c>
      <c r="AE107" s="293">
        <f ca="1">SUMIFS('Баланс ТН'!AE$27:AE$101,'Баланс ТН'!$F$27:$F$101,$F107,'Баланс ТН'!$AB$27:$AB$101,"7")</f>
        <v>72.581000000000003</v>
      </c>
      <c r="AF107" s="470"/>
      <c r="AG107" s="470"/>
      <c r="AH107" s="470"/>
      <c r="AI107" s="293">
        <f ca="1">SUMIFS('Баланс ТН'!AH$27:AH$101,'Баланс ТН'!$F$27:$F$101,$F107,'Баланс ТН'!$AB$27:$AB$101,"7")</f>
        <v>72.581230000000005</v>
      </c>
      <c r="AJ107" s="293">
        <f ca="1">SUMIFS('Баланс ТН'!AI$27:AI$101,'Баланс ТН'!$F$27:$F$101,$F107,'Баланс ТН'!$AB$27:$AB$101,"7")</f>
        <v>72.581000000000003</v>
      </c>
      <c r="AK107" s="293">
        <f ca="1">SUMIFS('Баланс ТН'!AJ$27:AJ$101,'Баланс ТН'!$F$27:$F$101,$F107,'Баланс ТН'!$AB$27:$AB$101,"7")</f>
        <v>0</v>
      </c>
      <c r="AL107" s="293">
        <f ca="1">SUMIFS('Баланс ТН'!AK$27:AK$101,'Баланс ТН'!$F$27:$F$101,$F107,'Баланс ТН'!$AB$27:$AB$101,"7")</f>
        <v>0</v>
      </c>
      <c r="AM107" s="293">
        <f ca="1">SUMIFS('Баланс ТН'!AL$27:AL$101,'Баланс ТН'!$F$27:$F$101,$F107,'Баланс ТН'!$AB$27:$AB$101,"7")</f>
        <v>0</v>
      </c>
      <c r="AN107" s="293">
        <f ca="1">SUMIFS('Баланс ТН'!AM$27:AM$101,'Баланс ТН'!$F$27:$F$101,$F107,'Баланс ТН'!$AB$27:$AB$101,"7")</f>
        <v>0</v>
      </c>
      <c r="AO107" s="293">
        <f ca="1">SUMIFS('Баланс ТН'!AN$27:AN$101,'Баланс ТН'!$F$27:$F$101,$F107,'Баланс ТН'!$AB$27:$AB$101,"7")</f>
        <v>0</v>
      </c>
      <c r="AP107" s="293">
        <f ca="1">SUMIFS('Баланс ТН'!AO$27:AO$101,'Баланс ТН'!$F$27:$F$101,$F107,'Баланс ТН'!$AB$27:$AB$101,"7")</f>
        <v>0</v>
      </c>
      <c r="AQ107" s="293">
        <f ca="1">SUMIFS('Баланс ТН'!AP$27:AP$101,'Баланс ТН'!$F$27:$F$101,$F107,'Баланс ТН'!$AB$27:$AB$101,"7")</f>
        <v>0</v>
      </c>
      <c r="AR107" s="293">
        <f ca="1">SUMIFS('Баланс ТН'!AQ$27:AQ$101,'Баланс ТН'!$F$27:$F$101,$F107,'Баланс ТН'!$AB$27:$AB$101,"7")</f>
        <v>0</v>
      </c>
      <c r="AS107" s="293">
        <f ca="1">SUMIFS('Баланс ТН'!AR$27:AR$101,'Баланс ТН'!$F$27:$F$101,$F107,'Баланс ТН'!$AB$27:$AB$101,"7")</f>
        <v>0</v>
      </c>
      <c r="AT107" s="293">
        <f ca="1">SUMIFS('Баланс ТН'!AS$27:AS$101,'Баланс ТН'!$F$27:$F$101,$F107,'Баланс ТН'!$AB$27:$AB$101,"7")</f>
        <v>72.581000000000003</v>
      </c>
      <c r="AU107" s="293">
        <f ca="1">SUMIFS('Баланс ТН'!AT$27:AT$101,'Баланс ТН'!$F$27:$F$101,$F107,'Баланс ТН'!$AB$27:$AB$101,"7")</f>
        <v>0</v>
      </c>
      <c r="AV107" s="293">
        <f ca="1">SUMIFS('Баланс ТН'!AU$27:AU$101,'Баланс ТН'!$F$27:$F$101,$F107,'Баланс ТН'!$AB$27:$AB$101,"7")</f>
        <v>0</v>
      </c>
      <c r="AW107" s="293">
        <f ca="1">SUMIFS('Баланс ТН'!AV$27:AV$101,'Баланс ТН'!$F$27:$F$101,$F107,'Баланс ТН'!$AB$27:$AB$101,"7")</f>
        <v>0</v>
      </c>
      <c r="AX107" s="293">
        <f ca="1">SUMIFS('Баланс ТН'!AW$27:AW$101,'Баланс ТН'!$F$27:$F$101,$F107,'Баланс ТН'!$AB$27:$AB$101,"7")</f>
        <v>0</v>
      </c>
      <c r="AY107" s="293">
        <f ca="1">SUMIFS('Баланс ТН'!AX$27:AX$101,'Баланс ТН'!$F$27:$F$101,$F107,'Баланс ТН'!$AB$27:$AB$101,"7")</f>
        <v>0</v>
      </c>
      <c r="AZ107" s="293">
        <f ca="1">SUMIFS('Баланс ТН'!AY$27:AY$101,'Баланс ТН'!$F$27:$F$101,$F107,'Баланс ТН'!$AB$27:$AB$101,"7")</f>
        <v>0</v>
      </c>
      <c r="BA107" s="293">
        <f ca="1">SUMIFS('Баланс ТН'!AZ$27:AZ$101,'Баланс ТН'!$F$27:$F$101,$F107,'Баланс ТН'!$AB$27:$AB$101,"7")</f>
        <v>0</v>
      </c>
      <c r="BB107" s="293">
        <f ca="1">SUMIFS('Баланс ТН'!BA$27:BA$101,'Баланс ТН'!$F$27:$F$101,$F107,'Баланс ТН'!$AB$27:$AB$101,"7")</f>
        <v>0</v>
      </c>
      <c r="BC107" s="293">
        <f ca="1">SUMIFS('Баланс ТН'!BB$27:BB$101,'Баланс ТН'!$F$27:$F$101,$F107,'Баланс ТН'!$AB$27:$AB$101,"7")</f>
        <v>0</v>
      </c>
      <c r="BD107" s="506"/>
      <c r="BE107" s="506"/>
      <c r="BF107" s="506"/>
      <c r="BG107" s="506"/>
      <c r="BH107" s="506"/>
      <c r="BI107" s="506"/>
      <c r="BJ107" s="506"/>
      <c r="BK107" s="506"/>
      <c r="BL107" s="506"/>
      <c r="BM107" s="506"/>
      <c r="BN107" s="1106"/>
      <c r="BO107" s="1106"/>
      <c r="BP107" s="1106"/>
      <c r="BQ107" s="167"/>
      <c r="BR107" s="167"/>
      <c r="BS107" s="944" t="s">
        <v>1440</v>
      </c>
      <c r="BT107" s="944"/>
      <c r="BU107" s="944"/>
      <c r="BV107" s="945"/>
      <c r="BW107" s="945"/>
    </row>
    <row r="108" spans="1:75" s="1057" customFormat="1" ht="16.5" customHeight="1">
      <c r="A108" s="165"/>
      <c r="B108" s="718"/>
      <c r="C108" s="165"/>
      <c r="D108" s="165"/>
      <c r="E108" s="623">
        <v>17.100000000000001</v>
      </c>
      <c r="F108" s="714" t="str">
        <f t="shared" ca="1" si="36"/>
        <v>1</v>
      </c>
      <c r="G108" s="130" t="s">
        <v>1441</v>
      </c>
      <c r="H108" s="167"/>
      <c r="I108" s="167"/>
      <c r="J108" s="167"/>
      <c r="K108" s="167"/>
      <c r="L108" s="167"/>
      <c r="M108" s="167"/>
      <c r="N108" s="167"/>
      <c r="O108" s="167"/>
      <c r="P108" s="167"/>
      <c r="Q108" s="130"/>
      <c r="R108" s="130"/>
      <c r="S108" s="167"/>
      <c r="T108" s="634" t="b">
        <f t="shared" ref="T108:T113" ca="1" si="58">T107</f>
        <v>1</v>
      </c>
      <c r="U108" s="1012"/>
      <c r="V108" s="1012"/>
      <c r="W108" s="1012"/>
      <c r="X108" s="1405"/>
      <c r="Y108" s="1012"/>
      <c r="Z108" s="1405"/>
      <c r="AA108" s="167"/>
      <c r="AB108" s="503" t="str">
        <f>AB107&amp;".1"</f>
        <v>15.1</v>
      </c>
      <c r="AC108" s="223" t="s">
        <v>1442</v>
      </c>
      <c r="AD108" s="479" t="s">
        <v>491</v>
      </c>
      <c r="AE108" s="1185">
        <v>38.164000000000001</v>
      </c>
      <c r="AF108" s="470"/>
      <c r="AG108" s="470"/>
      <c r="AH108" s="470"/>
      <c r="AI108" s="1185">
        <v>40.540999999999997</v>
      </c>
      <c r="AJ108" s="471">
        <f>72.581*0.4236</f>
        <v>30.745311600000001</v>
      </c>
      <c r="AK108" s="1181"/>
      <c r="AL108" s="1181"/>
      <c r="AM108" s="1185"/>
      <c r="AN108" s="1185"/>
      <c r="AO108" s="1185"/>
      <c r="AP108" s="1185"/>
      <c r="AQ108" s="1185"/>
      <c r="AR108" s="1185"/>
      <c r="AS108" s="1185"/>
      <c r="AT108" s="471">
        <v>48.78</v>
      </c>
      <c r="AU108" s="1181"/>
      <c r="AV108" s="1181"/>
      <c r="AW108" s="1185"/>
      <c r="AX108" s="1185"/>
      <c r="AY108" s="1185"/>
      <c r="AZ108" s="1185"/>
      <c r="BA108" s="1185"/>
      <c r="BB108" s="1185"/>
      <c r="BC108" s="1185"/>
      <c r="BD108" s="294"/>
      <c r="BE108" s="294"/>
      <c r="BF108" s="294"/>
      <c r="BG108" s="294"/>
      <c r="BH108" s="294"/>
      <c r="BI108" s="294"/>
      <c r="BJ108" s="294"/>
      <c r="BK108" s="294"/>
      <c r="BL108" s="294"/>
      <c r="BM108" s="294"/>
      <c r="BN108" s="1106"/>
      <c r="BO108" s="1106"/>
      <c r="BP108" s="1106"/>
      <c r="BQ108" s="167"/>
      <c r="BR108" s="167"/>
      <c r="BS108" s="944" t="s">
        <v>1443</v>
      </c>
      <c r="BT108" s="944"/>
      <c r="BU108" s="944"/>
      <c r="BV108" s="945"/>
      <c r="BW108" s="945"/>
    </row>
    <row r="109" spans="1:75" s="1057" customFormat="1" ht="16.5" customHeight="1">
      <c r="A109" s="165"/>
      <c r="B109" s="718"/>
      <c r="C109" s="165"/>
      <c r="D109" s="165"/>
      <c r="E109" s="623">
        <v>17.100000000000001</v>
      </c>
      <c r="F109" s="714" t="str">
        <f t="shared" ca="1" si="36"/>
        <v>1</v>
      </c>
      <c r="G109" s="130" t="s">
        <v>1444</v>
      </c>
      <c r="H109" s="167"/>
      <c r="I109" s="167"/>
      <c r="J109" s="167"/>
      <c r="K109" s="167"/>
      <c r="L109" s="167"/>
      <c r="M109" s="167"/>
      <c r="N109" s="167"/>
      <c r="O109" s="167"/>
      <c r="P109" s="167"/>
      <c r="Q109" s="130"/>
      <c r="R109" s="130"/>
      <c r="S109" s="167"/>
      <c r="T109" s="634" t="b">
        <f t="shared" ca="1" si="58"/>
        <v>1</v>
      </c>
      <c r="U109" s="1012"/>
      <c r="V109" s="1012"/>
      <c r="W109" s="1012"/>
      <c r="X109" s="1405"/>
      <c r="Y109" s="1012"/>
      <c r="Z109" s="1405"/>
      <c r="AA109" s="167"/>
      <c r="AB109" s="503" t="str">
        <f>AB107&amp;".2"</f>
        <v>15.2</v>
      </c>
      <c r="AC109" s="223" t="s">
        <v>1445</v>
      </c>
      <c r="AD109" s="242" t="s">
        <v>1446</v>
      </c>
      <c r="AE109" s="1185">
        <v>46.46</v>
      </c>
      <c r="AF109" s="470"/>
      <c r="AG109" s="470"/>
      <c r="AH109" s="470"/>
      <c r="AI109" s="1185">
        <v>50.92</v>
      </c>
      <c r="AJ109" s="471">
        <f t="shared" ref="AJ109:AS109" ca="1" si="59">MIN(AI111,AJ113)</f>
        <v>57.03</v>
      </c>
      <c r="AK109" s="1181">
        <f t="shared" ca="1" si="59"/>
        <v>0</v>
      </c>
      <c r="AL109" s="1181">
        <f t="shared" ca="1" si="59"/>
        <v>0</v>
      </c>
      <c r="AM109" s="1185">
        <f t="shared" ca="1" si="59"/>
        <v>0</v>
      </c>
      <c r="AN109" s="1185">
        <f t="shared" ca="1" si="59"/>
        <v>0</v>
      </c>
      <c r="AO109" s="1185">
        <f t="shared" ca="1" si="59"/>
        <v>0</v>
      </c>
      <c r="AP109" s="1185">
        <f t="shared" ca="1" si="59"/>
        <v>0</v>
      </c>
      <c r="AQ109" s="1185">
        <f t="shared" ca="1" si="59"/>
        <v>0</v>
      </c>
      <c r="AR109" s="1185">
        <f t="shared" ca="1" si="59"/>
        <v>0</v>
      </c>
      <c r="AS109" s="1185">
        <f t="shared" ca="1" si="59"/>
        <v>0</v>
      </c>
      <c r="AT109" s="471">
        <f ca="1">MIN(AI111,AT113)</f>
        <v>57.03</v>
      </c>
      <c r="AU109" s="1181">
        <f t="shared" ref="AU109:BC109" ca="1" si="60">MIN(AT111,AU113)</f>
        <v>0</v>
      </c>
      <c r="AV109" s="1181">
        <f t="shared" ca="1" si="60"/>
        <v>0</v>
      </c>
      <c r="AW109" s="1185">
        <f t="shared" ca="1" si="60"/>
        <v>0</v>
      </c>
      <c r="AX109" s="1185">
        <f t="shared" ca="1" si="60"/>
        <v>0</v>
      </c>
      <c r="AY109" s="1185">
        <f t="shared" ca="1" si="60"/>
        <v>0</v>
      </c>
      <c r="AZ109" s="1185">
        <f t="shared" ca="1" si="60"/>
        <v>0</v>
      </c>
      <c r="BA109" s="1185">
        <f t="shared" ca="1" si="60"/>
        <v>0</v>
      </c>
      <c r="BB109" s="1185">
        <f t="shared" ca="1" si="60"/>
        <v>0</v>
      </c>
      <c r="BC109" s="1185">
        <f t="shared" ca="1" si="60"/>
        <v>0</v>
      </c>
      <c r="BD109" s="294"/>
      <c r="BE109" s="294"/>
      <c r="BF109" s="294"/>
      <c r="BG109" s="294"/>
      <c r="BH109" s="294"/>
      <c r="BI109" s="294"/>
      <c r="BJ109" s="294"/>
      <c r="BK109" s="294"/>
      <c r="BL109" s="294"/>
      <c r="BM109" s="294"/>
      <c r="BN109" s="1106"/>
      <c r="BO109" s="1106"/>
      <c r="BP109" s="1106"/>
      <c r="BQ109" s="167"/>
      <c r="BR109" s="167"/>
      <c r="BS109" s="944" t="s">
        <v>1447</v>
      </c>
      <c r="BT109" s="944"/>
      <c r="BU109" s="944"/>
      <c r="BV109" s="945"/>
      <c r="BW109" s="945"/>
    </row>
    <row r="110" spans="1:75" s="1057" customFormat="1" ht="16.5" customHeight="1">
      <c r="A110" s="165"/>
      <c r="B110" s="718"/>
      <c r="C110" s="165"/>
      <c r="D110" s="165"/>
      <c r="E110" s="623">
        <v>17.100000000000001</v>
      </c>
      <c r="F110" s="714" t="str">
        <f t="shared" ca="1" si="36"/>
        <v>1</v>
      </c>
      <c r="G110" s="130" t="s">
        <v>1448</v>
      </c>
      <c r="H110" s="167"/>
      <c r="I110" s="167"/>
      <c r="J110" s="167"/>
      <c r="K110" s="167"/>
      <c r="L110" s="167"/>
      <c r="M110" s="167"/>
      <c r="N110" s="167"/>
      <c r="O110" s="167"/>
      <c r="P110" s="167"/>
      <c r="Q110" s="130"/>
      <c r="R110" s="130"/>
      <c r="S110" s="167"/>
      <c r="T110" s="634" t="b">
        <f t="shared" ca="1" si="58"/>
        <v>1</v>
      </c>
      <c r="U110" s="1012"/>
      <c r="V110" s="1012"/>
      <c r="W110" s="1012"/>
      <c r="X110" s="1405"/>
      <c r="Y110" s="1012"/>
      <c r="Z110" s="1405"/>
      <c r="AA110" s="167"/>
      <c r="AB110" s="503" t="str">
        <f>AB107&amp;".3"</f>
        <v>15.3</v>
      </c>
      <c r="AC110" s="223" t="s">
        <v>1449</v>
      </c>
      <c r="AD110" s="479" t="s">
        <v>491</v>
      </c>
      <c r="AE110" s="469">
        <f ca="1">AE107-AE108</f>
        <v>34.417000000000002</v>
      </c>
      <c r="AF110" s="470"/>
      <c r="AG110" s="470"/>
      <c r="AH110" s="470"/>
      <c r="AI110" s="469">
        <f t="shared" ref="AI110:BC110" ca="1" si="61">AI107-AI108</f>
        <v>32.040230000000008</v>
      </c>
      <c r="AJ110" s="469">
        <f t="shared" ca="1" si="61"/>
        <v>41.835688400000002</v>
      </c>
      <c r="AK110" s="469">
        <f t="shared" ca="1" si="61"/>
        <v>0</v>
      </c>
      <c r="AL110" s="469">
        <f t="shared" ca="1" si="61"/>
        <v>0</v>
      </c>
      <c r="AM110" s="469">
        <f t="shared" ca="1" si="61"/>
        <v>0</v>
      </c>
      <c r="AN110" s="469">
        <f t="shared" ca="1" si="61"/>
        <v>0</v>
      </c>
      <c r="AO110" s="469">
        <f t="shared" ca="1" si="61"/>
        <v>0</v>
      </c>
      <c r="AP110" s="469">
        <f t="shared" ca="1" si="61"/>
        <v>0</v>
      </c>
      <c r="AQ110" s="469">
        <f t="shared" ca="1" si="61"/>
        <v>0</v>
      </c>
      <c r="AR110" s="469">
        <f t="shared" ca="1" si="61"/>
        <v>0</v>
      </c>
      <c r="AS110" s="469">
        <f t="shared" ca="1" si="61"/>
        <v>0</v>
      </c>
      <c r="AT110" s="469">
        <f t="shared" ca="1" si="61"/>
        <v>23.801000000000002</v>
      </c>
      <c r="AU110" s="469">
        <f t="shared" ca="1" si="61"/>
        <v>0</v>
      </c>
      <c r="AV110" s="469">
        <f t="shared" ca="1" si="61"/>
        <v>0</v>
      </c>
      <c r="AW110" s="469">
        <f t="shared" ca="1" si="61"/>
        <v>0</v>
      </c>
      <c r="AX110" s="469">
        <f t="shared" ca="1" si="61"/>
        <v>0</v>
      </c>
      <c r="AY110" s="469">
        <f t="shared" ca="1" si="61"/>
        <v>0</v>
      </c>
      <c r="AZ110" s="469">
        <f t="shared" ca="1" si="61"/>
        <v>0</v>
      </c>
      <c r="BA110" s="469">
        <f t="shared" ca="1" si="61"/>
        <v>0</v>
      </c>
      <c r="BB110" s="469">
        <f t="shared" ca="1" si="61"/>
        <v>0</v>
      </c>
      <c r="BC110" s="469">
        <f t="shared" ca="1" si="61"/>
        <v>0</v>
      </c>
      <c r="BD110" s="294"/>
      <c r="BE110" s="294"/>
      <c r="BF110" s="294"/>
      <c r="BG110" s="294"/>
      <c r="BH110" s="294"/>
      <c r="BI110" s="294"/>
      <c r="BJ110" s="294"/>
      <c r="BK110" s="294"/>
      <c r="BL110" s="294"/>
      <c r="BM110" s="294"/>
      <c r="BN110" s="1106"/>
      <c r="BO110" s="1106"/>
      <c r="BP110" s="1106"/>
      <c r="BQ110" s="167"/>
      <c r="BR110" s="167"/>
      <c r="BS110" s="944" t="s">
        <v>1450</v>
      </c>
      <c r="BT110" s="944"/>
      <c r="BU110" s="944"/>
      <c r="BV110" s="945"/>
      <c r="BW110" s="945"/>
    </row>
    <row r="111" spans="1:75" s="1057" customFormat="1" ht="16.5" customHeight="1">
      <c r="A111" s="165"/>
      <c r="B111" s="718"/>
      <c r="C111" s="165"/>
      <c r="D111" s="165"/>
      <c r="E111" s="623">
        <v>17.100000000000001</v>
      </c>
      <c r="F111" s="714" t="str">
        <f t="shared" ca="1" si="36"/>
        <v>1</v>
      </c>
      <c r="G111" s="130" t="s">
        <v>1451</v>
      </c>
      <c r="H111" s="167"/>
      <c r="I111" s="167"/>
      <c r="J111" s="167"/>
      <c r="K111" s="167"/>
      <c r="L111" s="167"/>
      <c r="M111" s="167"/>
      <c r="N111" s="167"/>
      <c r="O111" s="167"/>
      <c r="P111" s="167"/>
      <c r="Q111" s="130"/>
      <c r="R111" s="130"/>
      <c r="S111" s="167"/>
      <c r="T111" s="634" t="b">
        <f t="shared" ca="1" si="58"/>
        <v>1</v>
      </c>
      <c r="U111" s="1012"/>
      <c r="V111" s="1012"/>
      <c r="W111" s="1012"/>
      <c r="X111" s="1405"/>
      <c r="Y111" s="1012"/>
      <c r="Z111" s="1405"/>
      <c r="AA111" s="167"/>
      <c r="AB111" s="503" t="str">
        <f>AB107&amp;".4"</f>
        <v>15.4</v>
      </c>
      <c r="AC111" s="223" t="s">
        <v>1452</v>
      </c>
      <c r="AD111" s="242" t="s">
        <v>1446</v>
      </c>
      <c r="AE111" s="1185">
        <v>50.92</v>
      </c>
      <c r="AF111" s="470"/>
      <c r="AG111" s="470"/>
      <c r="AH111" s="470"/>
      <c r="AI111" s="1185">
        <v>57.03</v>
      </c>
      <c r="AJ111" s="471">
        <f t="shared" ref="AJ111:BC111" ca="1" si="62">IFERROR((AJ104-AJ108*AJ109)/AJ110,0)</f>
        <v>62.37317895913958</v>
      </c>
      <c r="AK111" s="1181">
        <f t="shared" ca="1" si="62"/>
        <v>0</v>
      </c>
      <c r="AL111" s="1181">
        <f t="shared" ca="1" si="62"/>
        <v>0</v>
      </c>
      <c r="AM111" s="1185">
        <f t="shared" ca="1" si="62"/>
        <v>0</v>
      </c>
      <c r="AN111" s="1185">
        <f t="shared" ca="1" si="62"/>
        <v>0</v>
      </c>
      <c r="AO111" s="1185">
        <f t="shared" ca="1" si="62"/>
        <v>0</v>
      </c>
      <c r="AP111" s="1185">
        <f t="shared" ca="1" si="62"/>
        <v>0</v>
      </c>
      <c r="AQ111" s="1185">
        <f t="shared" ca="1" si="62"/>
        <v>0</v>
      </c>
      <c r="AR111" s="1185">
        <f t="shared" ca="1" si="62"/>
        <v>0</v>
      </c>
      <c r="AS111" s="1185">
        <f t="shared" ca="1" si="62"/>
        <v>0</v>
      </c>
      <c r="AT111" s="471">
        <f t="shared" ca="1" si="62"/>
        <v>63.870014411159183</v>
      </c>
      <c r="AU111" s="1181">
        <f t="shared" ca="1" si="62"/>
        <v>0</v>
      </c>
      <c r="AV111" s="1181">
        <f t="shared" ca="1" si="62"/>
        <v>0</v>
      </c>
      <c r="AW111" s="1185">
        <f t="shared" ca="1" si="62"/>
        <v>0</v>
      </c>
      <c r="AX111" s="1185">
        <f t="shared" ca="1" si="62"/>
        <v>0</v>
      </c>
      <c r="AY111" s="1185">
        <f t="shared" ca="1" si="62"/>
        <v>0</v>
      </c>
      <c r="AZ111" s="1185">
        <f t="shared" ca="1" si="62"/>
        <v>0</v>
      </c>
      <c r="BA111" s="1185">
        <f t="shared" ca="1" si="62"/>
        <v>0</v>
      </c>
      <c r="BB111" s="1185">
        <f t="shared" ca="1" si="62"/>
        <v>0</v>
      </c>
      <c r="BC111" s="1185">
        <f t="shared" ca="1" si="62"/>
        <v>0</v>
      </c>
      <c r="BD111" s="294"/>
      <c r="BE111" s="294"/>
      <c r="BF111" s="294"/>
      <c r="BG111" s="294"/>
      <c r="BH111" s="294"/>
      <c r="BI111" s="294"/>
      <c r="BJ111" s="294"/>
      <c r="BK111" s="294"/>
      <c r="BL111" s="294"/>
      <c r="BM111" s="294"/>
      <c r="BN111" s="1106"/>
      <c r="BO111" s="1106"/>
      <c r="BP111" s="1106"/>
      <c r="BQ111" s="167"/>
      <c r="BR111" s="167"/>
      <c r="BS111" s="944" t="s">
        <v>1453</v>
      </c>
      <c r="BT111" s="944"/>
      <c r="BU111" s="944"/>
      <c r="BV111" s="945"/>
      <c r="BW111" s="945"/>
    </row>
    <row r="112" spans="1:75" s="1057" customFormat="1" ht="16.5" customHeight="1">
      <c r="A112" s="165"/>
      <c r="B112" s="718"/>
      <c r="C112" s="165"/>
      <c r="D112" s="165"/>
      <c r="E112" s="623">
        <v>17.100000000000001</v>
      </c>
      <c r="F112" s="714" t="str">
        <f t="shared" ca="1" si="36"/>
        <v>1</v>
      </c>
      <c r="G112" s="167"/>
      <c r="H112" s="167"/>
      <c r="I112" s="167"/>
      <c r="J112" s="167"/>
      <c r="K112" s="167"/>
      <c r="L112" s="167"/>
      <c r="M112" s="167"/>
      <c r="N112" s="167"/>
      <c r="O112" s="167"/>
      <c r="P112" s="167"/>
      <c r="Q112" s="130"/>
      <c r="R112" s="130"/>
      <c r="S112" s="167"/>
      <c r="T112" s="634" t="b">
        <f t="shared" ca="1" si="58"/>
        <v>1</v>
      </c>
      <c r="U112" s="1012"/>
      <c r="V112" s="1012"/>
      <c r="W112" s="1012"/>
      <c r="X112" s="1405"/>
      <c r="Y112" s="1012"/>
      <c r="Z112" s="1405"/>
      <c r="AA112" s="167"/>
      <c r="AB112" s="503" t="str">
        <f>AB107&amp;".5"</f>
        <v>15.5</v>
      </c>
      <c r="AC112" s="245" t="s">
        <v>1454</v>
      </c>
      <c r="AD112" s="242" t="s">
        <v>388</v>
      </c>
      <c r="AE112" s="505">
        <f>IFERROR(AE111/AE109,0)</f>
        <v>1.0959965561773568</v>
      </c>
      <c r="AF112" s="470"/>
      <c r="AG112" s="470"/>
      <c r="AH112" s="470"/>
      <c r="AI112" s="505">
        <f t="shared" ref="AI112:BC112" si="63">IFERROR(AI111/AI109,0)</f>
        <v>1.1199921445404557</v>
      </c>
      <c r="AJ112" s="505">
        <f t="shared" ca="1" si="63"/>
        <v>1.0936906708598908</v>
      </c>
      <c r="AK112" s="505">
        <f t="shared" ca="1" si="63"/>
        <v>0</v>
      </c>
      <c r="AL112" s="505">
        <f t="shared" ca="1" si="63"/>
        <v>0</v>
      </c>
      <c r="AM112" s="505">
        <f t="shared" ca="1" si="63"/>
        <v>0</v>
      </c>
      <c r="AN112" s="505">
        <f t="shared" ca="1" si="63"/>
        <v>0</v>
      </c>
      <c r="AO112" s="505">
        <f t="shared" ca="1" si="63"/>
        <v>0</v>
      </c>
      <c r="AP112" s="505">
        <f t="shared" ca="1" si="63"/>
        <v>0</v>
      </c>
      <c r="AQ112" s="505">
        <f t="shared" ca="1" si="63"/>
        <v>0</v>
      </c>
      <c r="AR112" s="505">
        <f t="shared" ca="1" si="63"/>
        <v>0</v>
      </c>
      <c r="AS112" s="505">
        <f t="shared" ca="1" si="63"/>
        <v>0</v>
      </c>
      <c r="AT112" s="505">
        <f t="shared" ca="1" si="63"/>
        <v>1.1199371280231314</v>
      </c>
      <c r="AU112" s="505">
        <f t="shared" ca="1" si="63"/>
        <v>0</v>
      </c>
      <c r="AV112" s="505">
        <f t="shared" ca="1" si="63"/>
        <v>0</v>
      </c>
      <c r="AW112" s="505">
        <f t="shared" ca="1" si="63"/>
        <v>0</v>
      </c>
      <c r="AX112" s="505">
        <f t="shared" ca="1" si="63"/>
        <v>0</v>
      </c>
      <c r="AY112" s="505">
        <f t="shared" ca="1" si="63"/>
        <v>0</v>
      </c>
      <c r="AZ112" s="505">
        <f t="shared" ca="1" si="63"/>
        <v>0</v>
      </c>
      <c r="BA112" s="505">
        <f t="shared" ca="1" si="63"/>
        <v>0</v>
      </c>
      <c r="BB112" s="505">
        <f t="shared" ca="1" si="63"/>
        <v>0</v>
      </c>
      <c r="BC112" s="505">
        <f t="shared" ca="1" si="63"/>
        <v>0</v>
      </c>
      <c r="BD112" s="294"/>
      <c r="BE112" s="294"/>
      <c r="BF112" s="294"/>
      <c r="BG112" s="294"/>
      <c r="BH112" s="294"/>
      <c r="BI112" s="294"/>
      <c r="BJ112" s="294"/>
      <c r="BK112" s="294"/>
      <c r="BL112" s="294"/>
      <c r="BM112" s="294"/>
      <c r="BN112" s="1106"/>
      <c r="BO112" s="1106"/>
      <c r="BP112" s="1106"/>
      <c r="BQ112" s="167"/>
      <c r="BR112" s="167"/>
      <c r="BS112" s="944" t="s">
        <v>1455</v>
      </c>
      <c r="BT112" s="944"/>
      <c r="BU112" s="944"/>
      <c r="BV112" s="945"/>
      <c r="BW112" s="945"/>
    </row>
    <row r="113" spans="1:75" s="1057" customFormat="1" ht="16.5" customHeight="1">
      <c r="A113" s="165"/>
      <c r="B113" s="718"/>
      <c r="C113" s="165"/>
      <c r="D113" s="165"/>
      <c r="E113" s="623">
        <v>17.100000000000001</v>
      </c>
      <c r="F113" s="714" t="str">
        <f t="shared" ca="1" si="36"/>
        <v>1</v>
      </c>
      <c r="G113" s="167"/>
      <c r="H113" s="167"/>
      <c r="I113" s="167"/>
      <c r="J113" s="167"/>
      <c r="K113" s="167"/>
      <c r="L113" s="167"/>
      <c r="M113" s="167"/>
      <c r="N113" s="167"/>
      <c r="O113" s="167"/>
      <c r="P113" s="167"/>
      <c r="Q113" s="130"/>
      <c r="R113" s="130"/>
      <c r="S113" s="167"/>
      <c r="T113" s="634" t="b">
        <f t="shared" ca="1" si="58"/>
        <v>1</v>
      </c>
      <c r="U113" s="1012"/>
      <c r="V113" s="1012"/>
      <c r="W113" s="1012"/>
      <c r="X113" s="1405"/>
      <c r="Y113" s="1012"/>
      <c r="Z113" s="1405"/>
      <c r="AA113" s="167"/>
      <c r="AB113" s="503" t="str">
        <f>AB107&amp;".6"</f>
        <v>15.6</v>
      </c>
      <c r="AC113" s="245" t="s">
        <v>1456</v>
      </c>
      <c r="AD113" s="242" t="s">
        <v>1446</v>
      </c>
      <c r="AE113" s="469">
        <f ca="1">IFERROR(AE104/AE107,0)</f>
        <v>47.361069999999998</v>
      </c>
      <c r="AF113" s="470"/>
      <c r="AG113" s="470"/>
      <c r="AH113" s="470"/>
      <c r="AI113" s="469">
        <f t="shared" ref="AI113:BC113" ca="1" si="64">IFERROR(AI104/AI107,0)</f>
        <v>53.617230093785956</v>
      </c>
      <c r="AJ113" s="469">
        <f t="shared" ca="1" si="64"/>
        <v>60.109808352048056</v>
      </c>
      <c r="AK113" s="469">
        <f t="shared" ca="1" si="64"/>
        <v>0</v>
      </c>
      <c r="AL113" s="469">
        <f t="shared" ca="1" si="64"/>
        <v>0</v>
      </c>
      <c r="AM113" s="469">
        <f t="shared" ca="1" si="64"/>
        <v>0</v>
      </c>
      <c r="AN113" s="469">
        <f t="shared" ca="1" si="64"/>
        <v>0</v>
      </c>
      <c r="AO113" s="469">
        <f t="shared" ca="1" si="64"/>
        <v>0</v>
      </c>
      <c r="AP113" s="469">
        <f t="shared" ca="1" si="64"/>
        <v>0</v>
      </c>
      <c r="AQ113" s="469">
        <f t="shared" ca="1" si="64"/>
        <v>0</v>
      </c>
      <c r="AR113" s="469">
        <f t="shared" ca="1" si="64"/>
        <v>0</v>
      </c>
      <c r="AS113" s="469">
        <f t="shared" ca="1" si="64"/>
        <v>0</v>
      </c>
      <c r="AT113" s="469">
        <f t="shared" ca="1" si="64"/>
        <v>59.272999999999996</v>
      </c>
      <c r="AU113" s="469">
        <f t="shared" ca="1" si="64"/>
        <v>0</v>
      </c>
      <c r="AV113" s="469">
        <f t="shared" ca="1" si="64"/>
        <v>0</v>
      </c>
      <c r="AW113" s="469">
        <f t="shared" ca="1" si="64"/>
        <v>0</v>
      </c>
      <c r="AX113" s="469">
        <f t="shared" ca="1" si="64"/>
        <v>0</v>
      </c>
      <c r="AY113" s="469">
        <f t="shared" ca="1" si="64"/>
        <v>0</v>
      </c>
      <c r="AZ113" s="469">
        <f t="shared" ca="1" si="64"/>
        <v>0</v>
      </c>
      <c r="BA113" s="469">
        <f t="shared" ca="1" si="64"/>
        <v>0</v>
      </c>
      <c r="BB113" s="469">
        <f t="shared" ca="1" si="64"/>
        <v>0</v>
      </c>
      <c r="BC113" s="469">
        <f t="shared" ca="1" si="64"/>
        <v>0</v>
      </c>
      <c r="BD113" s="294"/>
      <c r="BE113" s="294"/>
      <c r="BF113" s="294"/>
      <c r="BG113" s="294"/>
      <c r="BH113" s="294"/>
      <c r="BI113" s="294"/>
      <c r="BJ113" s="294"/>
      <c r="BK113" s="294"/>
      <c r="BL113" s="294"/>
      <c r="BM113" s="294"/>
      <c r="BN113" s="1106"/>
      <c r="BO113" s="1106"/>
      <c r="BP113" s="1106"/>
      <c r="BQ113" s="167"/>
      <c r="BR113" s="167"/>
      <c r="BS113" s="944" t="s">
        <v>1457</v>
      </c>
      <c r="BT113" s="944"/>
      <c r="BU113" s="944"/>
      <c r="BV113" s="945"/>
      <c r="BW113" s="945"/>
    </row>
    <row r="114" spans="1:75" s="1057" customFormat="1" ht="29.25" customHeight="1">
      <c r="A114" s="165"/>
      <c r="B114" s="718"/>
      <c r="C114" s="165"/>
      <c r="D114" s="165"/>
      <c r="E114" s="623">
        <v>30</v>
      </c>
      <c r="F114" s="714" t="str">
        <f t="shared" ca="1" si="36"/>
        <v>1</v>
      </c>
      <c r="G114" s="167"/>
      <c r="H114" s="167"/>
      <c r="I114" s="167"/>
      <c r="J114" s="167"/>
      <c r="K114" s="167"/>
      <c r="L114" s="167"/>
      <c r="M114" s="167"/>
      <c r="N114" s="167"/>
      <c r="O114" s="167"/>
      <c r="P114" s="167"/>
      <c r="Q114" s="130"/>
      <c r="R114" s="130"/>
      <c r="S114" s="167"/>
      <c r="T114" s="634" t="b">
        <f ca="1">T104</f>
        <v>1</v>
      </c>
      <c r="U114" s="1012"/>
      <c r="V114" s="1012"/>
      <c r="W114" s="1012"/>
      <c r="X114" s="1405"/>
      <c r="Y114" s="1012"/>
      <c r="Z114" s="1405"/>
      <c r="AA114" s="167"/>
      <c r="AB114" s="222" t="s">
        <v>1458</v>
      </c>
      <c r="AC114" s="805" t="s">
        <v>1459</v>
      </c>
      <c r="AD114" s="446" t="s">
        <v>837</v>
      </c>
      <c r="AE114" s="1142"/>
      <c r="AF114" s="1142"/>
      <c r="AG114" s="1209"/>
      <c r="AH114" s="293">
        <f>AG114-AF114</f>
        <v>0</v>
      </c>
      <c r="AI114" s="1210"/>
      <c r="AJ114" s="806"/>
      <c r="AK114" s="1201"/>
      <c r="AL114" s="1201"/>
      <c r="AM114" s="1210"/>
      <c r="AN114" s="1210"/>
      <c r="AO114" s="1210"/>
      <c r="AP114" s="1210"/>
      <c r="AQ114" s="1210"/>
      <c r="AR114" s="1210"/>
      <c r="AS114" s="1210"/>
      <c r="AT114" s="806"/>
      <c r="AU114" s="1201"/>
      <c r="AV114" s="1201"/>
      <c r="AW114" s="1210"/>
      <c r="AX114" s="1210"/>
      <c r="AY114" s="1210"/>
      <c r="AZ114" s="1210"/>
      <c r="BA114" s="1210"/>
      <c r="BB114" s="1210"/>
      <c r="BC114" s="1210"/>
      <c r="BD114" s="293">
        <f>IF(AI114=0,0,(AT114-AI114)/AI114*100)</f>
        <v>0</v>
      </c>
      <c r="BE114" s="293">
        <f t="shared" ref="BE114:BM114" si="65">IF(AT114=0,0,(AU114-AT114)/AT114*100)</f>
        <v>0</v>
      </c>
      <c r="BF114" s="293">
        <f t="shared" si="65"/>
        <v>0</v>
      </c>
      <c r="BG114" s="293">
        <f t="shared" si="65"/>
        <v>0</v>
      </c>
      <c r="BH114" s="293">
        <f t="shared" si="65"/>
        <v>0</v>
      </c>
      <c r="BI114" s="293">
        <f t="shared" si="65"/>
        <v>0</v>
      </c>
      <c r="BJ114" s="293">
        <f t="shared" si="65"/>
        <v>0</v>
      </c>
      <c r="BK114" s="293">
        <f t="shared" si="65"/>
        <v>0</v>
      </c>
      <c r="BL114" s="293">
        <f t="shared" si="65"/>
        <v>0</v>
      </c>
      <c r="BM114" s="293">
        <f t="shared" si="65"/>
        <v>0</v>
      </c>
      <c r="BN114" s="1106"/>
      <c r="BO114" s="1106"/>
      <c r="BP114" s="1106"/>
      <c r="BQ114" s="167"/>
      <c r="BR114" s="167"/>
      <c r="BS114" s="944" t="s">
        <v>1460</v>
      </c>
      <c r="BT114" s="944"/>
      <c r="BU114" s="944"/>
      <c r="BV114" s="945"/>
      <c r="BW114" s="945"/>
    </row>
    <row r="115" spans="1:75" ht="9.9499999999999993" customHeight="1">
      <c r="E115" s="623">
        <v>10.199999999999999</v>
      </c>
      <c r="U115" s="116" t="s">
        <v>172</v>
      </c>
      <c r="V115" s="109" t="s">
        <v>1461</v>
      </c>
    </row>
    <row r="116" spans="1:75" ht="11.25" hidden="1" customHeight="1">
      <c r="E116" s="623">
        <v>0</v>
      </c>
    </row>
    <row r="117" spans="1:75" ht="14.65" customHeight="1">
      <c r="E117" s="623">
        <v>15</v>
      </c>
      <c r="AB117" s="1476" t="s">
        <v>557</v>
      </c>
      <c r="AC117" s="1476"/>
      <c r="AD117" s="1476"/>
      <c r="AE117" s="1476"/>
      <c r="AF117" s="1476"/>
      <c r="AG117" s="1476"/>
      <c r="AH117" s="1476"/>
      <c r="AI117" s="1476"/>
      <c r="AJ117" s="1476"/>
      <c r="AK117" s="1476"/>
      <c r="AL117" s="1476"/>
      <c r="AM117" s="1476"/>
      <c r="AN117" s="1476"/>
      <c r="AO117" s="1476"/>
      <c r="AP117" s="1476"/>
      <c r="AQ117" s="1476"/>
      <c r="AR117" s="1476"/>
      <c r="AS117" s="1476"/>
      <c r="AT117" s="1476"/>
      <c r="AU117" s="1476"/>
      <c r="AV117" s="1476"/>
      <c r="AW117" s="1476"/>
      <c r="AX117" s="1476"/>
      <c r="AY117" s="1476"/>
      <c r="AZ117" s="1476"/>
      <c r="BA117" s="1476"/>
      <c r="BB117" s="1476"/>
      <c r="BC117" s="1476"/>
      <c r="BD117" s="1476"/>
      <c r="BE117" s="1476"/>
      <c r="BF117" s="1476"/>
      <c r="BG117" s="1476"/>
      <c r="BH117" s="1476"/>
      <c r="BI117" s="1476"/>
      <c r="BJ117" s="1476"/>
      <c r="BK117" s="1476"/>
      <c r="BL117" s="1476"/>
      <c r="BM117" s="1476"/>
      <c r="BN117" s="1476"/>
      <c r="BO117" s="1476"/>
      <c r="BP117" s="1476"/>
    </row>
    <row r="118" spans="1:75" ht="14.65" customHeight="1">
      <c r="E118" s="623">
        <v>15</v>
      </c>
      <c r="AA118" s="713"/>
      <c r="AB118" s="1500"/>
      <c r="AC118" s="1495"/>
      <c r="AD118" s="1495"/>
      <c r="AE118" s="1495"/>
      <c r="AF118" s="1495"/>
      <c r="AG118" s="1495"/>
      <c r="AH118" s="1495"/>
      <c r="AI118" s="1495"/>
      <c r="AJ118" s="1495"/>
      <c r="AK118" s="1495"/>
      <c r="AL118" s="1495"/>
      <c r="AM118" s="1495"/>
      <c r="AN118" s="1495"/>
      <c r="AO118" s="1495"/>
      <c r="AP118" s="1495"/>
      <c r="AQ118" s="1495"/>
      <c r="AR118" s="1495"/>
      <c r="AS118" s="1495"/>
      <c r="AT118" s="1495"/>
      <c r="AU118" s="1495"/>
      <c r="AV118" s="1495"/>
      <c r="AW118" s="1495"/>
      <c r="AX118" s="1495"/>
      <c r="AY118" s="1495"/>
      <c r="AZ118" s="1495"/>
      <c r="BA118" s="1495"/>
      <c r="BB118" s="1495"/>
      <c r="BC118" s="1495"/>
      <c r="BD118" s="1495"/>
      <c r="BE118" s="1495"/>
      <c r="BF118" s="1495"/>
      <c r="BG118" s="1495"/>
      <c r="BH118" s="1495"/>
      <c r="BI118" s="1495"/>
      <c r="BJ118" s="1495"/>
      <c r="BK118" s="1495"/>
      <c r="BL118" s="1495"/>
      <c r="BM118" s="1495"/>
      <c r="BN118" s="1495"/>
      <c r="BO118" s="1495"/>
      <c r="BP118" s="1495"/>
    </row>
    <row r="119" spans="1:75" ht="14.65" hidden="1" customHeight="1">
      <c r="E119" s="623">
        <v>15</v>
      </c>
      <c r="T119" s="634" t="b">
        <f>ROW(W119)&gt;ROW(W$119)</f>
        <v>0</v>
      </c>
      <c r="W119" s="113" t="s">
        <v>170</v>
      </c>
      <c r="AA119" s="709" t="s">
        <v>157</v>
      </c>
      <c r="AB119" s="1494"/>
      <c r="AC119" s="1495"/>
      <c r="AD119" s="1495"/>
      <c r="AE119" s="1495"/>
      <c r="AF119" s="1495"/>
      <c r="AG119" s="1495"/>
      <c r="AH119" s="1495"/>
      <c r="AI119" s="1495"/>
      <c r="AJ119" s="1495"/>
      <c r="AK119" s="1495"/>
      <c r="AL119" s="1495"/>
      <c r="AM119" s="1495"/>
      <c r="AN119" s="1495"/>
      <c r="AO119" s="1495"/>
      <c r="AP119" s="1495"/>
      <c r="AQ119" s="1495"/>
      <c r="AR119" s="1495"/>
      <c r="AS119" s="1495"/>
      <c r="AT119" s="1495"/>
      <c r="AU119" s="1495"/>
      <c r="AV119" s="1495"/>
      <c r="AW119" s="1495"/>
      <c r="AX119" s="1495"/>
      <c r="AY119" s="1495"/>
      <c r="AZ119" s="1495"/>
      <c r="BA119" s="1495"/>
      <c r="BB119" s="1495"/>
      <c r="BC119" s="1495"/>
      <c r="BD119" s="1495"/>
      <c r="BE119" s="1495"/>
      <c r="BF119" s="1495"/>
      <c r="BG119" s="1495"/>
      <c r="BH119" s="1495"/>
      <c r="BI119" s="1495"/>
      <c r="BJ119" s="1495"/>
      <c r="BK119" s="1495"/>
      <c r="BL119" s="1495"/>
      <c r="BM119" s="1495"/>
      <c r="BN119" s="1495"/>
      <c r="BO119" s="1495"/>
      <c r="BP119" s="1495"/>
    </row>
    <row r="120" spans="1:75" ht="14.65" customHeight="1">
      <c r="E120" s="623">
        <v>15</v>
      </c>
      <c r="W120" s="109" t="s">
        <v>171</v>
      </c>
      <c r="AA120" s="150"/>
      <c r="AB120" s="1420" t="s">
        <v>558</v>
      </c>
      <c r="AC120" s="1421"/>
      <c r="AD120" s="299"/>
      <c r="AE120" s="299"/>
      <c r="AF120" s="299"/>
      <c r="AG120" s="299"/>
      <c r="AH120" s="299"/>
      <c r="AI120" s="299"/>
      <c r="AJ120" s="299"/>
      <c r="AK120" s="299"/>
      <c r="AL120" s="299"/>
      <c r="AM120" s="299"/>
      <c r="AN120" s="299"/>
      <c r="AO120" s="299"/>
      <c r="AP120" s="299"/>
      <c r="AQ120" s="299"/>
      <c r="AR120" s="299"/>
      <c r="AS120" s="299"/>
      <c r="AT120" s="299"/>
      <c r="AU120" s="299"/>
      <c r="AV120" s="299"/>
      <c r="AW120" s="299"/>
      <c r="AX120" s="299"/>
      <c r="AY120" s="299"/>
      <c r="AZ120" s="299"/>
      <c r="BA120" s="299"/>
      <c r="BB120" s="299"/>
      <c r="BC120" s="299"/>
      <c r="BD120" s="299"/>
      <c r="BE120" s="299"/>
      <c r="BF120" s="299"/>
      <c r="BG120" s="299"/>
      <c r="BH120" s="299"/>
      <c r="BI120" s="299"/>
      <c r="BJ120" s="299"/>
      <c r="BK120" s="299"/>
      <c r="BL120" s="299"/>
      <c r="BM120" s="299"/>
      <c r="BN120" s="299"/>
      <c r="BO120" s="299"/>
      <c r="BP120" s="271"/>
    </row>
  </sheetData>
  <sheetProtection formatColumns="0" formatRows="0" insertRows="0" deleteColumns="0" deleteRows="0" sort="0" autoFilter="0"/>
  <mergeCells count="15">
    <mergeCell ref="X27:X70"/>
    <mergeCell ref="Z27:Z70"/>
    <mergeCell ref="AB120:AC120"/>
    <mergeCell ref="AB118:BP118"/>
    <mergeCell ref="BP24:BP25"/>
    <mergeCell ref="BN24:BN25"/>
    <mergeCell ref="BO24:BO25"/>
    <mergeCell ref="AB117:BP117"/>
    <mergeCell ref="AB24:AB25"/>
    <mergeCell ref="AC24:AC25"/>
    <mergeCell ref="AD24:AD25"/>
    <mergeCell ref="BD25:BM25"/>
    <mergeCell ref="AB119:BP119"/>
    <mergeCell ref="X71:X114"/>
    <mergeCell ref="Z71:Z114"/>
  </mergeCell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pageSetUpPr fitToPage="1"/>
  </sheetPr>
  <dimension ref="A1:AV108"/>
  <sheetViews>
    <sheetView showGridLines="0" workbookViewId="0">
      <pane xSplit="30" ySplit="25" topLeftCell="AE26" activePane="bottomRight" state="frozen"/>
      <selection pane="topRight" activeCell="AE1" sqref="AE1"/>
      <selection pane="bottomLeft" activeCell="A26" sqref="A26"/>
      <selection pane="bottomRight" activeCell="AA21" sqref="AA21"/>
    </sheetView>
  </sheetViews>
  <sheetFormatPr defaultColWidth="9.140625" defaultRowHeight="11.25" customHeight="1"/>
  <cols>
    <col min="1" max="1" width="3.5703125" style="993" hidden="1" customWidth="1"/>
    <col min="2" max="2" width="8.5703125" style="718" hidden="1" customWidth="1"/>
    <col min="3" max="4" width="3.5703125" style="165" hidden="1" customWidth="1"/>
    <col min="5" max="5" width="8.42578125" style="717" hidden="1" customWidth="1"/>
    <col min="6" max="6" width="6.42578125" style="165" hidden="1" customWidth="1"/>
    <col min="7" max="16" width="3.5703125" style="167" hidden="1" customWidth="1"/>
    <col min="17" max="17" width="3.5703125" style="130" hidden="1" customWidth="1"/>
    <col min="18" max="18" width="22.85546875" style="130" hidden="1" customWidth="1"/>
    <col min="19" max="19" width="3.5703125" style="167" hidden="1" customWidth="1"/>
    <col min="20" max="20" width="8.28515625" style="1012" hidden="1" customWidth="1"/>
    <col min="21" max="21" width="6" style="1012" hidden="1" customWidth="1"/>
    <col min="22" max="23" width="6.28515625" style="1012" hidden="1" customWidth="1"/>
    <col min="24" max="25" width="5.7109375" style="1012" hidden="1" customWidth="1"/>
    <col min="26" max="26" width="5.42578125" style="1012" hidden="1" customWidth="1"/>
    <col min="27" max="27" width="3" style="167" customWidth="1"/>
    <col min="28" max="28" width="8.140625" style="165" customWidth="1"/>
    <col min="29" max="29" width="70.140625" style="166" customWidth="1"/>
    <col min="30" max="30" width="14.42578125" style="165" customWidth="1"/>
    <col min="31" max="33" width="12.5703125" style="167" customWidth="1"/>
    <col min="34" max="34" width="19.140625" style="167" customWidth="1"/>
    <col min="35" max="37" width="12.5703125" style="167" customWidth="1"/>
    <col min="38" max="38" width="36" style="167" customWidth="1"/>
    <col min="39" max="39" width="19" style="167" customWidth="1"/>
    <col min="40" max="40" width="17.28515625" style="167" customWidth="1"/>
    <col min="41" max="41" width="31.28515625" style="167" customWidth="1"/>
    <col min="42" max="42" width="3" style="167" customWidth="1"/>
    <col min="43" max="43" width="9.140625" style="167" hidden="1"/>
    <col min="44" max="46" width="9.140625" style="946" hidden="1"/>
    <col min="47" max="48" width="9.140625" style="966" hidden="1"/>
  </cols>
  <sheetData>
    <row r="1" spans="1:48" s="1012" customFormat="1" ht="12" hidden="1" customHeight="1">
      <c r="A1" s="988"/>
      <c r="B1" s="614"/>
      <c r="E1" s="614"/>
      <c r="F1" s="634" t="s">
        <v>77</v>
      </c>
      <c r="G1" s="150"/>
      <c r="H1" s="150"/>
      <c r="I1" s="150"/>
      <c r="J1" s="150"/>
      <c r="K1" s="150"/>
      <c r="L1" s="150"/>
      <c r="M1" s="150"/>
      <c r="N1" s="150"/>
      <c r="O1" s="150"/>
      <c r="P1" s="150"/>
      <c r="Q1" s="566"/>
      <c r="R1" s="566"/>
      <c r="S1" s="150"/>
      <c r="T1" s="634" t="s">
        <v>78</v>
      </c>
      <c r="U1" s="634" t="s">
        <v>83</v>
      </c>
      <c r="V1" s="634" t="s">
        <v>79</v>
      </c>
      <c r="W1" s="634" t="s">
        <v>80</v>
      </c>
      <c r="X1" s="634" t="s">
        <v>81</v>
      </c>
      <c r="Y1" s="735" t="s">
        <v>274</v>
      </c>
      <c r="Z1" s="634" t="s">
        <v>85</v>
      </c>
      <c r="AA1" s="735" t="s">
        <v>82</v>
      </c>
      <c r="AB1" s="735" t="s">
        <v>84</v>
      </c>
      <c r="AC1" s="735" t="s">
        <v>84</v>
      </c>
      <c r="AR1" s="891" t="s">
        <v>275</v>
      </c>
      <c r="AS1" s="891" t="s">
        <v>276</v>
      </c>
      <c r="AT1" s="891" t="s">
        <v>277</v>
      </c>
      <c r="AU1" s="633" t="s">
        <v>280</v>
      </c>
      <c r="AV1" s="633" t="s">
        <v>281</v>
      </c>
    </row>
    <row r="2" spans="1:48" s="718" customFormat="1" ht="12" hidden="1" customHeight="1">
      <c r="A2" s="990"/>
      <c r="B2" s="703" t="s">
        <v>15</v>
      </c>
      <c r="G2" s="721"/>
      <c r="H2" s="721"/>
      <c r="I2" s="721"/>
      <c r="J2" s="721"/>
      <c r="K2" s="721"/>
      <c r="L2" s="721"/>
      <c r="M2" s="721"/>
      <c r="N2" s="721"/>
      <c r="O2" s="721"/>
      <c r="P2" s="721"/>
      <c r="Q2" s="721"/>
      <c r="R2" s="721"/>
      <c r="S2" s="721"/>
      <c r="AC2" s="618"/>
      <c r="AJ2" s="635" t="b">
        <f>AJ6&lt;=last_year_vis</f>
        <v>1</v>
      </c>
      <c r="AK2" s="635" t="b">
        <f>AK6&lt;=last_year_vis</f>
        <v>1</v>
      </c>
      <c r="AL2" s="635" t="b">
        <f>AL6&lt;=last_year_vis</f>
        <v>1</v>
      </c>
      <c r="AR2" s="878"/>
      <c r="AS2" s="878"/>
      <c r="AT2" s="878"/>
      <c r="AU2" s="623"/>
      <c r="AV2" s="623"/>
    </row>
    <row r="3" spans="1:48" s="165" customFormat="1" ht="12" hidden="1" customHeight="1">
      <c r="A3" s="993"/>
      <c r="B3" s="614"/>
      <c r="E3" s="614"/>
      <c r="G3" s="167"/>
      <c r="H3" s="167"/>
      <c r="I3" s="167"/>
      <c r="J3" s="167"/>
      <c r="K3" s="167"/>
      <c r="L3" s="167"/>
      <c r="M3" s="167"/>
      <c r="N3" s="167"/>
      <c r="O3" s="167"/>
      <c r="P3" s="167"/>
      <c r="Q3" s="130"/>
      <c r="R3" s="130"/>
      <c r="S3" s="167"/>
      <c r="T3" s="113"/>
      <c r="U3" s="113"/>
      <c r="V3" s="113"/>
      <c r="W3" s="113"/>
      <c r="X3" s="113"/>
      <c r="Y3" s="113"/>
      <c r="Z3" s="113"/>
      <c r="AC3" s="169"/>
      <c r="AR3" s="943"/>
      <c r="AS3" s="943"/>
      <c r="AT3" s="943"/>
      <c r="AU3" s="965"/>
      <c r="AV3" s="965"/>
    </row>
    <row r="4" spans="1:48" s="165" customFormat="1" ht="12" hidden="1" customHeight="1">
      <c r="A4" s="993"/>
      <c r="B4" s="614"/>
      <c r="E4" s="614"/>
      <c r="G4" s="167"/>
      <c r="H4" s="167"/>
      <c r="I4" s="167"/>
      <c r="J4" s="167"/>
      <c r="K4" s="167"/>
      <c r="L4" s="167"/>
      <c r="M4" s="167"/>
      <c r="N4" s="167"/>
      <c r="O4" s="167"/>
      <c r="P4" s="167"/>
      <c r="Q4" s="130"/>
      <c r="R4" s="130"/>
      <c r="S4" s="167"/>
      <c r="T4" s="113"/>
      <c r="U4" s="113"/>
      <c r="V4" s="113"/>
      <c r="W4" s="113"/>
      <c r="X4" s="113"/>
      <c r="Y4" s="113"/>
      <c r="Z4" s="113"/>
      <c r="AC4" s="169"/>
      <c r="AR4" s="943"/>
      <c r="AS4" s="943"/>
      <c r="AT4" s="943"/>
      <c r="AU4" s="965"/>
      <c r="AV4" s="965"/>
    </row>
    <row r="5" spans="1:48" s="717" customFormat="1" ht="12" hidden="1" customHeight="1">
      <c r="A5" s="990"/>
      <c r="B5" s="614"/>
      <c r="C5" s="614"/>
      <c r="D5" s="614"/>
      <c r="E5" s="623" t="s">
        <v>16</v>
      </c>
      <c r="G5" s="722"/>
      <c r="H5" s="722"/>
      <c r="I5" s="722"/>
      <c r="J5" s="722"/>
      <c r="K5" s="722"/>
      <c r="L5" s="722"/>
      <c r="M5" s="722"/>
      <c r="N5" s="722"/>
      <c r="O5" s="722"/>
      <c r="P5" s="722"/>
      <c r="Q5" s="722"/>
      <c r="R5" s="722"/>
      <c r="S5" s="722"/>
      <c r="AA5" s="623">
        <v>3</v>
      </c>
      <c r="AB5" s="623">
        <v>8.1300000000000008</v>
      </c>
      <c r="AC5" s="629">
        <v>70.13</v>
      </c>
      <c r="AD5" s="623">
        <v>14.38</v>
      </c>
      <c r="AE5" s="623">
        <v>12.63</v>
      </c>
      <c r="AF5" s="623">
        <v>12.63</v>
      </c>
      <c r="AG5" s="623">
        <v>12.63</v>
      </c>
      <c r="AH5" s="623">
        <v>19.13</v>
      </c>
      <c r="AI5" s="623">
        <v>12.63</v>
      </c>
      <c r="AJ5" s="623">
        <v>12.63</v>
      </c>
      <c r="AK5" s="623">
        <v>12.63</v>
      </c>
      <c r="AL5" s="623">
        <v>36</v>
      </c>
      <c r="AM5" s="623">
        <v>19</v>
      </c>
      <c r="AN5" s="623">
        <v>17.25</v>
      </c>
      <c r="AO5" s="623">
        <v>31.25</v>
      </c>
      <c r="AP5" s="623">
        <v>3</v>
      </c>
      <c r="AR5" s="878"/>
      <c r="AS5" s="878"/>
      <c r="AT5" s="878"/>
    </row>
    <row r="6" spans="1:48" s="165" customFormat="1" ht="12" hidden="1" customHeight="1">
      <c r="A6" s="993"/>
      <c r="B6" s="614"/>
      <c r="E6" s="623"/>
      <c r="G6" s="167"/>
      <c r="H6" s="167"/>
      <c r="I6" s="167"/>
      <c r="J6" s="167"/>
      <c r="K6" s="167"/>
      <c r="L6" s="167"/>
      <c r="M6" s="167"/>
      <c r="N6" s="167"/>
      <c r="O6" s="167"/>
      <c r="P6" s="167"/>
      <c r="Q6" s="130"/>
      <c r="R6" s="130"/>
      <c r="S6" s="167"/>
      <c r="T6" s="113"/>
      <c r="U6" s="113"/>
      <c r="V6" s="113"/>
      <c r="W6" s="113"/>
      <c r="X6" s="113"/>
      <c r="Y6" s="113"/>
      <c r="Z6" s="113"/>
      <c r="AC6" s="169"/>
      <c r="AE6" s="165">
        <f>god-2</f>
        <v>2024</v>
      </c>
      <c r="AF6" s="165">
        <f>god-2</f>
        <v>2024</v>
      </c>
      <c r="AG6" s="165">
        <f>god-2</f>
        <v>2024</v>
      </c>
      <c r="AH6" s="165">
        <f>god-2</f>
        <v>2024</v>
      </c>
      <c r="AI6" s="113">
        <f>god-1</f>
        <v>2025</v>
      </c>
      <c r="AJ6" s="113">
        <f>god</f>
        <v>2026</v>
      </c>
      <c r="AK6" s="113">
        <f>god</f>
        <v>2026</v>
      </c>
      <c r="AL6" s="113">
        <f>god</f>
        <v>2026</v>
      </c>
      <c r="AR6" s="943"/>
      <c r="AS6" s="943"/>
      <c r="AT6" s="943"/>
      <c r="AU6" s="965"/>
      <c r="AV6" s="965"/>
    </row>
    <row r="7" spans="1:48" ht="12" hidden="1" customHeight="1">
      <c r="F7" s="167"/>
      <c r="T7" s="150"/>
      <c r="U7" s="150"/>
      <c r="V7" s="150"/>
      <c r="W7" s="150"/>
      <c r="X7" s="150"/>
      <c r="Y7" s="150"/>
      <c r="Z7" s="150"/>
      <c r="AB7" s="167"/>
      <c r="AD7" s="167"/>
      <c r="AE7" s="150" t="str">
        <f>AE25</f>
        <v>Принято органом регулирования</v>
      </c>
      <c r="AF7" s="150" t="str">
        <f>AF25</f>
        <v>Факт по данным организации</v>
      </c>
      <c r="AG7" s="150" t="str">
        <f>AG25</f>
        <v>Факт, принятый органом регулирования</v>
      </c>
      <c r="AH7" s="150" t="str">
        <f>AH25</f>
        <v>отклонение факта по данным организации к факту принятому органом регулирования</v>
      </c>
      <c r="AI7" s="150" t="str">
        <f>AI25</f>
        <v>Принято органом регулирования</v>
      </c>
      <c r="AJ7" s="150" t="str">
        <f>$AJ$25</f>
        <v>Предложение организации</v>
      </c>
      <c r="AK7" s="150" t="str">
        <f>$AK$25</f>
        <v>Принято органом регулирования</v>
      </c>
      <c r="AL7" s="150"/>
    </row>
    <row r="8" spans="1:48" ht="12" hidden="1" customHeight="1">
      <c r="F8" s="167"/>
      <c r="T8" s="150"/>
      <c r="U8" s="150"/>
      <c r="V8" s="150"/>
      <c r="W8" s="150"/>
      <c r="X8" s="150"/>
      <c r="Y8" s="150"/>
      <c r="Z8" s="150"/>
      <c r="AB8" s="167"/>
      <c r="AD8" s="167"/>
      <c r="AE8" s="150" t="str">
        <f t="shared" ref="AE8:AK8" si="0">AE6&amp;AE7</f>
        <v>2024Принято органом регулирования</v>
      </c>
      <c r="AF8" s="150" t="str">
        <f t="shared" si="0"/>
        <v>2024Факт по данным организации</v>
      </c>
      <c r="AG8" s="150" t="str">
        <f t="shared" si="0"/>
        <v>2024Факт, принятый органом регулирования</v>
      </c>
      <c r="AH8" s="150" t="str">
        <f t="shared" si="0"/>
        <v>2024отклонение факта по данным организации к факту принятому органом регулирования</v>
      </c>
      <c r="AI8" s="150" t="str">
        <f t="shared" si="0"/>
        <v>2025Принято органом регулирования</v>
      </c>
      <c r="AJ8" s="150" t="str">
        <f t="shared" si="0"/>
        <v>2026Предложение организации</v>
      </c>
      <c r="AK8" s="150" t="str">
        <f t="shared" si="0"/>
        <v>2026Принято органом регулирования</v>
      </c>
      <c r="AL8" s="150"/>
    </row>
    <row r="9" spans="1:48" s="943" customFormat="1" ht="12" hidden="1" customHeight="1">
      <c r="A9" s="890" t="s">
        <v>327</v>
      </c>
      <c r="B9" s="878"/>
      <c r="E9" s="878"/>
      <c r="G9" s="946"/>
      <c r="H9" s="946"/>
      <c r="I9" s="946"/>
      <c r="J9" s="946"/>
      <c r="K9" s="946"/>
      <c r="L9" s="946"/>
      <c r="M9" s="946"/>
      <c r="N9" s="946"/>
      <c r="O9" s="946"/>
      <c r="P9" s="946"/>
      <c r="Q9" s="925"/>
      <c r="R9" s="925"/>
      <c r="S9" s="946"/>
      <c r="T9" s="891"/>
      <c r="U9" s="891"/>
      <c r="V9" s="891"/>
      <c r="W9" s="891"/>
      <c r="X9" s="891"/>
      <c r="Y9" s="891"/>
      <c r="Z9" s="891"/>
      <c r="AC9" s="947"/>
      <c r="AE9" s="943">
        <f>god-2</f>
        <v>2024</v>
      </c>
      <c r="AF9" s="943">
        <f>god-2</f>
        <v>2024</v>
      </c>
      <c r="AG9" s="943">
        <f>god-2</f>
        <v>2024</v>
      </c>
      <c r="AH9" s="943">
        <f>god-2</f>
        <v>2024</v>
      </c>
      <c r="AI9" s="891">
        <f>god-1</f>
        <v>2025</v>
      </c>
      <c r="AJ9" s="891">
        <f>god</f>
        <v>2026</v>
      </c>
      <c r="AK9" s="891">
        <f>god</f>
        <v>2026</v>
      </c>
      <c r="AL9" s="891">
        <f>god</f>
        <v>2026</v>
      </c>
      <c r="AU9" s="965"/>
      <c r="AV9" s="965"/>
    </row>
    <row r="10" spans="1:48" s="943" customFormat="1" ht="12" hidden="1" customHeight="1">
      <c r="A10" s="890" t="s">
        <v>328</v>
      </c>
      <c r="B10" s="878"/>
      <c r="E10" s="878"/>
      <c r="G10" s="946"/>
      <c r="H10" s="946"/>
      <c r="I10" s="946"/>
      <c r="J10" s="946"/>
      <c r="K10" s="946"/>
      <c r="L10" s="946"/>
      <c r="M10" s="946"/>
      <c r="N10" s="946"/>
      <c r="O10" s="946"/>
      <c r="P10" s="946"/>
      <c r="Q10" s="925"/>
      <c r="R10" s="925"/>
      <c r="S10" s="946"/>
      <c r="T10" s="891"/>
      <c r="U10" s="891"/>
      <c r="V10" s="891"/>
      <c r="W10" s="891"/>
      <c r="X10" s="891"/>
      <c r="Y10" s="891"/>
      <c r="Z10" s="891"/>
      <c r="AC10" s="947"/>
      <c r="AE10" s="943" t="str">
        <f t="shared" ref="AE10:AL10" si="1">AE25</f>
        <v>Принято органом регулирования</v>
      </c>
      <c r="AF10" s="943" t="str">
        <f t="shared" si="1"/>
        <v>Факт по данным организации</v>
      </c>
      <c r="AG10" s="943" t="str">
        <f t="shared" si="1"/>
        <v>Факт, принятый органом регулирования</v>
      </c>
      <c r="AH10" s="943" t="str">
        <f t="shared" si="1"/>
        <v>отклонение факта по данным организации к факту принятому органом регулирования</v>
      </c>
      <c r="AI10" s="943" t="str">
        <f t="shared" si="1"/>
        <v>Принято органом регулирования</v>
      </c>
      <c r="AJ10" s="943" t="str">
        <f t="shared" si="1"/>
        <v>Предложение организации</v>
      </c>
      <c r="AK10" s="943" t="str">
        <f t="shared" si="1"/>
        <v>Принято органом регулирования</v>
      </c>
      <c r="AL10" s="943" t="str">
        <f t="shared" si="1"/>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U10" s="965"/>
      <c r="AV10" s="965"/>
    </row>
    <row r="11" spans="1:48" s="943" customFormat="1" ht="12" hidden="1" customHeight="1">
      <c r="A11" s="890" t="s">
        <v>329</v>
      </c>
      <c r="B11" s="878"/>
      <c r="E11" s="878"/>
      <c r="G11" s="946"/>
      <c r="H11" s="946"/>
      <c r="I11" s="946"/>
      <c r="J11" s="946"/>
      <c r="K11" s="946"/>
      <c r="L11" s="946"/>
      <c r="M11" s="946"/>
      <c r="N11" s="946"/>
      <c r="O11" s="946"/>
      <c r="P11" s="946"/>
      <c r="Q11" s="925"/>
      <c r="R11" s="925"/>
      <c r="S11" s="946"/>
      <c r="T11" s="891"/>
      <c r="U11" s="891"/>
      <c r="V11" s="891"/>
      <c r="W11" s="891"/>
      <c r="X11" s="891"/>
      <c r="Y11" s="891"/>
      <c r="Z11" s="891"/>
      <c r="AC11" s="947"/>
      <c r="AM11" s="943" t="str">
        <f>AM24</f>
        <v>Указание на подтверждающие документы / URL-ссылка на копии подтверждающих документов</v>
      </c>
      <c r="AN11" s="943" t="str">
        <f>AN24</f>
        <v>Ссылка на правовую норму (основание для принятия показателя в расчет тарифа)</v>
      </c>
      <c r="AO11" s="943"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U11" s="965"/>
      <c r="AV11" s="965"/>
    </row>
    <row r="12" spans="1:48" s="943" customFormat="1" ht="12" hidden="1" customHeight="1">
      <c r="A12" s="890" t="s">
        <v>286</v>
      </c>
      <c r="B12" s="878"/>
      <c r="E12" s="878"/>
      <c r="G12" s="946"/>
      <c r="H12" s="946"/>
      <c r="I12" s="946"/>
      <c r="J12" s="946"/>
      <c r="K12" s="946"/>
      <c r="L12" s="946"/>
      <c r="M12" s="946"/>
      <c r="N12" s="946"/>
      <c r="O12" s="946"/>
      <c r="P12" s="946"/>
      <c r="Q12" s="925"/>
      <c r="R12" s="925"/>
      <c r="S12" s="946"/>
      <c r="T12" s="891"/>
      <c r="U12" s="891"/>
      <c r="V12" s="891"/>
      <c r="W12" s="891"/>
      <c r="X12" s="891"/>
      <c r="Y12" s="891"/>
      <c r="Z12" s="891"/>
      <c r="AC12" s="947" t="s">
        <v>277</v>
      </c>
      <c r="AU12" s="965"/>
      <c r="AV12" s="965"/>
    </row>
    <row r="13" spans="1:48" s="165" customFormat="1" ht="12" hidden="1" customHeight="1">
      <c r="A13" s="993"/>
      <c r="B13" s="614"/>
      <c r="E13" s="623"/>
      <c r="G13" s="167"/>
      <c r="H13" s="167"/>
      <c r="I13" s="167"/>
      <c r="J13" s="167"/>
      <c r="K13" s="167"/>
      <c r="L13" s="167"/>
      <c r="M13" s="167"/>
      <c r="N13" s="167"/>
      <c r="O13" s="167"/>
      <c r="P13" s="167"/>
      <c r="Q13" s="130"/>
      <c r="R13" s="130"/>
      <c r="S13" s="167"/>
      <c r="T13" s="113"/>
      <c r="U13" s="113"/>
      <c r="V13" s="113"/>
      <c r="W13" s="113"/>
      <c r="X13" s="113"/>
      <c r="Y13" s="113"/>
      <c r="Z13" s="113"/>
      <c r="AC13" s="169"/>
      <c r="AR13" s="943"/>
      <c r="AS13" s="943"/>
      <c r="AT13" s="943"/>
      <c r="AU13" s="965"/>
      <c r="AV13" s="965"/>
    </row>
    <row r="14" spans="1:48" s="165" customFormat="1" ht="12" hidden="1" customHeight="1">
      <c r="A14" s="993"/>
      <c r="B14" s="614"/>
      <c r="E14" s="623"/>
      <c r="G14" s="167"/>
      <c r="H14" s="167"/>
      <c r="I14" s="167"/>
      <c r="J14" s="167"/>
      <c r="K14" s="167"/>
      <c r="L14" s="167"/>
      <c r="M14" s="167"/>
      <c r="N14" s="167"/>
      <c r="O14" s="167"/>
      <c r="P14" s="167"/>
      <c r="Q14" s="130"/>
      <c r="R14" s="130"/>
      <c r="S14" s="167"/>
      <c r="T14" s="113"/>
      <c r="U14" s="113"/>
      <c r="V14" s="113"/>
      <c r="W14" s="113"/>
      <c r="X14" s="113"/>
      <c r="Y14" s="113"/>
      <c r="Z14" s="113"/>
      <c r="AC14" s="169"/>
      <c r="AJ14" s="113"/>
      <c r="AK14" s="113"/>
      <c r="AL14" s="113"/>
      <c r="AR14" s="943"/>
      <c r="AS14" s="943"/>
      <c r="AT14" s="943"/>
      <c r="AU14" s="965"/>
      <c r="AV14" s="965"/>
    </row>
    <row r="15" spans="1:48" s="165" customFormat="1" ht="12" hidden="1" customHeight="1">
      <c r="A15" s="993"/>
      <c r="B15" s="614"/>
      <c r="E15" s="623"/>
      <c r="G15" s="167"/>
      <c r="H15" s="167"/>
      <c r="I15" s="167"/>
      <c r="J15" s="167"/>
      <c r="K15" s="167"/>
      <c r="L15" s="167"/>
      <c r="M15" s="167"/>
      <c r="N15" s="167"/>
      <c r="O15" s="167"/>
      <c r="P15" s="167"/>
      <c r="Q15" s="130"/>
      <c r="R15" s="130"/>
      <c r="S15" s="167"/>
      <c r="T15" s="113"/>
      <c r="U15" s="113"/>
      <c r="V15" s="113"/>
      <c r="W15" s="113"/>
      <c r="X15" s="113"/>
      <c r="Y15" s="113"/>
      <c r="Z15" s="113"/>
      <c r="AC15" s="169"/>
      <c r="AJ15" s="113"/>
      <c r="AK15" s="113"/>
      <c r="AL15" s="113"/>
      <c r="AR15" s="943"/>
      <c r="AS15" s="943"/>
      <c r="AT15" s="943"/>
      <c r="AU15" s="965"/>
      <c r="AV15" s="965"/>
    </row>
    <row r="16" spans="1:48" s="165" customFormat="1" ht="12" hidden="1" customHeight="1">
      <c r="A16" s="993"/>
      <c r="B16" s="614"/>
      <c r="E16" s="623"/>
      <c r="G16" s="167"/>
      <c r="H16" s="167"/>
      <c r="I16" s="167"/>
      <c r="J16" s="167"/>
      <c r="K16" s="167"/>
      <c r="L16" s="167"/>
      <c r="M16" s="167"/>
      <c r="N16" s="167"/>
      <c r="O16" s="167"/>
      <c r="P16" s="167"/>
      <c r="Q16" s="130"/>
      <c r="R16" s="130"/>
      <c r="S16" s="167"/>
      <c r="T16" s="113"/>
      <c r="U16" s="113"/>
      <c r="V16" s="113"/>
      <c r="W16" s="113"/>
      <c r="X16" s="113"/>
      <c r="Y16" s="113"/>
      <c r="Z16" s="113"/>
      <c r="AC16" s="169"/>
      <c r="AJ16" s="113"/>
      <c r="AK16" s="113"/>
      <c r="AL16" s="113"/>
      <c r="AR16" s="943"/>
      <c r="AS16" s="943"/>
      <c r="AT16" s="943"/>
      <c r="AU16" s="965"/>
      <c r="AV16" s="965"/>
    </row>
    <row r="17" spans="1:48" s="165" customFormat="1" ht="12" hidden="1" customHeight="1">
      <c r="A17" s="993"/>
      <c r="B17" s="614"/>
      <c r="E17" s="623"/>
      <c r="G17" s="167"/>
      <c r="H17" s="167"/>
      <c r="I17" s="167"/>
      <c r="J17" s="167"/>
      <c r="K17" s="167"/>
      <c r="L17" s="167"/>
      <c r="M17" s="167"/>
      <c r="N17" s="167"/>
      <c r="O17" s="167"/>
      <c r="P17" s="167"/>
      <c r="Q17" s="130"/>
      <c r="R17" s="130"/>
      <c r="S17" s="167"/>
      <c r="T17" s="113"/>
      <c r="U17" s="113"/>
      <c r="V17" s="113"/>
      <c r="W17" s="113"/>
      <c r="X17" s="113"/>
      <c r="Y17" s="113"/>
      <c r="Z17" s="113"/>
      <c r="AC17" s="169"/>
      <c r="AR17" s="943"/>
      <c r="AS17" s="943"/>
      <c r="AT17" s="943"/>
      <c r="AU17" s="965"/>
      <c r="AV17" s="965"/>
    </row>
    <row r="18" spans="1:48" s="165" customFormat="1" ht="12" hidden="1" customHeight="1">
      <c r="A18" s="994" t="s">
        <v>385</v>
      </c>
      <c r="B18" s="614"/>
      <c r="E18" s="623"/>
      <c r="G18" s="167"/>
      <c r="H18" s="167"/>
      <c r="I18" s="167"/>
      <c r="J18" s="167"/>
      <c r="K18" s="167"/>
      <c r="L18" s="167"/>
      <c r="M18" s="167"/>
      <c r="N18" s="167"/>
      <c r="O18" s="167"/>
      <c r="P18" s="167"/>
      <c r="Q18" s="130"/>
      <c r="R18" s="130"/>
      <c r="S18" s="167"/>
      <c r="T18" s="113"/>
      <c r="U18" s="113"/>
      <c r="V18" s="113"/>
      <c r="W18" s="113"/>
      <c r="X18" s="113"/>
      <c r="Y18" s="113"/>
      <c r="Z18" s="113"/>
      <c r="AC18" s="169" t="s">
        <v>330</v>
      </c>
      <c r="AR18" s="943"/>
      <c r="AS18" s="943"/>
      <c r="AT18" s="943"/>
      <c r="AU18" s="965"/>
      <c r="AV18" s="965"/>
    </row>
    <row r="19" spans="1:48" s="165" customFormat="1" ht="12" hidden="1" customHeight="1">
      <c r="A19" s="993"/>
      <c r="B19" s="614"/>
      <c r="E19" s="623"/>
      <c r="G19" s="167"/>
      <c r="H19" s="167"/>
      <c r="I19" s="167"/>
      <c r="J19" s="167"/>
      <c r="K19" s="167"/>
      <c r="L19" s="167"/>
      <c r="M19" s="167"/>
      <c r="N19" s="167"/>
      <c r="O19" s="167"/>
      <c r="P19" s="167"/>
      <c r="Q19" s="130"/>
      <c r="R19" s="130"/>
      <c r="S19" s="167"/>
      <c r="T19" s="113"/>
      <c r="U19" s="113"/>
      <c r="V19" s="113"/>
      <c r="W19" s="113"/>
      <c r="X19" s="113"/>
      <c r="Y19" s="113"/>
      <c r="Z19" s="113"/>
      <c r="AC19" s="169"/>
      <c r="AR19" s="943"/>
      <c r="AS19" s="943"/>
      <c r="AT19" s="943"/>
      <c r="AU19" s="965"/>
      <c r="AV19" s="965"/>
    </row>
    <row r="20" spans="1:48" s="165" customFormat="1" ht="12" hidden="1" customHeight="1">
      <c r="A20" s="993"/>
      <c r="B20" s="614"/>
      <c r="E20" s="623"/>
      <c r="G20" s="167"/>
      <c r="H20" s="167"/>
      <c r="I20" s="167"/>
      <c r="J20" s="167"/>
      <c r="K20" s="167"/>
      <c r="L20" s="167"/>
      <c r="M20" s="167"/>
      <c r="N20" s="167"/>
      <c r="O20" s="167"/>
      <c r="P20" s="167"/>
      <c r="Q20" s="130"/>
      <c r="R20" s="130"/>
      <c r="S20" s="167"/>
      <c r="T20" s="113"/>
      <c r="U20" s="113"/>
      <c r="V20" s="113"/>
      <c r="W20" s="113"/>
      <c r="X20" s="113"/>
      <c r="Y20" s="113"/>
      <c r="Z20" s="113"/>
      <c r="AC20" s="169"/>
      <c r="AR20" s="943"/>
      <c r="AS20" s="943"/>
      <c r="AT20" s="943"/>
      <c r="AU20" s="965"/>
      <c r="AV20" s="965"/>
    </row>
    <row r="21" spans="1:48" ht="14.65" customHeight="1">
      <c r="E21" s="623">
        <v>15</v>
      </c>
      <c r="AA21" s="646"/>
      <c r="AB21" s="167"/>
      <c r="AC21" s="315" t="str">
        <f>tpl_title</f>
        <v>Кемеровская область / 2026 / АО "СУЭК-Кузбасс" (ИНН:4212024138, КПП:421201001) / ДПР: 2024-2028</v>
      </c>
      <c r="AD21" s="167"/>
    </row>
    <row r="22" spans="1:48" s="1018" customFormat="1" ht="19.5" customHeight="1">
      <c r="A22" s="991"/>
      <c r="B22" s="614"/>
      <c r="C22" s="120"/>
      <c r="D22" s="120"/>
      <c r="E22" s="623">
        <v>20.100000000000001</v>
      </c>
      <c r="F22" s="120"/>
      <c r="Q22" s="130"/>
      <c r="R22" s="130"/>
      <c r="T22" s="116"/>
      <c r="U22" s="116"/>
      <c r="V22" s="116"/>
      <c r="W22" s="116"/>
      <c r="X22" s="116"/>
      <c r="Y22" s="116"/>
      <c r="Z22" s="116"/>
      <c r="AB22" s="306" t="s">
        <v>61</v>
      </c>
      <c r="AC22" s="251"/>
      <c r="AD22" s="251"/>
      <c r="AE22" s="251"/>
      <c r="AF22" s="251"/>
      <c r="AG22" s="251"/>
      <c r="AH22" s="251"/>
      <c r="AI22" s="251"/>
      <c r="AJ22" s="251"/>
      <c r="AK22" s="251"/>
      <c r="AL22" s="251"/>
      <c r="AM22" s="251"/>
      <c r="AN22" s="251"/>
      <c r="AO22" s="251"/>
      <c r="AR22" s="924"/>
      <c r="AS22" s="924"/>
      <c r="AT22" s="924"/>
      <c r="AU22" s="967"/>
      <c r="AV22" s="967"/>
    </row>
    <row r="23" spans="1:48" s="1018" customFormat="1" ht="9.9499999999999993" customHeight="1">
      <c r="A23" s="991"/>
      <c r="B23" s="614"/>
      <c r="C23" s="120"/>
      <c r="D23" s="120"/>
      <c r="E23" s="623">
        <v>10.199999999999999</v>
      </c>
      <c r="F23" s="120"/>
      <c r="Q23" s="130"/>
      <c r="R23" s="130"/>
      <c r="T23" s="116"/>
      <c r="U23" s="116"/>
      <c r="V23" s="116"/>
      <c r="W23" s="116"/>
      <c r="X23" s="116"/>
      <c r="Y23" s="116"/>
      <c r="Z23" s="116"/>
      <c r="AB23" s="168"/>
      <c r="AC23" s="168"/>
      <c r="AD23" s="168"/>
      <c r="AE23" s="168"/>
      <c r="AF23" s="168"/>
      <c r="AG23" s="168"/>
      <c r="AH23" s="168"/>
      <c r="AI23" s="168"/>
      <c r="AJ23" s="168"/>
      <c r="AK23" s="168"/>
      <c r="AL23" s="168"/>
      <c r="AM23" s="168"/>
      <c r="AN23" s="168"/>
      <c r="AO23" s="168"/>
      <c r="AR23" s="924"/>
      <c r="AS23" s="924"/>
      <c r="AT23" s="924"/>
      <c r="AU23" s="967"/>
      <c r="AV23" s="967"/>
    </row>
    <row r="24" spans="1:48" s="166" customFormat="1" ht="24.2" customHeight="1">
      <c r="A24" s="995"/>
      <c r="B24" s="618"/>
      <c r="C24" s="169"/>
      <c r="D24" s="169"/>
      <c r="E24" s="629">
        <v>24.8</v>
      </c>
      <c r="F24" s="169"/>
      <c r="Q24" s="723"/>
      <c r="R24" s="723"/>
      <c r="T24" s="109"/>
      <c r="U24" s="109"/>
      <c r="V24" s="109"/>
      <c r="W24" s="109"/>
      <c r="X24" s="109"/>
      <c r="Y24" s="109"/>
      <c r="Z24" s="109"/>
      <c r="AB24" s="1496" t="s">
        <v>288</v>
      </c>
      <c r="AC24" s="1496" t="s">
        <v>330</v>
      </c>
      <c r="AD24" s="1496" t="s">
        <v>331</v>
      </c>
      <c r="AE24" s="198" t="str">
        <f>god-2&amp;" год"</f>
        <v>2024 год</v>
      </c>
      <c r="AF24" s="1007" t="str">
        <f>god-2&amp;" год"</f>
        <v>2024 год</v>
      </c>
      <c r="AG24" s="198" t="str">
        <f>god-2&amp;" год"</f>
        <v>2024 год</v>
      </c>
      <c r="AH24" s="198" t="str">
        <f>god-2&amp;" год"</f>
        <v>2024 год</v>
      </c>
      <c r="AI24" s="107" t="str">
        <f>god-1&amp;" год"</f>
        <v>2025 год</v>
      </c>
      <c r="AJ24" s="1001" t="str">
        <f>god&amp;" год"</f>
        <v>2026 год</v>
      </c>
      <c r="AK24" s="108" t="str">
        <f>god&amp;" год"</f>
        <v>2026 год</v>
      </c>
      <c r="AL24" s="108" t="str">
        <f>god&amp;" год"</f>
        <v>2026 год</v>
      </c>
      <c r="AM24" s="1493" t="s">
        <v>1090</v>
      </c>
      <c r="AN24" s="1493" t="s">
        <v>486</v>
      </c>
      <c r="AO24" s="1493" t="s">
        <v>1091</v>
      </c>
      <c r="AR24" s="964"/>
      <c r="AS24" s="964"/>
      <c r="AT24" s="964"/>
      <c r="AU24" s="968"/>
      <c r="AV24" s="968"/>
    </row>
    <row r="25" spans="1:48" s="166" customFormat="1" ht="44.65" customHeight="1">
      <c r="A25" s="995"/>
      <c r="B25" s="618"/>
      <c r="C25" s="169"/>
      <c r="D25" s="169"/>
      <c r="E25" s="629">
        <v>45.8</v>
      </c>
      <c r="F25" s="169"/>
      <c r="Q25" s="723"/>
      <c r="R25" s="723"/>
      <c r="T25" s="109"/>
      <c r="U25" s="109"/>
      <c r="V25" s="109"/>
      <c r="W25" s="109"/>
      <c r="X25" s="109"/>
      <c r="Y25" s="109"/>
      <c r="Z25" s="109"/>
      <c r="AB25" s="1496"/>
      <c r="AC25" s="1496"/>
      <c r="AD25" s="1496"/>
      <c r="AE25" s="107" t="s">
        <v>304</v>
      </c>
      <c r="AF25" s="1003" t="s">
        <v>487</v>
      </c>
      <c r="AG25" s="107" t="s">
        <v>488</v>
      </c>
      <c r="AH25" s="198" t="s">
        <v>1092</v>
      </c>
      <c r="AI25" s="107" t="s">
        <v>304</v>
      </c>
      <c r="AJ25" s="1002" t="s">
        <v>305</v>
      </c>
      <c r="AK25" s="324" t="s">
        <v>304</v>
      </c>
      <c r="AL25" s="198" t="s">
        <v>1093</v>
      </c>
      <c r="AM25" s="1493"/>
      <c r="AN25" s="1493"/>
      <c r="AO25" s="1493"/>
      <c r="AR25" s="964"/>
      <c r="AS25" s="964"/>
      <c r="AT25" s="964"/>
      <c r="AU25" s="968"/>
      <c r="AV25" s="968"/>
    </row>
    <row r="26" spans="1:48" s="166" customFormat="1" ht="14.25" hidden="1" customHeight="1">
      <c r="A26" s="995"/>
      <c r="B26" s="618"/>
      <c r="C26" s="169"/>
      <c r="D26" s="169"/>
      <c r="E26" s="629">
        <v>0</v>
      </c>
      <c r="F26" s="169"/>
      <c r="Q26" s="723"/>
      <c r="R26" s="723"/>
      <c r="T26" s="109"/>
      <c r="U26" s="109"/>
      <c r="V26" s="109"/>
      <c r="W26" s="109"/>
      <c r="X26" s="109"/>
      <c r="Y26" s="109"/>
      <c r="Z26" s="109"/>
      <c r="AB26" s="544"/>
      <c r="AC26" s="544"/>
      <c r="AD26" s="544"/>
      <c r="AE26" s="109"/>
      <c r="AF26" s="109"/>
      <c r="AG26" s="109"/>
      <c r="AH26" s="169"/>
      <c r="AI26" s="109"/>
      <c r="AJ26" s="109"/>
      <c r="AK26" s="109"/>
      <c r="AL26" s="169"/>
      <c r="AM26" s="169"/>
      <c r="AN26" s="169"/>
      <c r="AO26" s="169"/>
      <c r="AR26" s="964"/>
      <c r="AS26" s="964"/>
      <c r="AT26" s="964"/>
      <c r="AU26" s="968"/>
      <c r="AV26" s="968"/>
    </row>
    <row r="27" spans="1:48" s="157" customFormat="1" ht="16.7" hidden="1" customHeight="1">
      <c r="E27" s="623">
        <v>17.100000000000001</v>
      </c>
      <c r="F27" s="714">
        <f>X27</f>
        <v>0</v>
      </c>
      <c r="I27" s="150" t="str">
        <f>INDEX('Общие сведения'!$AE$169:$AE$202,MATCH($F27,'Общие сведения'!$Z$169:$Z$202,0))</f>
        <v>Теплоснабжение</v>
      </c>
      <c r="K27" s="150" t="str">
        <f>INDEX('Общие сведения'!$AL$169:$AL$202,MATCH($F27,'Общие сведения'!$Z$169:$Z$202,0))</f>
        <v>Производство теплоносителя</v>
      </c>
      <c r="T27" s="634" t="b">
        <f>X27&gt;0</f>
        <v>0</v>
      </c>
      <c r="V27" s="113" t="s">
        <v>228</v>
      </c>
      <c r="X27" s="1526">
        <v>0</v>
      </c>
      <c r="Z27" s="1403"/>
      <c r="AB27" s="252" t="str">
        <f>INDEX('Общие сведения'!$AG$169:$AG$202,MATCH($F27,'Общие сведения'!$Z$169:$Z$202,0))</f>
        <v>Тариф 0 (Теплоснабжение) - Тарифы на теплоноситель</v>
      </c>
      <c r="AC27" s="253"/>
      <c r="AD27" s="253"/>
      <c r="AE27" s="253"/>
      <c r="AF27" s="253"/>
      <c r="AG27" s="253"/>
      <c r="AH27" s="253"/>
      <c r="AI27" s="253"/>
      <c r="AJ27" s="253"/>
      <c r="AK27" s="253"/>
      <c r="AL27" s="253"/>
      <c r="AM27" s="253"/>
      <c r="AN27" s="253"/>
      <c r="AO27" s="253"/>
      <c r="AR27" s="884"/>
      <c r="AS27" s="884"/>
      <c r="AT27" s="884"/>
      <c r="AU27" s="885"/>
      <c r="AV27" s="885"/>
    </row>
    <row r="28" spans="1:48" ht="34.15" hidden="1" customHeight="1">
      <c r="E28" s="623">
        <v>35</v>
      </c>
      <c r="F28" s="714">
        <f t="shared" ref="F28:F64" ca="1" si="2">OFFSET(G28,-1,-1)</f>
        <v>0</v>
      </c>
      <c r="T28" s="634" t="b">
        <f t="shared" ref="T28:T46" si="3">T27</f>
        <v>0</v>
      </c>
      <c r="X28" s="1405"/>
      <c r="Z28" s="1405"/>
      <c r="AB28" s="817" t="s">
        <v>247</v>
      </c>
      <c r="AC28" s="818" t="s">
        <v>1462</v>
      </c>
      <c r="AD28" s="819" t="s">
        <v>1204</v>
      </c>
      <c r="AE28" s="293">
        <f ca="1">SUM(AE29:AE36)</f>
        <v>0</v>
      </c>
      <c r="AF28" s="293">
        <f ca="1">SUM(AF29:AF36)</f>
        <v>0</v>
      </c>
      <c r="AG28" s="293">
        <f ca="1">SUM(AG29:AG36)</f>
        <v>0</v>
      </c>
      <c r="AH28" s="293">
        <f t="shared" ref="AH28:AH47" ca="1" si="4">AG28-AF28</f>
        <v>0</v>
      </c>
      <c r="AI28" s="293">
        <f ca="1">SUM(AI29:AI36)</f>
        <v>0</v>
      </c>
      <c r="AJ28" s="293">
        <f ca="1">SUM(AJ29:AJ36)</f>
        <v>0</v>
      </c>
      <c r="AK28" s="293">
        <f ca="1">SUM(AK29:AK36)</f>
        <v>0</v>
      </c>
      <c r="AL28" s="293">
        <f t="shared" ref="AL28:AL47" ca="1" si="5">IF(AI28=0,0,(AK28-AI28)/AI28*100)</f>
        <v>0</v>
      </c>
      <c r="AM28" s="22"/>
      <c r="AN28" s="22"/>
      <c r="AO28" s="22"/>
      <c r="AR28" s="946" t="s">
        <v>1463</v>
      </c>
    </row>
    <row r="29" spans="1:48" ht="16.7" hidden="1" customHeight="1">
      <c r="E29" s="623">
        <v>17.100000000000001</v>
      </c>
      <c r="F29" s="714">
        <f t="shared" ca="1" si="2"/>
        <v>0</v>
      </c>
      <c r="G29" s="130" t="s">
        <v>810</v>
      </c>
      <c r="T29" s="634" t="b">
        <f t="shared" si="3"/>
        <v>0</v>
      </c>
      <c r="X29" s="1405"/>
      <c r="Z29" s="1405"/>
      <c r="AB29" s="820" t="s">
        <v>339</v>
      </c>
      <c r="AC29" s="821" t="s">
        <v>1464</v>
      </c>
      <c r="AD29" s="819" t="s">
        <v>1204</v>
      </c>
      <c r="AE29" s="78">
        <f ca="1">SUMIFS('ХВС, ТН'!AE$26:AE$56,'ХВС, ТН'!$F$26:$F$56,$F29,'ХВС, ТН'!$G$26:$G$56,$G29)</f>
        <v>0</v>
      </c>
      <c r="AF29" s="78">
        <f ca="1">SUMIFS('ХВС, ТН'!AF$26:AF$56,'ХВС, ТН'!$F$26:$F$56,$F29,'ХВС, ТН'!$G$26:$G$56,$G29)</f>
        <v>0</v>
      </c>
      <c r="AG29" s="78">
        <f ca="1">SUMIFS('ХВС, ТН'!AG$26:AG$56,'ХВС, ТН'!$F$26:$F$56,$F29,'ХВС, ТН'!$G$26:$G$56,$G29)</f>
        <v>0</v>
      </c>
      <c r="AH29" s="293">
        <f t="shared" ca="1" si="4"/>
        <v>0</v>
      </c>
      <c r="AI29" s="78">
        <f ca="1">SUMIFS('ХВС, ТН'!AH$26:AH$56,'ХВС, ТН'!$F$26:$F$56,$F29,'ХВС, ТН'!$G$26:$G$56,$G29)</f>
        <v>0</v>
      </c>
      <c r="AJ29" s="827">
        <f ca="1">SUMIFS('ХВС, ТН'!AI$26:AI$56,'ХВС, ТН'!$F$26:$F$56,$F29,'ХВС, ТН'!$G$26:$G$56,$G29)</f>
        <v>0</v>
      </c>
      <c r="AK29" s="827">
        <f ca="1">SUMIFS('ХВС, ТН'!AS$26:AS$56,'ХВС, ТН'!$F$26:$F$56,$F29,'ХВС, ТН'!$G$26:$G$56,$G29)</f>
        <v>0</v>
      </c>
      <c r="AL29" s="293">
        <f t="shared" ca="1" si="5"/>
        <v>0</v>
      </c>
      <c r="AM29" s="22"/>
      <c r="AN29" s="22"/>
      <c r="AO29" s="22"/>
      <c r="AR29" s="946" t="s">
        <v>1465</v>
      </c>
    </row>
    <row r="30" spans="1:48" ht="29.25" hidden="1" customHeight="1">
      <c r="E30" s="623">
        <v>30</v>
      </c>
      <c r="F30" s="714">
        <f t="shared" ca="1" si="2"/>
        <v>0</v>
      </c>
      <c r="T30" s="634" t="b">
        <f t="shared" si="3"/>
        <v>0</v>
      </c>
      <c r="X30" s="1405"/>
      <c r="Z30" s="1405"/>
      <c r="AB30" s="820" t="s">
        <v>503</v>
      </c>
      <c r="AC30" s="821" t="s">
        <v>1466</v>
      </c>
      <c r="AD30" s="819" t="s">
        <v>1204</v>
      </c>
      <c r="AE30" s="40"/>
      <c r="AF30" s="40"/>
      <c r="AG30" s="40"/>
      <c r="AH30" s="293">
        <f t="shared" si="4"/>
        <v>0</v>
      </c>
      <c r="AI30" s="40"/>
      <c r="AJ30" s="241"/>
      <c r="AK30" s="241"/>
      <c r="AL30" s="293">
        <f t="shared" si="5"/>
        <v>0</v>
      </c>
      <c r="AM30" s="22"/>
      <c r="AN30" s="22"/>
      <c r="AO30" s="22"/>
      <c r="AR30" s="946" t="s">
        <v>1467</v>
      </c>
    </row>
    <row r="31" spans="1:48" ht="39" hidden="1" customHeight="1">
      <c r="E31" s="623">
        <v>40</v>
      </c>
      <c r="F31" s="714">
        <f t="shared" ca="1" si="2"/>
        <v>0</v>
      </c>
      <c r="T31" s="634" t="b">
        <f t="shared" si="3"/>
        <v>0</v>
      </c>
      <c r="X31" s="1405"/>
      <c r="Z31" s="1405"/>
      <c r="AB31" s="820" t="s">
        <v>749</v>
      </c>
      <c r="AC31" s="821" t="s">
        <v>1468</v>
      </c>
      <c r="AD31" s="819" t="s">
        <v>1204</v>
      </c>
      <c r="AE31" s="40"/>
      <c r="AF31" s="40"/>
      <c r="AG31" s="40"/>
      <c r="AH31" s="293">
        <f t="shared" si="4"/>
        <v>0</v>
      </c>
      <c r="AI31" s="40"/>
      <c r="AJ31" s="241"/>
      <c r="AK31" s="241"/>
      <c r="AL31" s="293">
        <f t="shared" si="5"/>
        <v>0</v>
      </c>
      <c r="AM31" s="22"/>
      <c r="AN31" s="22"/>
      <c r="AO31" s="22"/>
      <c r="AR31" s="946" t="s">
        <v>1469</v>
      </c>
    </row>
    <row r="32" spans="1:48" ht="29.25" hidden="1" customHeight="1">
      <c r="E32" s="623">
        <v>30</v>
      </c>
      <c r="F32" s="714">
        <f t="shared" ca="1" si="2"/>
        <v>0</v>
      </c>
      <c r="T32" s="634" t="b">
        <f t="shared" si="3"/>
        <v>0</v>
      </c>
      <c r="X32" s="1405"/>
      <c r="Z32" s="1405"/>
      <c r="AB32" s="820" t="s">
        <v>753</v>
      </c>
      <c r="AC32" s="821" t="s">
        <v>1470</v>
      </c>
      <c r="AD32" s="819" t="s">
        <v>1204</v>
      </c>
      <c r="AE32" s="40">
        <f ca="1">SUMIFS(ЭнергоРесурсы!AE$26:AE$109,ЭнергоРесурсы!$F$26:$F$109,$F32,ЭнергоРесурсы!$G$26:$G$109,"ИТОГО_ЭЭ")+SUMIFS(ЭнергоРесурсы!AE$26:AE$109,ЭнергоРесурсы!$F$26:$F$109,$F32,ЭнергоРесурсы!$G$26:$G$109,"ИТОГО_ТЭ")</f>
        <v>0</v>
      </c>
      <c r="AF32" s="40">
        <f ca="1">SUMIFS(ЭнергоРесурсы!AF$26:AF$109,ЭнергоРесурсы!$F$26:$F$109,$F32,ЭнергоРесурсы!$G$26:$G$109,"ИТОГО_ЭЭ")+SUMIFS(ЭнергоРесурсы!AF$26:AF$109,ЭнергоРесурсы!$F$26:$F$109,$F32,ЭнергоРесурсы!$G$26:$G$109,"ИТОГО_ТЭ")</f>
        <v>0</v>
      </c>
      <c r="AG32" s="40">
        <f ca="1">SUMIFS(ЭнергоРесурсы!AG$26:AG$109,ЭнергоРесурсы!$F$26:$F$109,$F32,ЭнергоРесурсы!$G$26:$G$109,"ИТОГО_ЭЭ")+SUMIFS(ЭнергоРесурсы!AG$26:AG$109,ЭнергоРесурсы!$F$26:$F$109,$F32,ЭнергоРесурсы!$G$26:$G$109,"ИТОГО_ТЭ")</f>
        <v>0</v>
      </c>
      <c r="AH32" s="293">
        <f t="shared" ca="1" si="4"/>
        <v>0</v>
      </c>
      <c r="AI32" s="40">
        <f ca="1">SUMIFS(ЭнергоРесурсы!AH$26:AH$109,ЭнергоРесурсы!$F$26:$F$109,$F32,ЭнергоРесурсы!$G$26:$G$109,"ИТОГО_ЭЭ")+SUMIFS(ЭнергоРесурсы!AH$26:AH$109,ЭнергоРесурсы!$F$26:$F$109,$F32,ЭнергоРесурсы!$G$26:$G$109,"ИТОГО_ТЭ")</f>
        <v>0</v>
      </c>
      <c r="AJ32" s="241">
        <f ca="1">SUMIFS(ЭнергоРесурсы!AI$26:AI$109,ЭнергоРесурсы!$F$26:$F$109,$F32,ЭнергоРесурсы!$G$26:$G$109,"ИТОГО_ЭЭ")+SUMIFS(ЭнергоРесурсы!AI$26:AI$109,ЭнергоРесурсы!$F$26:$F$109,$F32,ЭнергоРесурсы!$G$26:$G$109,"ИТОГО_ТЭ")</f>
        <v>0</v>
      </c>
      <c r="AK32" s="241">
        <f ca="1">SUMIFS(ЭнергоРесурсы!AS$26:AS$109,ЭнергоРесурсы!$F$26:$F$109,$F32,ЭнергоРесурсы!$G$26:$G$109,"ИТОГО_ЭЭ")+SUMIFS(ЭнергоРесурсы!AS$26:AS$109,ЭнергоРесурсы!$F$26:$F$109,$F32,ЭнергоРесурсы!$G$26:$G$109,"ИТОГО_ТЭ")</f>
        <v>0</v>
      </c>
      <c r="AL32" s="293">
        <f t="shared" ca="1" si="5"/>
        <v>0</v>
      </c>
      <c r="AM32" s="22"/>
      <c r="AN32" s="22"/>
      <c r="AO32" s="22"/>
      <c r="AR32" s="946" t="s">
        <v>1471</v>
      </c>
    </row>
    <row r="33" spans="5:48" ht="29.25" hidden="1" customHeight="1">
      <c r="E33" s="623">
        <v>30</v>
      </c>
      <c r="F33" s="714">
        <f t="shared" ca="1" si="2"/>
        <v>0</v>
      </c>
      <c r="G33" s="130" t="s">
        <v>1002</v>
      </c>
      <c r="T33" s="634" t="b">
        <f t="shared" si="3"/>
        <v>0</v>
      </c>
      <c r="X33" s="1405"/>
      <c r="Z33" s="1405"/>
      <c r="AB33" s="820" t="s">
        <v>860</v>
      </c>
      <c r="AC33" s="821" t="s">
        <v>1472</v>
      </c>
      <c r="AD33" s="819" t="s">
        <v>1204</v>
      </c>
      <c r="AE33" s="60">
        <f ca="1">SUMIFS('Покупка услуг'!AE$26:AE$65,'Покупка услуг'!$F$26:$F$65,$F33,'Покупка услуг'!$G$26:$G$65,$G33)</f>
        <v>0</v>
      </c>
      <c r="AF33" s="60">
        <f ca="1">SUMIFS('Покупка услуг'!AF$26:AF$65,'Покупка услуг'!$F$26:$F$65,$F33,'Покупка услуг'!$G$26:$G$65,$G33)</f>
        <v>0</v>
      </c>
      <c r="AG33" s="60">
        <f ca="1">SUMIFS('Покупка услуг'!AG$26:AG$65,'Покупка услуг'!$F$26:$F$65,$F33,'Покупка услуг'!$G$26:$G$65,$G33)</f>
        <v>0</v>
      </c>
      <c r="AH33" s="293">
        <f t="shared" ca="1" si="4"/>
        <v>0</v>
      </c>
      <c r="AI33" s="60">
        <f ca="1">SUMIFS('Покупка услуг'!AH$26:AH$65,'Покупка услуг'!$F$26:$F$65,$F33,'Покупка услуг'!$G$26:$G$65,$G33)</f>
        <v>0</v>
      </c>
      <c r="AJ33" s="471">
        <f ca="1">SUMIFS('Покупка услуг'!AI$26:AI$65,'Покупка услуг'!$F$26:$F$65,$F33,'Покупка услуг'!$G$26:$G$65,$G33)</f>
        <v>0</v>
      </c>
      <c r="AK33" s="471">
        <f ca="1">SUMIFS('Покупка услуг'!AS$26:AS$65,'Покупка услуг'!$F$26:$F$65,$F33,'Покупка услуг'!$G$26:$G$65,$G33)</f>
        <v>0</v>
      </c>
      <c r="AL33" s="293">
        <f t="shared" ca="1" si="5"/>
        <v>0</v>
      </c>
      <c r="AM33" s="22"/>
      <c r="AN33" s="22"/>
      <c r="AO33" s="22"/>
      <c r="AR33" s="946" t="s">
        <v>1473</v>
      </c>
    </row>
    <row r="34" spans="5:48" ht="16.7" hidden="1" customHeight="1">
      <c r="E34" s="623">
        <v>17.100000000000001</v>
      </c>
      <c r="F34" s="714">
        <f t="shared" ca="1" si="2"/>
        <v>0</v>
      </c>
      <c r="G34" s="130" t="s">
        <v>46</v>
      </c>
      <c r="T34" s="634" t="b">
        <f t="shared" si="3"/>
        <v>0</v>
      </c>
      <c r="X34" s="1405"/>
      <c r="Z34" s="1405"/>
      <c r="AB34" s="820" t="s">
        <v>863</v>
      </c>
      <c r="AC34" s="821" t="s">
        <v>1474</v>
      </c>
      <c r="AD34" s="819" t="s">
        <v>1204</v>
      </c>
      <c r="AE34" s="40">
        <f ca="1">SUMIFS(ФОТ!AE$26:AE$77,ФОТ!$F$26:$F$77,$F34,ФОТ!$G$26:$G$77,$G34)</f>
        <v>0</v>
      </c>
      <c r="AF34" s="40">
        <f ca="1">SUMIFS(ФОТ!AF$26:AF$77,ФОТ!$F$26:$F$77,$F34,ФОТ!$G$26:$G$77,$G34)</f>
        <v>0</v>
      </c>
      <c r="AG34" s="40">
        <f ca="1">SUMIFS(ФОТ!AG$26:AG$77,ФОТ!$F$26:$F$77,$F34,ФОТ!$G$26:$G$77,$G34)</f>
        <v>0</v>
      </c>
      <c r="AH34" s="293">
        <f t="shared" ca="1" si="4"/>
        <v>0</v>
      </c>
      <c r="AI34" s="40">
        <f ca="1">SUMIFS(ФОТ!AH$26:AH$77,ФОТ!$F$26:$F$77,$F34,ФОТ!$G$26:$G$77,$G34)</f>
        <v>0</v>
      </c>
      <c r="AJ34" s="241">
        <f ca="1">SUMIFS(ФОТ!AI$26:AI$77,ФОТ!$F$26:$F$77,$F34,ФОТ!$G$26:$G$77,$G34)</f>
        <v>0</v>
      </c>
      <c r="AK34" s="241">
        <f ca="1">SUMIFS(ФОТ!AJ$26:AJ$77,ФОТ!$F$26:$F$77,$F34,ФОТ!$G$26:$G$77,$G34)</f>
        <v>0</v>
      </c>
      <c r="AL34" s="293">
        <f t="shared" ca="1" si="5"/>
        <v>0</v>
      </c>
      <c r="AM34" s="22"/>
      <c r="AN34" s="22"/>
      <c r="AO34" s="22"/>
      <c r="AR34" s="946" t="s">
        <v>1475</v>
      </c>
    </row>
    <row r="35" spans="5:48" ht="16.7" hidden="1" customHeight="1">
      <c r="E35" s="623">
        <v>17.100000000000001</v>
      </c>
      <c r="F35" s="714">
        <f t="shared" ca="1" si="2"/>
        <v>0</v>
      </c>
      <c r="G35" s="130" t="s">
        <v>947</v>
      </c>
      <c r="T35" s="634" t="b">
        <f t="shared" si="3"/>
        <v>0</v>
      </c>
      <c r="X35" s="1405"/>
      <c r="Z35" s="1405"/>
      <c r="AB35" s="820" t="s">
        <v>866</v>
      </c>
      <c r="AC35" s="821" t="s">
        <v>1476</v>
      </c>
      <c r="AD35" s="819" t="s">
        <v>1204</v>
      </c>
      <c r="AE35" s="60">
        <f ca="1">SUMIFS(Амортизация!AE$26:AE$225,Амортизация!$F$26:$F$225,$F35,Амортизация!$G$26:$G$225,$G35)</f>
        <v>0</v>
      </c>
      <c r="AF35" s="60">
        <f ca="1">SUMIFS(Амортизация!AF$26:AF$225,Амортизация!$F$26:$F$225,$F35,Амортизация!$G$26:$G$225,$G35)</f>
        <v>0</v>
      </c>
      <c r="AG35" s="60">
        <f ca="1">SUMIFS(Амортизация!AG$26:AG$225,Амортизация!$F$26:$F$225,$F35,Амортизация!$G$26:$G$225,$G35)</f>
        <v>0</v>
      </c>
      <c r="AH35" s="293">
        <f t="shared" ca="1" si="4"/>
        <v>0</v>
      </c>
      <c r="AI35" s="60">
        <f ca="1">SUMIFS(Амортизация!AH$26:AH$225,Амортизация!$F$26:$F$225,$F35,Амортизация!$G$26:$G$225,$G35)</f>
        <v>0</v>
      </c>
      <c r="AJ35" s="471">
        <f ca="1">SUMIFS(Амортизация!AI$26:AI$225,Амортизация!$F$26:$F$225,$F35,Амортизация!$G$26:$G$225,$G35)</f>
        <v>0</v>
      </c>
      <c r="AK35" s="471">
        <f ca="1">SUMIFS(Амортизация!AS$26:AS$225,Амортизация!$F$26:$F$225,$F35,Амортизация!$G$26:$G$225,$G35)</f>
        <v>0</v>
      </c>
      <c r="AL35" s="293">
        <f t="shared" ca="1" si="5"/>
        <v>0</v>
      </c>
      <c r="AM35" s="22"/>
      <c r="AN35" s="22"/>
      <c r="AO35" s="22"/>
      <c r="AR35" s="946" t="s">
        <v>1477</v>
      </c>
    </row>
    <row r="36" spans="5:48" ht="16.7" hidden="1" customHeight="1">
      <c r="E36" s="623">
        <v>17.100000000000001</v>
      </c>
      <c r="F36" s="714">
        <f t="shared" ca="1" si="2"/>
        <v>0</v>
      </c>
      <c r="T36" s="634" t="b">
        <f t="shared" si="3"/>
        <v>0</v>
      </c>
      <c r="X36" s="1405"/>
      <c r="Z36" s="1405"/>
      <c r="AB36" s="820" t="s">
        <v>869</v>
      </c>
      <c r="AC36" s="821" t="s">
        <v>1478</v>
      </c>
      <c r="AD36" s="819" t="s">
        <v>1204</v>
      </c>
      <c r="AE36" s="293">
        <f ca="1">SUM(AE37:AE48)</f>
        <v>0</v>
      </c>
      <c r="AF36" s="293">
        <f ca="1">SUM(AF37:AF48)</f>
        <v>0</v>
      </c>
      <c r="AG36" s="293">
        <f ca="1">SUM(AG37:AG48)</f>
        <v>0</v>
      </c>
      <c r="AH36" s="293">
        <f t="shared" ca="1" si="4"/>
        <v>0</v>
      </c>
      <c r="AI36" s="293">
        <f ca="1">SUM(AH37:AH48)</f>
        <v>0</v>
      </c>
      <c r="AJ36" s="293">
        <f ca="1">SUM(AJ37:AJ48)</f>
        <v>0</v>
      </c>
      <c r="AK36" s="293">
        <f ca="1">SUM(AK37:AK48)</f>
        <v>0</v>
      </c>
      <c r="AL36" s="293">
        <f t="shared" ca="1" si="5"/>
        <v>0</v>
      </c>
      <c r="AM36" s="22"/>
      <c r="AN36" s="22"/>
      <c r="AO36" s="22"/>
      <c r="AR36" s="946" t="s">
        <v>1479</v>
      </c>
    </row>
    <row r="37" spans="5:48" ht="16.7" hidden="1" customHeight="1">
      <c r="E37" s="623">
        <v>17.100000000000001</v>
      </c>
      <c r="F37" s="714">
        <f t="shared" ca="1" si="2"/>
        <v>0</v>
      </c>
      <c r="T37" s="634" t="b">
        <f t="shared" si="3"/>
        <v>0</v>
      </c>
      <c r="X37" s="1405"/>
      <c r="Z37" s="1405"/>
      <c r="AB37" s="820" t="s">
        <v>1480</v>
      </c>
      <c r="AC37" s="822" t="s">
        <v>1481</v>
      </c>
      <c r="AD37" s="819" t="s">
        <v>1204</v>
      </c>
      <c r="AE37" s="40"/>
      <c r="AF37" s="40"/>
      <c r="AG37" s="40"/>
      <c r="AH37" s="293">
        <f t="shared" si="4"/>
        <v>0</v>
      </c>
      <c r="AI37" s="40"/>
      <c r="AJ37" s="241"/>
      <c r="AK37" s="241"/>
      <c r="AL37" s="293">
        <f t="shared" si="5"/>
        <v>0</v>
      </c>
      <c r="AM37" s="22"/>
      <c r="AN37" s="22"/>
      <c r="AO37" s="22"/>
      <c r="AR37" s="946" t="s">
        <v>1482</v>
      </c>
    </row>
    <row r="38" spans="5:48" ht="16.7" hidden="1" customHeight="1">
      <c r="E38" s="623">
        <v>17.100000000000001</v>
      </c>
      <c r="F38" s="714">
        <f t="shared" ca="1" si="2"/>
        <v>0</v>
      </c>
      <c r="G38" s="130" t="s">
        <v>1080</v>
      </c>
      <c r="T38" s="634" t="b">
        <f t="shared" si="3"/>
        <v>0</v>
      </c>
      <c r="X38" s="1405"/>
      <c r="Z38" s="1405"/>
      <c r="AB38" s="820" t="s">
        <v>1483</v>
      </c>
      <c r="AC38" s="822" t="s">
        <v>1484</v>
      </c>
      <c r="AD38" s="819" t="s">
        <v>1204</v>
      </c>
      <c r="AE38" s="60">
        <f ca="1">SUMIFS(Налоги!AE$26:AE$55,Налоги!$F$26:$F$55,$F38,Налоги!$H$26:$H$55,$G38)</f>
        <v>0</v>
      </c>
      <c r="AF38" s="60">
        <f ca="1">SUMIFS(Налоги!AF$26:AF$55,Налоги!$F$26:$F$55,$F38,Налоги!$H$26:$H$55,$G38)</f>
        <v>0</v>
      </c>
      <c r="AG38" s="60">
        <f ca="1">SUMIFS(Налоги!AG$26:AG$55,Налоги!$F$26:$F$55,$F38,Налоги!$H$26:$H$55,$G38)</f>
        <v>0</v>
      </c>
      <c r="AH38" s="293">
        <f t="shared" ca="1" si="4"/>
        <v>0</v>
      </c>
      <c r="AI38" s="60">
        <f ca="1">SUMIFS(Налоги!AH$26:AH$55,Налоги!$F$26:$F$55,$F38,Налоги!$H$26:$H$55,$G38)</f>
        <v>0</v>
      </c>
      <c r="AJ38" s="471">
        <f ca="1">SUMIFS(Налоги!AI$26:AI$55,Налоги!$F$26:$F$55,$F38,Налоги!$H$26:$H$55,$G38)</f>
        <v>0</v>
      </c>
      <c r="AK38" s="471">
        <f ca="1">SUMIFS(Налоги!AS$26:AS$55,Налоги!$F$26:$F$55,$F38,Налоги!$H$26:$H$55,$G38)</f>
        <v>0</v>
      </c>
      <c r="AL38" s="293">
        <f t="shared" ca="1" si="5"/>
        <v>0</v>
      </c>
      <c r="AM38" s="22"/>
      <c r="AN38" s="22"/>
      <c r="AO38" s="22"/>
      <c r="AR38" s="946" t="s">
        <v>1485</v>
      </c>
    </row>
    <row r="39" spans="5:48" ht="16.7" hidden="1" customHeight="1">
      <c r="E39" s="623">
        <v>17.100000000000001</v>
      </c>
      <c r="F39" s="714">
        <f t="shared" ca="1" si="2"/>
        <v>0</v>
      </c>
      <c r="T39" s="634" t="b">
        <f t="shared" si="3"/>
        <v>0</v>
      </c>
      <c r="X39" s="1405"/>
      <c r="Z39" s="1405"/>
      <c r="AB39" s="820" t="s">
        <v>1486</v>
      </c>
      <c r="AC39" s="822" t="s">
        <v>1487</v>
      </c>
      <c r="AD39" s="819" t="s">
        <v>1204</v>
      </c>
      <c r="AE39" s="40"/>
      <c r="AF39" s="40"/>
      <c r="AG39" s="40"/>
      <c r="AH39" s="293">
        <f t="shared" si="4"/>
        <v>0</v>
      </c>
      <c r="AI39" s="40"/>
      <c r="AJ39" s="241"/>
      <c r="AK39" s="241"/>
      <c r="AL39" s="293">
        <f t="shared" si="5"/>
        <v>0</v>
      </c>
      <c r="AM39" s="22"/>
      <c r="AN39" s="22"/>
      <c r="AO39" s="22"/>
      <c r="AR39" s="946" t="s">
        <v>1488</v>
      </c>
    </row>
    <row r="40" spans="5:48" ht="16.7" hidden="1" customHeight="1">
      <c r="E40" s="623">
        <v>17.100000000000001</v>
      </c>
      <c r="F40" s="714">
        <f t="shared" ca="1" si="2"/>
        <v>0</v>
      </c>
      <c r="T40" s="634" t="b">
        <f t="shared" si="3"/>
        <v>0</v>
      </c>
      <c r="X40" s="1405"/>
      <c r="Z40" s="1405"/>
      <c r="AB40" s="820" t="s">
        <v>1489</v>
      </c>
      <c r="AC40" s="822" t="s">
        <v>1490</v>
      </c>
      <c r="AD40" s="819" t="s">
        <v>1204</v>
      </c>
      <c r="AE40" s="40"/>
      <c r="AF40" s="40"/>
      <c r="AG40" s="40"/>
      <c r="AH40" s="293">
        <f t="shared" si="4"/>
        <v>0</v>
      </c>
      <c r="AI40" s="40"/>
      <c r="AJ40" s="241"/>
      <c r="AK40" s="241"/>
      <c r="AL40" s="293">
        <f t="shared" si="5"/>
        <v>0</v>
      </c>
      <c r="AM40" s="22"/>
      <c r="AN40" s="22"/>
      <c r="AO40" s="22"/>
      <c r="AR40" s="946" t="s">
        <v>1491</v>
      </c>
    </row>
    <row r="41" spans="5:48" ht="16.7" hidden="1" customHeight="1">
      <c r="E41" s="623">
        <v>17.100000000000001</v>
      </c>
      <c r="F41" s="714">
        <f t="shared" ca="1" si="2"/>
        <v>0</v>
      </c>
      <c r="T41" s="634" t="b">
        <f t="shared" si="3"/>
        <v>0</v>
      </c>
      <c r="X41" s="1405"/>
      <c r="Z41" s="1405"/>
      <c r="AB41" s="820" t="s">
        <v>1492</v>
      </c>
      <c r="AC41" s="822" t="s">
        <v>1166</v>
      </c>
      <c r="AD41" s="819" t="s">
        <v>1204</v>
      </c>
      <c r="AE41" s="40"/>
      <c r="AF41" s="40"/>
      <c r="AG41" s="40"/>
      <c r="AH41" s="293">
        <f t="shared" si="4"/>
        <v>0</v>
      </c>
      <c r="AI41" s="40"/>
      <c r="AJ41" s="241"/>
      <c r="AK41" s="241"/>
      <c r="AL41" s="293">
        <f t="shared" si="5"/>
        <v>0</v>
      </c>
      <c r="AM41" s="22"/>
      <c r="AN41" s="22"/>
      <c r="AO41" s="22"/>
      <c r="AR41" s="946" t="s">
        <v>1493</v>
      </c>
    </row>
    <row r="42" spans="5:48" ht="16.7" hidden="1" customHeight="1">
      <c r="E42" s="623">
        <v>17.100000000000001</v>
      </c>
      <c r="F42" s="714">
        <f t="shared" ca="1" si="2"/>
        <v>0</v>
      </c>
      <c r="T42" s="634" t="b">
        <f t="shared" si="3"/>
        <v>0</v>
      </c>
      <c r="X42" s="1405"/>
      <c r="Z42" s="1405"/>
      <c r="AB42" s="820" t="s">
        <v>1494</v>
      </c>
      <c r="AC42" s="822" t="s">
        <v>1495</v>
      </c>
      <c r="AD42" s="819" t="s">
        <v>1204</v>
      </c>
      <c r="AE42" s="40">
        <f ca="1">SUMIFS(Аренда!AE$26:AE$51,Аренда!$F$26:$F$51,$F42,Аренда!$G$26:$G$51,"Аренда_пр")+SUMIFS(Аренда!AE$26:AE$51,Аренда!$F$26:$F$51,$F42,Аренда!$G$26:$G$51,"Аренда_непр")</f>
        <v>0</v>
      </c>
      <c r="AF42" s="40">
        <f ca="1">SUMIFS(Аренда!AF$26:AF$51,Аренда!$F$26:$F$51,$F42,Аренда!$G$26:$G$51,"Аренда_пр")+SUMIFS(Аренда!AF$26:AF$51,Аренда!$F$26:$F$51,$F42,Аренда!$G$26:$G$51,"Аренда_непр")</f>
        <v>0</v>
      </c>
      <c r="AG42" s="40">
        <f ca="1">SUMIFS(Аренда!AG$26:AG$51,Аренда!$F$26:$F$51,$F42,Аренда!$G$26:$G$51,"Аренда_пр")+SUMIFS(Аренда!AG$26:AG$51,Аренда!$F$26:$F$51,$F42,Аренда!$G$26:$G$51,"Аренда_непр")</f>
        <v>0</v>
      </c>
      <c r="AH42" s="293">
        <f t="shared" ca="1" si="4"/>
        <v>0</v>
      </c>
      <c r="AI42" s="40">
        <f ca="1">SUMIFS(Аренда!AH$26:AH$51,Аренда!$F$26:$F$51,$F42,Аренда!$G$26:$G$51,"Аренда_пр")+SUMIFS(Аренда!AH$26:AH$51,Аренда!$F$26:$F$51,$F42,Аренда!$G$26:$G$51,"Аренда_непр")</f>
        <v>0</v>
      </c>
      <c r="AJ42" s="241">
        <f ca="1">SUMIFS(Аренда!AI$26:AI$51,Аренда!$F$26:$F$51,$F42,Аренда!$G$26:$G$51,"Аренда_пр")+SUMIFS(Аренда!AI$26:AI$51,Аренда!$F$26:$F$51,$F42,Аренда!$G$26:$G$51,"Аренда_непр")</f>
        <v>0</v>
      </c>
      <c r="AK42" s="241">
        <f ca="1">SUMIFS(Аренда!AS$26:AS$51,Аренда!$F$26:$F$51,$F42,Аренда!$G$26:$G$51,"Аренда_пр")+SUMIFS(Аренда!AS$26:AS$51,Аренда!$F$26:$F$51,$F42,Аренда!$G$26:$G$51,"Аренда_непр")</f>
        <v>0</v>
      </c>
      <c r="AL42" s="293">
        <f t="shared" ca="1" si="5"/>
        <v>0</v>
      </c>
      <c r="AM42" s="22"/>
      <c r="AN42" s="22"/>
      <c r="AO42" s="22"/>
      <c r="AR42" s="946" t="s">
        <v>1496</v>
      </c>
    </row>
    <row r="43" spans="5:48" ht="16.7" hidden="1" customHeight="1">
      <c r="E43" s="623">
        <v>17.100000000000001</v>
      </c>
      <c r="F43" s="714">
        <f t="shared" ca="1" si="2"/>
        <v>0</v>
      </c>
      <c r="G43" s="130" t="s">
        <v>982</v>
      </c>
      <c r="T43" s="634" t="b">
        <f t="shared" si="3"/>
        <v>0</v>
      </c>
      <c r="X43" s="1405"/>
      <c r="Z43" s="1405"/>
      <c r="AB43" s="820" t="s">
        <v>1497</v>
      </c>
      <c r="AC43" s="822" t="s">
        <v>980</v>
      </c>
      <c r="AD43" s="819" t="s">
        <v>1204</v>
      </c>
      <c r="AE43" s="40">
        <f ca="1">SUMIFS(Аренда!AE$26:AE$51,Аренда!$F$26:$F$51,$F43,Аренда!$G$26:$G$51,$G43)</f>
        <v>0</v>
      </c>
      <c r="AF43" s="40">
        <f ca="1">SUMIFS(Аренда!AF$26:AF$51,Аренда!$F$26:$F$51,$F43,Аренда!$G$26:$G$51,$G43)</f>
        <v>0</v>
      </c>
      <c r="AG43" s="40">
        <f ca="1">SUMIFS(Аренда!AG$26:AG$51,Аренда!$F$26:$F$51,$F43,Аренда!$G$26:$G$51,$G43)</f>
        <v>0</v>
      </c>
      <c r="AH43" s="293">
        <f t="shared" ca="1" si="4"/>
        <v>0</v>
      </c>
      <c r="AI43" s="40">
        <f ca="1">SUMIFS(Аренда!AH$26:AH$51,Аренда!$F$26:$F$51,$F43,Аренда!$G$26:$G$51,$G43)</f>
        <v>0</v>
      </c>
      <c r="AJ43" s="241">
        <f ca="1">SUMIFS(Аренда!AI$26:AI$51,Аренда!$F$26:$F$51,$F43,Аренда!$G$26:$G$51,$G43)</f>
        <v>0</v>
      </c>
      <c r="AK43" s="241">
        <f ca="1">SUMIFS(Аренда!AS$26:AS$51,Аренда!$F$26:$F$51,$F43,Аренда!$G$26:$G$51,$G43)</f>
        <v>0</v>
      </c>
      <c r="AL43" s="293">
        <f t="shared" ca="1" si="5"/>
        <v>0</v>
      </c>
      <c r="AM43" s="22"/>
      <c r="AN43" s="22"/>
      <c r="AO43" s="22"/>
      <c r="AR43" s="946" t="s">
        <v>1498</v>
      </c>
    </row>
    <row r="44" spans="5:48" ht="29.25" hidden="1" customHeight="1">
      <c r="E44" s="623">
        <v>30</v>
      </c>
      <c r="F44" s="714">
        <f t="shared" ca="1" si="2"/>
        <v>0</v>
      </c>
      <c r="T44" s="634" t="b">
        <f t="shared" si="3"/>
        <v>0</v>
      </c>
      <c r="X44" s="1405"/>
      <c r="Z44" s="1405"/>
      <c r="AB44" s="820" t="s">
        <v>1499</v>
      </c>
      <c r="AC44" s="822" t="s">
        <v>1500</v>
      </c>
      <c r="AD44" s="819" t="s">
        <v>1204</v>
      </c>
      <c r="AE44" s="40"/>
      <c r="AF44" s="40"/>
      <c r="AG44" s="40"/>
      <c r="AH44" s="293">
        <f t="shared" si="4"/>
        <v>0</v>
      </c>
      <c r="AI44" s="40"/>
      <c r="AJ44" s="241"/>
      <c r="AK44" s="241"/>
      <c r="AL44" s="293">
        <f t="shared" si="5"/>
        <v>0</v>
      </c>
      <c r="AM44" s="22"/>
      <c r="AN44" s="22"/>
      <c r="AO44" s="22"/>
      <c r="AR44" s="946" t="s">
        <v>1501</v>
      </c>
    </row>
    <row r="45" spans="5:48" ht="16.7" hidden="1" customHeight="1">
      <c r="E45" s="623">
        <v>17.100000000000001</v>
      </c>
      <c r="F45" s="714">
        <f t="shared" ca="1" si="2"/>
        <v>0</v>
      </c>
      <c r="G45" s="130" t="s">
        <v>1189</v>
      </c>
      <c r="T45" s="634" t="b">
        <f t="shared" si="3"/>
        <v>0</v>
      </c>
      <c r="X45" s="1405"/>
      <c r="Z45" s="1405"/>
      <c r="AB45" s="820" t="s">
        <v>1502</v>
      </c>
      <c r="AC45" s="822" t="s">
        <v>1190</v>
      </c>
      <c r="AD45" s="819" t="s">
        <v>1204</v>
      </c>
      <c r="AE45" s="40">
        <f ca="1">SUMIFS('Топливо 4.4'!AH$27:AH$250,'Топливо 4.4'!$F$27:$F$250,$F45,'Топливо 4.4'!$G$27:$G$250,$G45)</f>
        <v>0</v>
      </c>
      <c r="AF45" s="40">
        <f ca="1">SUMIFS('Топливо 4.4'!AI$27:AI$250,'Топливо 4.4'!$F$27:$F$250,$F45,'Топливо 4.4'!$G$27:$G$250,$G45)</f>
        <v>0</v>
      </c>
      <c r="AG45" s="40">
        <f ca="1">SUMIFS('Топливо 4.4'!AJ$27:AJ$250,'Топливо 4.4'!$F$27:$F$250,$F45,'Топливо 4.4'!$G$27:$G$250,$G45)</f>
        <v>0</v>
      </c>
      <c r="AH45" s="293">
        <f t="shared" ca="1" si="4"/>
        <v>0</v>
      </c>
      <c r="AI45" s="40">
        <f ca="1">SUMIFS('Топливо 4.4'!AK$27:AK$250,'Топливо 4.4'!$F$27:$F$250,$F45,'Топливо 4.4'!$G$27:$G$250,$G45)</f>
        <v>0</v>
      </c>
      <c r="AJ45" s="241">
        <f ca="1">SUMIFS('Топливо 4.4'!AL$27:AL$250,'Топливо 4.4'!$F$27:$F$250,$F45,'Топливо 4.4'!$G$27:$G$250,$G45)</f>
        <v>0</v>
      </c>
      <c r="AK45" s="241">
        <f ca="1">SUMIFS('Топливо 4.4'!BP$27:BP$250,'Топливо 4.4'!$F$27:$F$250,$F45,'Топливо 4.4'!$G$27:$G$250,$G45)</f>
        <v>0</v>
      </c>
      <c r="AL45" s="293">
        <f t="shared" ca="1" si="5"/>
        <v>0</v>
      </c>
      <c r="AM45" s="22"/>
      <c r="AN45" s="22"/>
      <c r="AO45" s="22"/>
      <c r="AR45" s="946" t="s">
        <v>1503</v>
      </c>
    </row>
    <row r="46" spans="5:48" ht="16.7" hidden="1" customHeight="1">
      <c r="E46" s="623">
        <v>17.100000000000001</v>
      </c>
      <c r="F46" s="714">
        <f t="shared" ca="1" si="2"/>
        <v>0</v>
      </c>
      <c r="G46" s="130" t="s">
        <v>1073</v>
      </c>
      <c r="T46" s="634" t="b">
        <f t="shared" si="3"/>
        <v>0</v>
      </c>
      <c r="X46" s="1405"/>
      <c r="Z46" s="1405"/>
      <c r="AB46" s="820" t="s">
        <v>1504</v>
      </c>
      <c r="AC46" s="822" t="s">
        <v>1505</v>
      </c>
      <c r="AD46" s="819" t="s">
        <v>1204</v>
      </c>
      <c r="AE46" s="60">
        <f ca="1">SUMIFS(Налоги!AE$26:AE$55,Налоги!$F$26:$F$55,$F46,Налоги!$H$26:$H$55,$G46)</f>
        <v>0</v>
      </c>
      <c r="AF46" s="60">
        <f ca="1">SUMIFS(Налоги!AF$26:AF$55,Налоги!$F$26:$F$55,$F46,Налоги!$H$26:$H$55,$G46)</f>
        <v>0</v>
      </c>
      <c r="AG46" s="60">
        <f ca="1">SUMIFS(Налоги!AG$26:AG$55,Налоги!$F$26:$F$55,$F46,Налоги!$H$26:$H$55,$G46)</f>
        <v>0</v>
      </c>
      <c r="AH46" s="293">
        <f t="shared" ca="1" si="4"/>
        <v>0</v>
      </c>
      <c r="AI46" s="60">
        <f ca="1">SUMIFS(Налоги!AH$26:AH$55,Налоги!$F$26:$F$55,$F46,Налоги!$H$26:$H$55,$G46)</f>
        <v>0</v>
      </c>
      <c r="AJ46" s="471">
        <f ca="1">SUMIFS(Налоги!AI$26:AI$55,Налоги!$F$26:$F$55,$F46,Налоги!$H$26:$H$55,$G46)</f>
        <v>0</v>
      </c>
      <c r="AK46" s="471">
        <f ca="1">SUMIFS(Налоги!AS$26:AS$55,Налоги!$F$26:$F$55,$F46,Налоги!$H$26:$H$55,$G46)</f>
        <v>0</v>
      </c>
      <c r="AL46" s="293">
        <f t="shared" ca="1" si="5"/>
        <v>0</v>
      </c>
      <c r="AM46" s="22"/>
      <c r="AN46" s="22"/>
      <c r="AO46" s="22"/>
      <c r="AR46" s="946" t="s">
        <v>1506</v>
      </c>
    </row>
    <row r="47" spans="5:48" ht="16.7" hidden="1" customHeight="1">
      <c r="E47" s="623">
        <v>17.100000000000001</v>
      </c>
      <c r="F47" s="714">
        <f t="shared" ca="1" si="2"/>
        <v>0</v>
      </c>
      <c r="T47" s="634" t="b">
        <f ca="1">AND(F47&gt;0,Y47&gt;0)</f>
        <v>0</v>
      </c>
      <c r="W47" s="113" t="s">
        <v>170</v>
      </c>
      <c r="X47" s="1405"/>
      <c r="Y47" s="113">
        <v>0</v>
      </c>
      <c r="Z47" s="1405"/>
      <c r="AA47" s="773" t="s">
        <v>157</v>
      </c>
      <c r="AB47" s="837" t="str">
        <f>"1.8."&amp;10+Y47</f>
        <v>1.8.10</v>
      </c>
      <c r="AC47" s="79"/>
      <c r="AD47" s="819" t="s">
        <v>1204</v>
      </c>
      <c r="AE47" s="40"/>
      <c r="AF47" s="40"/>
      <c r="AG47" s="40"/>
      <c r="AH47" s="293">
        <f t="shared" si="4"/>
        <v>0</v>
      </c>
      <c r="AI47" s="40"/>
      <c r="AJ47" s="241"/>
      <c r="AK47" s="241"/>
      <c r="AL47" s="293">
        <f t="shared" si="5"/>
        <v>0</v>
      </c>
      <c r="AM47" s="22"/>
      <c r="AN47" s="22"/>
      <c r="AO47" s="22"/>
      <c r="AR47" s="946" t="s">
        <v>1507</v>
      </c>
      <c r="AS47" s="946" t="s">
        <v>1015</v>
      </c>
      <c r="AT47" s="969">
        <f>AC47</f>
        <v>0</v>
      </c>
      <c r="AV47" s="966" t="b">
        <v>1</v>
      </c>
    </row>
    <row r="48" spans="5:48" ht="16.5" hidden="1" customHeight="1">
      <c r="E48" s="623">
        <v>17</v>
      </c>
      <c r="F48" s="714">
        <f t="shared" ca="1" si="2"/>
        <v>0</v>
      </c>
      <c r="T48" s="634" t="b">
        <f ca="1">F48&gt;0</f>
        <v>0</v>
      </c>
      <c r="W48" s="109" t="s">
        <v>399</v>
      </c>
      <c r="X48" s="1405"/>
      <c r="Z48" s="1405"/>
      <c r="AB48" s="836"/>
      <c r="AC48" s="768" t="s">
        <v>172</v>
      </c>
      <c r="AD48" s="299"/>
      <c r="AE48" s="299"/>
      <c r="AF48" s="299"/>
      <c r="AG48" s="299"/>
      <c r="AH48" s="299"/>
      <c r="AI48" s="299"/>
      <c r="AJ48" s="299"/>
      <c r="AK48" s="299"/>
      <c r="AL48" s="299"/>
      <c r="AM48" s="299"/>
      <c r="AN48" s="299"/>
      <c r="AO48" s="299"/>
      <c r="AU48" s="966" t="s">
        <v>1015</v>
      </c>
    </row>
    <row r="49" spans="5:44" ht="34.15" hidden="1" customHeight="1">
      <c r="E49" s="623">
        <v>35</v>
      </c>
      <c r="F49" s="714">
        <f t="shared" ca="1" si="2"/>
        <v>0</v>
      </c>
      <c r="G49" s="130" t="s">
        <v>1508</v>
      </c>
      <c r="T49" s="634" t="b">
        <f t="shared" ref="T49:T64" ca="1" si="6">T48</f>
        <v>0</v>
      </c>
      <c r="X49" s="1405"/>
      <c r="Z49" s="1405"/>
      <c r="AB49" s="817" t="s">
        <v>343</v>
      </c>
      <c r="AC49" s="818" t="s">
        <v>1509</v>
      </c>
      <c r="AD49" s="819" t="s">
        <v>818</v>
      </c>
      <c r="AE49" s="293">
        <f ca="1">SUMIFS('Баланс ТН'!AE$27:AE$101,'Баланс ТН'!$F$27:$F$101,$F49,'Баланс ТН'!$G$27:$G$101,$G49)-AE53</f>
        <v>0</v>
      </c>
      <c r="AF49" s="293">
        <f ca="1">SUMIFS('Баланс ТН'!AF$27:AF$101,'Баланс ТН'!$F$27:$F$101,$F49,'Баланс ТН'!$G$27:$G$101,$G49)-AF53</f>
        <v>0</v>
      </c>
      <c r="AG49" s="293">
        <f ca="1">SUMIFS('Баланс ТН'!AG$27:AG$101,'Баланс ТН'!$F$27:$F$101,$F49,'Баланс ТН'!$G$27:$G$101,$G49)-AG53</f>
        <v>0</v>
      </c>
      <c r="AH49" s="293">
        <f t="shared" ref="AH49:AH64" ca="1" si="7">AG49-AF49</f>
        <v>0</v>
      </c>
      <c r="AI49" s="293">
        <f ca="1">SUMIFS('Баланс ТН'!AH$27:AH$101,'Баланс ТН'!$F$27:$F$101,$F49,'Баланс ТН'!$G$27:$G$101,$G49)-AI53</f>
        <v>0</v>
      </c>
      <c r="AJ49" s="293">
        <f ca="1">SUMIFS('Баланс ТН'!AI$27:AI$101,'Баланс ТН'!$F$27:$F$101,$F49,'Баланс ТН'!$G$27:$G$101,$G49)-AJ53</f>
        <v>0</v>
      </c>
      <c r="AK49" s="293">
        <f ca="1">SUMIFS('Баланс ТН'!AS$27:AS$101,'Баланс ТН'!$F$27:$F$101,$F49,'Баланс ТН'!$G$27:$G$101,$G49)-AK53</f>
        <v>0</v>
      </c>
      <c r="AL49" s="293">
        <f t="shared" ref="AL49:AL64" ca="1" si="8">IF(AI49=0,0,(AK49-AI49)/AI49*100)</f>
        <v>0</v>
      </c>
      <c r="AM49" s="22"/>
      <c r="AN49" s="22"/>
      <c r="AO49" s="22"/>
      <c r="AR49" s="946" t="s">
        <v>1510</v>
      </c>
    </row>
    <row r="50" spans="5:44" ht="16.7" hidden="1" customHeight="1">
      <c r="E50" s="623">
        <v>17.100000000000001</v>
      </c>
      <c r="F50" s="714">
        <f t="shared" ca="1" si="2"/>
        <v>0</v>
      </c>
      <c r="G50" s="130" t="s">
        <v>1441</v>
      </c>
      <c r="T50" s="634" t="b">
        <f t="shared" ca="1" si="6"/>
        <v>0</v>
      </c>
      <c r="X50" s="1405"/>
      <c r="Z50" s="1405"/>
      <c r="AB50" s="820" t="s">
        <v>346</v>
      </c>
      <c r="AC50" s="555" t="s">
        <v>1511</v>
      </c>
      <c r="AD50" s="819" t="s">
        <v>818</v>
      </c>
      <c r="AE50" s="40"/>
      <c r="AF50" s="40"/>
      <c r="AG50" s="40"/>
      <c r="AH50" s="293">
        <f t="shared" si="7"/>
        <v>0</v>
      </c>
      <c r="AI50" s="40"/>
      <c r="AJ50" s="241"/>
      <c r="AK50" s="241"/>
      <c r="AL50" s="293">
        <f t="shared" si="8"/>
        <v>0</v>
      </c>
      <c r="AM50" s="22"/>
      <c r="AN50" s="22"/>
      <c r="AO50" s="22"/>
      <c r="AR50" s="946" t="s">
        <v>1512</v>
      </c>
    </row>
    <row r="51" spans="5:44" ht="16.7" hidden="1" customHeight="1">
      <c r="E51" s="623">
        <v>17.100000000000001</v>
      </c>
      <c r="F51" s="714">
        <f t="shared" ca="1" si="2"/>
        <v>0</v>
      </c>
      <c r="G51" s="130" t="s">
        <v>1448</v>
      </c>
      <c r="T51" s="634" t="b">
        <f t="shared" ca="1" si="6"/>
        <v>0</v>
      </c>
      <c r="X51" s="1405"/>
      <c r="Z51" s="1405"/>
      <c r="AB51" s="820" t="s">
        <v>373</v>
      </c>
      <c r="AC51" s="555" t="s">
        <v>1513</v>
      </c>
      <c r="AD51" s="819" t="s">
        <v>818</v>
      </c>
      <c r="AE51" s="293">
        <f ca="1">AE49-AE50</f>
        <v>0</v>
      </c>
      <c r="AF51" s="293">
        <f ca="1">AF49-AF50</f>
        <v>0</v>
      </c>
      <c r="AG51" s="293">
        <f ca="1">AG49-AG50</f>
        <v>0</v>
      </c>
      <c r="AH51" s="293">
        <f t="shared" ca="1" si="7"/>
        <v>0</v>
      </c>
      <c r="AI51" s="293">
        <f ca="1">AI49-AI50</f>
        <v>0</v>
      </c>
      <c r="AJ51" s="293">
        <f ca="1">AJ49-AJ50</f>
        <v>0</v>
      </c>
      <c r="AK51" s="293">
        <f ca="1">AK49-AK50</f>
        <v>0</v>
      </c>
      <c r="AL51" s="293">
        <f t="shared" ca="1" si="8"/>
        <v>0</v>
      </c>
      <c r="AM51" s="22"/>
      <c r="AN51" s="22"/>
      <c r="AO51" s="22"/>
      <c r="AR51" s="946" t="s">
        <v>1514</v>
      </c>
    </row>
    <row r="52" spans="5:44" ht="18.95" hidden="1" customHeight="1">
      <c r="E52" s="623">
        <v>19.5</v>
      </c>
      <c r="F52" s="714">
        <f t="shared" ca="1" si="2"/>
        <v>0</v>
      </c>
      <c r="T52" s="634" t="b">
        <f t="shared" ca="1" si="6"/>
        <v>0</v>
      </c>
      <c r="X52" s="1405"/>
      <c r="Z52" s="1405"/>
      <c r="AB52" s="817" t="s">
        <v>520</v>
      </c>
      <c r="AC52" s="818" t="s">
        <v>1515</v>
      </c>
      <c r="AD52" s="819" t="s">
        <v>1204</v>
      </c>
      <c r="AE52" s="40"/>
      <c r="AF52" s="40"/>
      <c r="AG52" s="40"/>
      <c r="AH52" s="293">
        <f t="shared" si="7"/>
        <v>0</v>
      </c>
      <c r="AI52" s="40"/>
      <c r="AJ52" s="241"/>
      <c r="AK52" s="241"/>
      <c r="AL52" s="293">
        <f t="shared" si="8"/>
        <v>0</v>
      </c>
      <c r="AM52" s="22"/>
      <c r="AN52" s="22"/>
      <c r="AO52" s="22"/>
      <c r="AR52" s="946" t="s">
        <v>1516</v>
      </c>
    </row>
    <row r="53" spans="5:44" ht="16.7" hidden="1" customHeight="1">
      <c r="E53" s="623">
        <v>17.100000000000001</v>
      </c>
      <c r="F53" s="714">
        <f t="shared" ca="1" si="2"/>
        <v>0</v>
      </c>
      <c r="G53" s="130" t="s">
        <v>1517</v>
      </c>
      <c r="T53" s="634" t="b">
        <f t="shared" ca="1" si="6"/>
        <v>0</v>
      </c>
      <c r="X53" s="1405"/>
      <c r="Z53" s="1405"/>
      <c r="AB53" s="817" t="s">
        <v>527</v>
      </c>
      <c r="AC53" s="818" t="s">
        <v>1518</v>
      </c>
      <c r="AD53" s="819" t="s">
        <v>818</v>
      </c>
      <c r="AE53" s="293">
        <f ca="1">SUMIFS('Баланс ТН'!AE$27:AE$101,'Баланс ТН'!$F$27:$F$101,$F53,'Баланс ТН'!$G$27:$G$101,$G53)</f>
        <v>0</v>
      </c>
      <c r="AF53" s="293">
        <f ca="1">SUMIFS('Баланс ТН'!AF$27:AF$101,'Баланс ТН'!$F$27:$F$101,$F53,'Баланс ТН'!$G$27:$G$101,$G53)</f>
        <v>0</v>
      </c>
      <c r="AG53" s="293">
        <f ca="1">SUMIFS('Баланс ТН'!AG$27:AG$101,'Баланс ТН'!$F$27:$F$101,$F53,'Баланс ТН'!$G$27:$G$101,$G53)</f>
        <v>0</v>
      </c>
      <c r="AH53" s="293">
        <f t="shared" ca="1" si="7"/>
        <v>0</v>
      </c>
      <c r="AI53" s="293">
        <f ca="1">SUMIFS('Баланс ТН'!AH$27:AH$101,'Баланс ТН'!$F$27:$F$101,$F53,'Баланс ТН'!$G$27:$G$101,$G53)</f>
        <v>0</v>
      </c>
      <c r="AJ53" s="293">
        <f ca="1">SUMIFS('Баланс ТН'!AI$27:AI$101,'Баланс ТН'!$F$27:$F$101,$F53,'Баланс ТН'!$G$27:$G$101,$G53)</f>
        <v>0</v>
      </c>
      <c r="AK53" s="293">
        <f ca="1">SUMIFS('Баланс ТН'!AS$27:AS$101,'Баланс ТН'!$F$27:$F$101,$F53,'Баланс ТН'!$G$27:$G$101,$G53)</f>
        <v>0</v>
      </c>
      <c r="AL53" s="293">
        <f t="shared" ca="1" si="8"/>
        <v>0</v>
      </c>
      <c r="AM53" s="22"/>
      <c r="AN53" s="22"/>
      <c r="AO53" s="22"/>
      <c r="AR53" s="946" t="s">
        <v>1519</v>
      </c>
    </row>
    <row r="54" spans="5:44" ht="16.7" hidden="1" customHeight="1">
      <c r="E54" s="623">
        <v>17.100000000000001</v>
      </c>
      <c r="F54" s="714">
        <f t="shared" ca="1" si="2"/>
        <v>0</v>
      </c>
      <c r="G54" s="130" t="s">
        <v>1441</v>
      </c>
      <c r="T54" s="634" t="b">
        <f t="shared" ca="1" si="6"/>
        <v>0</v>
      </c>
      <c r="X54" s="1405"/>
      <c r="Z54" s="1405"/>
      <c r="AB54" s="820" t="s">
        <v>530</v>
      </c>
      <c r="AC54" s="555" t="s">
        <v>1511</v>
      </c>
      <c r="AD54" s="819" t="s">
        <v>818</v>
      </c>
      <c r="AE54" s="40"/>
      <c r="AF54" s="40"/>
      <c r="AG54" s="40"/>
      <c r="AH54" s="293">
        <f t="shared" si="7"/>
        <v>0</v>
      </c>
      <c r="AI54" s="40"/>
      <c r="AJ54" s="241"/>
      <c r="AK54" s="241"/>
      <c r="AL54" s="293">
        <f t="shared" si="8"/>
        <v>0</v>
      </c>
      <c r="AM54" s="22"/>
      <c r="AN54" s="22"/>
      <c r="AO54" s="22"/>
      <c r="AR54" s="946" t="s">
        <v>1520</v>
      </c>
    </row>
    <row r="55" spans="5:44" ht="16.7" hidden="1" customHeight="1">
      <c r="E55" s="623">
        <v>17.100000000000001</v>
      </c>
      <c r="F55" s="714">
        <f t="shared" ca="1" si="2"/>
        <v>0</v>
      </c>
      <c r="G55" s="130" t="s">
        <v>1448</v>
      </c>
      <c r="T55" s="634" t="b">
        <f t="shared" ca="1" si="6"/>
        <v>0</v>
      </c>
      <c r="X55" s="1405"/>
      <c r="Z55" s="1405"/>
      <c r="AB55" s="820" t="s">
        <v>532</v>
      </c>
      <c r="AC55" s="555" t="s">
        <v>1513</v>
      </c>
      <c r="AD55" s="819" t="s">
        <v>818</v>
      </c>
      <c r="AE55" s="293">
        <f ca="1">AE53-AE54</f>
        <v>0</v>
      </c>
      <c r="AF55" s="293">
        <f ca="1">AF53-AF54</f>
        <v>0</v>
      </c>
      <c r="AG55" s="293">
        <f ca="1">AG53-AG54</f>
        <v>0</v>
      </c>
      <c r="AH55" s="293">
        <f t="shared" ca="1" si="7"/>
        <v>0</v>
      </c>
      <c r="AI55" s="293">
        <f ca="1">AI53-AI54</f>
        <v>0</v>
      </c>
      <c r="AJ55" s="293">
        <f ca="1">AJ53-AJ54</f>
        <v>0</v>
      </c>
      <c r="AK55" s="293">
        <f ca="1">AK53-AK54</f>
        <v>0</v>
      </c>
      <c r="AL55" s="293">
        <f t="shared" ca="1" si="8"/>
        <v>0</v>
      </c>
      <c r="AM55" s="22"/>
      <c r="AN55" s="22"/>
      <c r="AO55" s="22"/>
      <c r="AR55" s="946" t="s">
        <v>1521</v>
      </c>
    </row>
    <row r="56" spans="5:44" ht="34.15" hidden="1" customHeight="1">
      <c r="E56" s="623">
        <v>35</v>
      </c>
      <c r="F56" s="714">
        <f t="shared" ca="1" si="2"/>
        <v>0</v>
      </c>
      <c r="T56" s="634" t="b">
        <f t="shared" ca="1" si="6"/>
        <v>0</v>
      </c>
      <c r="X56" s="1405"/>
      <c r="Z56" s="1405"/>
      <c r="AB56" s="817" t="s">
        <v>534</v>
      </c>
      <c r="AC56" s="818" t="s">
        <v>1522</v>
      </c>
      <c r="AD56" s="819" t="s">
        <v>1204</v>
      </c>
      <c r="AE56" s="40"/>
      <c r="AF56" s="40"/>
      <c r="AG56" s="40"/>
      <c r="AH56" s="293">
        <f t="shared" si="7"/>
        <v>0</v>
      </c>
      <c r="AI56" s="40"/>
      <c r="AJ56" s="241"/>
      <c r="AK56" s="241"/>
      <c r="AL56" s="293">
        <f t="shared" si="8"/>
        <v>0</v>
      </c>
      <c r="AM56" s="22"/>
      <c r="AN56" s="22"/>
      <c r="AO56" s="22"/>
      <c r="AR56" s="946" t="s">
        <v>1523</v>
      </c>
    </row>
    <row r="57" spans="5:44" ht="16.7" hidden="1" customHeight="1">
      <c r="E57" s="623">
        <v>17.100000000000001</v>
      </c>
      <c r="F57" s="714">
        <f t="shared" ca="1" si="2"/>
        <v>0</v>
      </c>
      <c r="T57" s="634" t="b">
        <f t="shared" ca="1" si="6"/>
        <v>0</v>
      </c>
      <c r="X57" s="1405"/>
      <c r="Z57" s="1405"/>
      <c r="AB57" s="823" t="s">
        <v>541</v>
      </c>
      <c r="AC57" s="824" t="s">
        <v>1524</v>
      </c>
      <c r="AD57" s="825" t="s">
        <v>1204</v>
      </c>
      <c r="AE57" s="293">
        <f ca="1">AE28+AE52+AE56</f>
        <v>0</v>
      </c>
      <c r="AF57" s="293">
        <f ca="1">AF28+AF52+AF56</f>
        <v>0</v>
      </c>
      <c r="AG57" s="293">
        <f ca="1">AG28+AG52+AG56</f>
        <v>0</v>
      </c>
      <c r="AH57" s="293">
        <f t="shared" ca="1" si="7"/>
        <v>0</v>
      </c>
      <c r="AI57" s="293">
        <f ca="1">AI28+AI52+AI56</f>
        <v>0</v>
      </c>
      <c r="AJ57" s="293">
        <f ca="1">AJ28+AJ52+AJ56</f>
        <v>0</v>
      </c>
      <c r="AK57" s="293">
        <f ca="1">AK28+AK52+AK56</f>
        <v>0</v>
      </c>
      <c r="AL57" s="293">
        <f t="shared" ca="1" si="8"/>
        <v>0</v>
      </c>
      <c r="AM57" s="22"/>
      <c r="AN57" s="22"/>
      <c r="AO57" s="22"/>
      <c r="AR57" s="946" t="s">
        <v>1525</v>
      </c>
    </row>
    <row r="58" spans="5:44" ht="34.15" hidden="1" customHeight="1">
      <c r="E58" s="623">
        <v>35</v>
      </c>
      <c r="F58" s="714">
        <f t="shared" ca="1" si="2"/>
        <v>0</v>
      </c>
      <c r="T58" s="634" t="b">
        <f t="shared" ca="1" si="6"/>
        <v>0</v>
      </c>
      <c r="X58" s="1405"/>
      <c r="Z58" s="1405"/>
      <c r="AB58" s="817" t="s">
        <v>549</v>
      </c>
      <c r="AC58" s="818" t="s">
        <v>1526</v>
      </c>
      <c r="AD58" s="820" t="s">
        <v>1527</v>
      </c>
      <c r="AE58" s="293">
        <f ca="1">IFERROR(AE57/(AE49+AE53),0)</f>
        <v>0</v>
      </c>
      <c r="AF58" s="293">
        <f ca="1">IFERROR(AF57/(AF49+AF53),0)</f>
        <v>0</v>
      </c>
      <c r="AG58" s="293">
        <f ca="1">IFERROR(AG57/(AG49+AG53),0)</f>
        <v>0</v>
      </c>
      <c r="AH58" s="293">
        <f t="shared" ca="1" si="7"/>
        <v>0</v>
      </c>
      <c r="AI58" s="293">
        <f ca="1">IFERROR(AI57/(AI49+AI53),0)</f>
        <v>0</v>
      </c>
      <c r="AJ58" s="293">
        <f ca="1">IFERROR(AJ57/(AJ49+AJ53),0)</f>
        <v>0</v>
      </c>
      <c r="AK58" s="293">
        <f ca="1">IFERROR(AK57/(AK49+AK53),0)</f>
        <v>0</v>
      </c>
      <c r="AL58" s="293">
        <f t="shared" ca="1" si="8"/>
        <v>0</v>
      </c>
      <c r="AM58" s="22"/>
      <c r="AN58" s="22"/>
      <c r="AO58" s="22"/>
      <c r="AR58" s="946" t="s">
        <v>1528</v>
      </c>
    </row>
    <row r="59" spans="5:44" ht="16.7" hidden="1" customHeight="1">
      <c r="E59" s="623">
        <v>17.100000000000001</v>
      </c>
      <c r="F59" s="714">
        <f t="shared" ca="1" si="2"/>
        <v>0</v>
      </c>
      <c r="T59" s="634" t="b">
        <f t="shared" ca="1" si="6"/>
        <v>0</v>
      </c>
      <c r="X59" s="1405"/>
      <c r="Z59" s="1405"/>
      <c r="AB59" s="820" t="s">
        <v>552</v>
      </c>
      <c r="AC59" s="555" t="s">
        <v>1511</v>
      </c>
      <c r="AD59" s="820" t="s">
        <v>1527</v>
      </c>
      <c r="AE59" s="40"/>
      <c r="AF59" s="40"/>
      <c r="AG59" s="40"/>
      <c r="AH59" s="293">
        <f t="shared" si="7"/>
        <v>0</v>
      </c>
      <c r="AI59" s="40"/>
      <c r="AJ59" s="241"/>
      <c r="AK59" s="241"/>
      <c r="AL59" s="293">
        <f t="shared" si="8"/>
        <v>0</v>
      </c>
      <c r="AM59" s="22"/>
      <c r="AN59" s="22"/>
      <c r="AO59" s="22"/>
      <c r="AR59" s="946" t="s">
        <v>1529</v>
      </c>
    </row>
    <row r="60" spans="5:44" ht="16.7" hidden="1" customHeight="1">
      <c r="E60" s="623">
        <v>17.100000000000001</v>
      </c>
      <c r="F60" s="714">
        <f t="shared" ca="1" si="2"/>
        <v>0</v>
      </c>
      <c r="T60" s="634" t="b">
        <f t="shared" ca="1" si="6"/>
        <v>0</v>
      </c>
      <c r="X60" s="1405"/>
      <c r="Z60" s="1405"/>
      <c r="AB60" s="820" t="s">
        <v>554</v>
      </c>
      <c r="AC60" s="555" t="s">
        <v>1513</v>
      </c>
      <c r="AD60" s="820" t="s">
        <v>1527</v>
      </c>
      <c r="AE60" s="23">
        <f ca="1">IFERROR((AE57-AE59*(AE50+AE54))/(AE51+AE55),0)</f>
        <v>0</v>
      </c>
      <c r="AF60" s="23">
        <f ca="1">IFERROR((AF57-AF59*(AF50+AF54))/(AF51+AF55),0)</f>
        <v>0</v>
      </c>
      <c r="AG60" s="23">
        <f ca="1">IFERROR((AG57-AG59*(AG50+AG54))/(AG51+AG55),0)</f>
        <v>0</v>
      </c>
      <c r="AH60" s="293">
        <f t="shared" ca="1" si="7"/>
        <v>0</v>
      </c>
      <c r="AI60" s="23">
        <f ca="1">IFERROR((AI57-AI59*(AI50+AI54))/(AI51+AI55),0)</f>
        <v>0</v>
      </c>
      <c r="AJ60" s="233">
        <f ca="1">IFERROR((AJ57-AJ59*(AJ50+AJ54))/(AJ51+AJ55),0)</f>
        <v>0</v>
      </c>
      <c r="AK60" s="233">
        <f ca="1">IFERROR((AK57-AK59*(AK50+AK54))/(AK51+AK55),0)</f>
        <v>0</v>
      </c>
      <c r="AL60" s="293">
        <f t="shared" ca="1" si="8"/>
        <v>0</v>
      </c>
      <c r="AM60" s="22"/>
      <c r="AN60" s="22"/>
      <c r="AO60" s="22"/>
      <c r="AR60" s="946" t="s">
        <v>1530</v>
      </c>
    </row>
    <row r="61" spans="5:44" ht="43.9" hidden="1" customHeight="1">
      <c r="E61" s="623">
        <v>45</v>
      </c>
      <c r="F61" s="714">
        <f t="shared" ca="1" si="2"/>
        <v>0</v>
      </c>
      <c r="T61" s="634" t="b">
        <f t="shared" ca="1" si="6"/>
        <v>0</v>
      </c>
      <c r="X61" s="1405"/>
      <c r="Z61" s="1405"/>
      <c r="AB61" s="823" t="s">
        <v>1123</v>
      </c>
      <c r="AC61" s="818" t="s">
        <v>1531</v>
      </c>
      <c r="AD61" s="820" t="s">
        <v>1527</v>
      </c>
      <c r="AE61" s="293">
        <f t="shared" ref="AE61:AG63" ca="1" si="9">AE58</f>
        <v>0</v>
      </c>
      <c r="AF61" s="293">
        <f t="shared" ca="1" si="9"/>
        <v>0</v>
      </c>
      <c r="AG61" s="293">
        <f t="shared" ca="1" si="9"/>
        <v>0</v>
      </c>
      <c r="AH61" s="293">
        <f t="shared" ca="1" si="7"/>
        <v>0</v>
      </c>
      <c r="AI61" s="293">
        <f t="shared" ref="AI61:AK63" ca="1" si="10">AI58</f>
        <v>0</v>
      </c>
      <c r="AJ61" s="293">
        <f t="shared" ca="1" si="10"/>
        <v>0</v>
      </c>
      <c r="AK61" s="293">
        <f t="shared" ca="1" si="10"/>
        <v>0</v>
      </c>
      <c r="AL61" s="293">
        <f t="shared" ca="1" si="8"/>
        <v>0</v>
      </c>
      <c r="AM61" s="22"/>
      <c r="AN61" s="22"/>
      <c r="AO61" s="22"/>
      <c r="AR61" s="946" t="s">
        <v>1532</v>
      </c>
    </row>
    <row r="62" spans="5:44" ht="16.7" hidden="1" customHeight="1">
      <c r="E62" s="623">
        <v>17.100000000000001</v>
      </c>
      <c r="F62" s="714">
        <f t="shared" ca="1" si="2"/>
        <v>0</v>
      </c>
      <c r="G62" s="130" t="s">
        <v>1444</v>
      </c>
      <c r="T62" s="634" t="b">
        <f t="shared" ca="1" si="6"/>
        <v>0</v>
      </c>
      <c r="X62" s="1405"/>
      <c r="Z62" s="1405"/>
      <c r="AB62" s="826" t="s">
        <v>602</v>
      </c>
      <c r="AC62" s="555" t="s">
        <v>1511</v>
      </c>
      <c r="AD62" s="820" t="s">
        <v>1527</v>
      </c>
      <c r="AE62" s="293">
        <f t="shared" si="9"/>
        <v>0</v>
      </c>
      <c r="AF62" s="293">
        <f t="shared" si="9"/>
        <v>0</v>
      </c>
      <c r="AG62" s="293">
        <f t="shared" si="9"/>
        <v>0</v>
      </c>
      <c r="AH62" s="293">
        <f t="shared" si="7"/>
        <v>0</v>
      </c>
      <c r="AI62" s="293">
        <f t="shared" si="10"/>
        <v>0</v>
      </c>
      <c r="AJ62" s="293">
        <f t="shared" si="10"/>
        <v>0</v>
      </c>
      <c r="AK62" s="293">
        <f t="shared" si="10"/>
        <v>0</v>
      </c>
      <c r="AL62" s="293">
        <f t="shared" si="8"/>
        <v>0</v>
      </c>
      <c r="AM62" s="22"/>
      <c r="AN62" s="22"/>
      <c r="AO62" s="22"/>
      <c r="AR62" s="946" t="s">
        <v>1533</v>
      </c>
    </row>
    <row r="63" spans="5:44" ht="16.7" hidden="1" customHeight="1">
      <c r="E63" s="623">
        <v>17.100000000000001</v>
      </c>
      <c r="F63" s="714">
        <f t="shared" ca="1" si="2"/>
        <v>0</v>
      </c>
      <c r="G63" s="130" t="s">
        <v>1451</v>
      </c>
      <c r="T63" s="634" t="b">
        <f t="shared" ca="1" si="6"/>
        <v>0</v>
      </c>
      <c r="X63" s="1405"/>
      <c r="Z63" s="1405"/>
      <c r="AB63" s="820" t="s">
        <v>1534</v>
      </c>
      <c r="AC63" s="555" t="s">
        <v>1513</v>
      </c>
      <c r="AD63" s="819" t="s">
        <v>1527</v>
      </c>
      <c r="AE63" s="293">
        <f t="shared" ca="1" si="9"/>
        <v>0</v>
      </c>
      <c r="AF63" s="293">
        <f t="shared" ca="1" si="9"/>
        <v>0</v>
      </c>
      <c r="AG63" s="293">
        <f t="shared" ca="1" si="9"/>
        <v>0</v>
      </c>
      <c r="AH63" s="293">
        <f t="shared" ca="1" si="7"/>
        <v>0</v>
      </c>
      <c r="AI63" s="293">
        <f t="shared" ca="1" si="10"/>
        <v>0</v>
      </c>
      <c r="AJ63" s="293">
        <f t="shared" ca="1" si="10"/>
        <v>0</v>
      </c>
      <c r="AK63" s="293">
        <f t="shared" ca="1" si="10"/>
        <v>0</v>
      </c>
      <c r="AL63" s="293">
        <f t="shared" ca="1" si="8"/>
        <v>0</v>
      </c>
      <c r="AM63" s="22"/>
      <c r="AN63" s="22"/>
      <c r="AO63" s="22"/>
      <c r="AR63" s="946" t="s">
        <v>1535</v>
      </c>
    </row>
    <row r="64" spans="5:44" ht="29.25" hidden="1" customHeight="1">
      <c r="E64" s="623">
        <v>30</v>
      </c>
      <c r="F64" s="714">
        <f t="shared" ca="1" si="2"/>
        <v>0</v>
      </c>
      <c r="T64" s="634" t="b">
        <f t="shared" ca="1" si="6"/>
        <v>0</v>
      </c>
      <c r="X64" s="1405"/>
      <c r="Z64" s="1405"/>
      <c r="AB64" s="222" t="s">
        <v>1126</v>
      </c>
      <c r="AC64" s="805" t="s">
        <v>1459</v>
      </c>
      <c r="AD64" s="446" t="s">
        <v>837</v>
      </c>
      <c r="AE64" s="40"/>
      <c r="AF64" s="40"/>
      <c r="AG64" s="40"/>
      <c r="AH64" s="293">
        <f t="shared" si="7"/>
        <v>0</v>
      </c>
      <c r="AI64" s="40"/>
      <c r="AJ64" s="241"/>
      <c r="AK64" s="241"/>
      <c r="AL64" s="293">
        <f t="shared" si="8"/>
        <v>0</v>
      </c>
      <c r="AM64" s="22"/>
      <c r="AN64" s="22"/>
      <c r="AO64" s="22"/>
      <c r="AR64" s="946" t="s">
        <v>1536</v>
      </c>
    </row>
    <row r="65" spans="1:48" s="1211" customFormat="1" ht="16.5" customHeight="1">
      <c r="A65" s="157"/>
      <c r="B65" s="157"/>
      <c r="C65" s="157"/>
      <c r="D65" s="157"/>
      <c r="E65" s="623">
        <v>17.100000000000001</v>
      </c>
      <c r="F65" s="714" t="str">
        <f>X65</f>
        <v>1</v>
      </c>
      <c r="G65" s="157"/>
      <c r="H65" s="157"/>
      <c r="I65" s="150" t="str">
        <f>INDEX('Общие сведения'!$AE$169:$AE$202,MATCH($F65,'Общие сведения'!$Z$169:$Z$202,0))</f>
        <v>Теплоснабжение</v>
      </c>
      <c r="J65" s="157"/>
      <c r="K65" s="150" t="str">
        <f>INDEX('Общие сведения'!$AL$169:$AL$202,MATCH($F65,'Общие сведения'!$Z$169:$Z$202,0))</f>
        <v>Производство теплоносителя</v>
      </c>
      <c r="L65" s="157"/>
      <c r="M65" s="157"/>
      <c r="N65" s="157"/>
      <c r="O65" s="157"/>
      <c r="P65" s="157"/>
      <c r="Q65" s="157"/>
      <c r="R65" s="157"/>
      <c r="S65" s="157"/>
      <c r="T65" s="634" t="b">
        <f>X65&gt;0</f>
        <v>1</v>
      </c>
      <c r="U65" s="157"/>
      <c r="V65" s="113" t="str">
        <f>'Калькуляция (5.9)'!$AB$71</f>
        <v>Тариф 1 (Теплоснабжение) - Тарифы на теплоноситель (Не определено)</v>
      </c>
      <c r="W65" s="157"/>
      <c r="X65" s="1526" t="s">
        <v>247</v>
      </c>
      <c r="Y65" s="157"/>
      <c r="Z65" s="1403"/>
      <c r="AA65" s="157"/>
      <c r="AB65" s="252" t="str">
        <f>IF(ISBLANK('Калькуляция (5.9)'!$AB$71),"",'Калькуляция (5.9)'!$AB$71)</f>
        <v>Тариф 1 (Теплоснабжение) - Тарифы на теплоноситель (Не определено)</v>
      </c>
      <c r="AC65" s="253"/>
      <c r="AD65" s="253"/>
      <c r="AE65" s="253"/>
      <c r="AF65" s="253"/>
      <c r="AG65" s="253"/>
      <c r="AH65" s="253"/>
      <c r="AI65" s="253"/>
      <c r="AJ65" s="253"/>
      <c r="AK65" s="253"/>
      <c r="AL65" s="253"/>
      <c r="AM65" s="253"/>
      <c r="AN65" s="253"/>
      <c r="AO65" s="253"/>
      <c r="AP65" s="157"/>
      <c r="AQ65" s="157"/>
      <c r="AR65" s="884"/>
      <c r="AS65" s="884"/>
      <c r="AT65" s="884"/>
      <c r="AU65" s="885"/>
      <c r="AV65" s="885"/>
    </row>
    <row r="66" spans="1:48" s="1057" customFormat="1" ht="33.75" customHeight="1">
      <c r="A66" s="993"/>
      <c r="B66" s="718"/>
      <c r="C66" s="165"/>
      <c r="D66" s="165"/>
      <c r="E66" s="623">
        <v>35</v>
      </c>
      <c r="F66" s="714" t="str">
        <f t="shared" ref="F66:F102" ca="1" si="11">OFFSET(G66,-1,-1)</f>
        <v>1</v>
      </c>
      <c r="G66" s="167"/>
      <c r="H66" s="167"/>
      <c r="I66" s="167"/>
      <c r="J66" s="167"/>
      <c r="K66" s="167"/>
      <c r="L66" s="167"/>
      <c r="M66" s="167"/>
      <c r="N66" s="167"/>
      <c r="O66" s="167"/>
      <c r="P66" s="167"/>
      <c r="Q66" s="130"/>
      <c r="R66" s="130"/>
      <c r="S66" s="167"/>
      <c r="T66" s="634" t="b">
        <f t="shared" ref="T66:T84" si="12">T65</f>
        <v>1</v>
      </c>
      <c r="U66" s="1012"/>
      <c r="V66" s="1012"/>
      <c r="W66" s="1012"/>
      <c r="X66" s="1405"/>
      <c r="Y66" s="1012"/>
      <c r="Z66" s="1405"/>
      <c r="AA66" s="167"/>
      <c r="AB66" s="817" t="s">
        <v>247</v>
      </c>
      <c r="AC66" s="818" t="s">
        <v>1462</v>
      </c>
      <c r="AD66" s="819" t="s">
        <v>1204</v>
      </c>
      <c r="AE66" s="293">
        <f ca="1">SUM(AE67:AE74)</f>
        <v>3437.5138216700002</v>
      </c>
      <c r="AF66" s="293">
        <f ca="1">SUM(AF67:AF74)</f>
        <v>3439.0210000000002</v>
      </c>
      <c r="AG66" s="293">
        <f ca="1">SUM(AG67:AG74)</f>
        <v>3439.02</v>
      </c>
      <c r="AH66" s="293">
        <f t="shared" ref="AH66:AH85" ca="1" si="13">AG66-AF66</f>
        <v>-1.0000000002037268E-3</v>
      </c>
      <c r="AI66" s="293">
        <f ca="1">SUM(AI67:AI74)</f>
        <v>3891.6045094000006</v>
      </c>
      <c r="AJ66" s="293">
        <f ca="1">SUM(AJ67:AJ74)</f>
        <v>4362.83</v>
      </c>
      <c r="AK66" s="293">
        <f ca="1">SUM(AK67:AK74)</f>
        <v>4302.093613</v>
      </c>
      <c r="AL66" s="293">
        <f t="shared" ref="AL66:AL85" ca="1" si="14">IF(AI66=0,0,(AK66-AI66)/AI66*100)</f>
        <v>10.548068350945758</v>
      </c>
      <c r="AM66" s="1106"/>
      <c r="AN66" s="1106"/>
      <c r="AO66" s="1106"/>
      <c r="AP66" s="167"/>
      <c r="AQ66" s="167"/>
      <c r="AR66" s="946" t="s">
        <v>1463</v>
      </c>
      <c r="AS66" s="946"/>
      <c r="AT66" s="946"/>
      <c r="AU66" s="966"/>
      <c r="AV66" s="966"/>
    </row>
    <row r="67" spans="1:48" s="1057" customFormat="1" ht="16.5" customHeight="1">
      <c r="A67" s="993"/>
      <c r="B67" s="718"/>
      <c r="C67" s="165"/>
      <c r="D67" s="165"/>
      <c r="E67" s="623">
        <v>17.100000000000001</v>
      </c>
      <c r="F67" s="714" t="str">
        <f t="shared" ca="1" si="11"/>
        <v>1</v>
      </c>
      <c r="G67" s="130" t="s">
        <v>810</v>
      </c>
      <c r="H67" s="167"/>
      <c r="I67" s="167"/>
      <c r="J67" s="167"/>
      <c r="K67" s="167"/>
      <c r="L67" s="167"/>
      <c r="M67" s="167"/>
      <c r="N67" s="167"/>
      <c r="O67" s="167"/>
      <c r="P67" s="167"/>
      <c r="Q67" s="130"/>
      <c r="R67" s="130"/>
      <c r="S67" s="167"/>
      <c r="T67" s="634" t="b">
        <f t="shared" si="12"/>
        <v>1</v>
      </c>
      <c r="U67" s="1012"/>
      <c r="V67" s="1012"/>
      <c r="W67" s="1012"/>
      <c r="X67" s="1405"/>
      <c r="Y67" s="1012"/>
      <c r="Z67" s="1405"/>
      <c r="AA67" s="167"/>
      <c r="AB67" s="820" t="s">
        <v>339</v>
      </c>
      <c r="AC67" s="821" t="s">
        <v>1464</v>
      </c>
      <c r="AD67" s="819" t="s">
        <v>1204</v>
      </c>
      <c r="AE67" s="1212">
        <f ca="1">SUMIFS('ХВС, ТН'!AE$26:AE$56,'ХВС, ТН'!$F$26:$F$56,$F67,'ХВС, ТН'!$G$26:$G$56,$G67)</f>
        <v>3437.5138216700002</v>
      </c>
      <c r="AF67" s="1212">
        <f ca="1">SUMIFS('ХВС, ТН'!AF$26:AF$56,'ХВС, ТН'!$F$26:$F$56,$F67,'ХВС, ТН'!$G$26:$G$56,$G67)</f>
        <v>3439.0210000000002</v>
      </c>
      <c r="AG67" s="1212">
        <f ca="1">SUMIFS('ХВС, ТН'!AG$26:AG$56,'ХВС, ТН'!$F$26:$F$56,$F67,'ХВС, ТН'!$G$26:$G$56,$G67)</f>
        <v>3439.02</v>
      </c>
      <c r="AH67" s="293">
        <f t="shared" ca="1" si="13"/>
        <v>-1.0000000002037268E-3</v>
      </c>
      <c r="AI67" s="1212">
        <f ca="1">SUMIFS('ХВС, ТН'!AH$26:AH$56,'ХВС, ТН'!$F$26:$F$56,$F67,'ХВС, ТН'!$G$26:$G$56,$G67)</f>
        <v>3891.6045094000006</v>
      </c>
      <c r="AJ67" s="827">
        <f ca="1">SUMIFS('ХВС, ТН'!AI$26:AI$56,'ХВС, ТН'!$F$26:$F$56,$F67,'ХВС, ТН'!$G$26:$G$56,$G67)</f>
        <v>4362.83</v>
      </c>
      <c r="AK67" s="827">
        <f ca="1">SUMIFS('ХВС, ТН'!AS$26:AS$56,'ХВС, ТН'!$F$26:$F$56,$F67,'ХВС, ТН'!$G$26:$G$56,$G67)</f>
        <v>4302.093613</v>
      </c>
      <c r="AL67" s="293">
        <f t="shared" ca="1" si="14"/>
        <v>10.548068350945758</v>
      </c>
      <c r="AM67" s="1106"/>
      <c r="AN67" s="1106"/>
      <c r="AO67" s="1106"/>
      <c r="AP67" s="167"/>
      <c r="AQ67" s="167"/>
      <c r="AR67" s="946" t="s">
        <v>1465</v>
      </c>
      <c r="AS67" s="946"/>
      <c r="AT67" s="946"/>
      <c r="AU67" s="966"/>
      <c r="AV67" s="966"/>
    </row>
    <row r="68" spans="1:48" s="1057" customFormat="1" ht="29.25" customHeight="1">
      <c r="A68" s="993"/>
      <c r="B68" s="718"/>
      <c r="C68" s="165"/>
      <c r="D68" s="165"/>
      <c r="E68" s="623">
        <v>30</v>
      </c>
      <c r="F68" s="714" t="str">
        <f t="shared" ca="1" si="11"/>
        <v>1</v>
      </c>
      <c r="G68" s="167"/>
      <c r="H68" s="167"/>
      <c r="I68" s="167"/>
      <c r="J68" s="167"/>
      <c r="K68" s="167"/>
      <c r="L68" s="167"/>
      <c r="M68" s="167"/>
      <c r="N68" s="167"/>
      <c r="O68" s="167"/>
      <c r="P68" s="167"/>
      <c r="Q68" s="130"/>
      <c r="R68" s="130"/>
      <c r="S68" s="167"/>
      <c r="T68" s="634" t="b">
        <f t="shared" si="12"/>
        <v>1</v>
      </c>
      <c r="U68" s="1012"/>
      <c r="V68" s="1012"/>
      <c r="W68" s="1012"/>
      <c r="X68" s="1405"/>
      <c r="Y68" s="1012"/>
      <c r="Z68" s="1405"/>
      <c r="AA68" s="167"/>
      <c r="AB68" s="820" t="s">
        <v>503</v>
      </c>
      <c r="AC68" s="821" t="s">
        <v>1466</v>
      </c>
      <c r="AD68" s="819" t="s">
        <v>1204</v>
      </c>
      <c r="AE68" s="1142"/>
      <c r="AF68" s="1142"/>
      <c r="AG68" s="1142"/>
      <c r="AH68" s="293">
        <f t="shared" si="13"/>
        <v>0</v>
      </c>
      <c r="AI68" s="1142"/>
      <c r="AJ68" s="241"/>
      <c r="AK68" s="241"/>
      <c r="AL68" s="293">
        <f t="shared" si="14"/>
        <v>0</v>
      </c>
      <c r="AM68" s="1106"/>
      <c r="AN68" s="1106"/>
      <c r="AO68" s="1106"/>
      <c r="AP68" s="167"/>
      <c r="AQ68" s="167"/>
      <c r="AR68" s="946" t="s">
        <v>1467</v>
      </c>
      <c r="AS68" s="946"/>
      <c r="AT68" s="946"/>
      <c r="AU68" s="966"/>
      <c r="AV68" s="966"/>
    </row>
    <row r="69" spans="1:48" s="1057" customFormat="1" ht="39" customHeight="1">
      <c r="A69" s="993"/>
      <c r="B69" s="718"/>
      <c r="C69" s="165"/>
      <c r="D69" s="165"/>
      <c r="E69" s="623">
        <v>40</v>
      </c>
      <c r="F69" s="714" t="str">
        <f t="shared" ca="1" si="11"/>
        <v>1</v>
      </c>
      <c r="G69" s="167"/>
      <c r="H69" s="167"/>
      <c r="I69" s="167"/>
      <c r="J69" s="167"/>
      <c r="K69" s="167"/>
      <c r="L69" s="167"/>
      <c r="M69" s="167"/>
      <c r="N69" s="167"/>
      <c r="O69" s="167"/>
      <c r="P69" s="167"/>
      <c r="Q69" s="130"/>
      <c r="R69" s="130"/>
      <c r="S69" s="167"/>
      <c r="T69" s="634" t="b">
        <f t="shared" si="12"/>
        <v>1</v>
      </c>
      <c r="U69" s="1012"/>
      <c r="V69" s="1012"/>
      <c r="W69" s="1012"/>
      <c r="X69" s="1405"/>
      <c r="Y69" s="1012"/>
      <c r="Z69" s="1405"/>
      <c r="AA69" s="167"/>
      <c r="AB69" s="820" t="s">
        <v>749</v>
      </c>
      <c r="AC69" s="821" t="s">
        <v>1468</v>
      </c>
      <c r="AD69" s="819" t="s">
        <v>1204</v>
      </c>
      <c r="AE69" s="1142"/>
      <c r="AF69" s="1142"/>
      <c r="AG69" s="1142"/>
      <c r="AH69" s="293">
        <f t="shared" si="13"/>
        <v>0</v>
      </c>
      <c r="AI69" s="1142"/>
      <c r="AJ69" s="241"/>
      <c r="AK69" s="241"/>
      <c r="AL69" s="293">
        <f t="shared" si="14"/>
        <v>0</v>
      </c>
      <c r="AM69" s="1106"/>
      <c r="AN69" s="1106"/>
      <c r="AO69" s="1106"/>
      <c r="AP69" s="167"/>
      <c r="AQ69" s="167"/>
      <c r="AR69" s="946" t="s">
        <v>1469</v>
      </c>
      <c r="AS69" s="946"/>
      <c r="AT69" s="946"/>
      <c r="AU69" s="966"/>
      <c r="AV69" s="966"/>
    </row>
    <row r="70" spans="1:48" s="1057" customFormat="1" ht="29.25" customHeight="1">
      <c r="A70" s="993"/>
      <c r="B70" s="718"/>
      <c r="C70" s="165"/>
      <c r="D70" s="165"/>
      <c r="E70" s="623">
        <v>30</v>
      </c>
      <c r="F70" s="714" t="str">
        <f t="shared" ca="1" si="11"/>
        <v>1</v>
      </c>
      <c r="G70" s="167"/>
      <c r="H70" s="167"/>
      <c r="I70" s="167"/>
      <c r="J70" s="167"/>
      <c r="K70" s="167"/>
      <c r="L70" s="167"/>
      <c r="M70" s="167"/>
      <c r="N70" s="167"/>
      <c r="O70" s="167"/>
      <c r="P70" s="167"/>
      <c r="Q70" s="130"/>
      <c r="R70" s="130"/>
      <c r="S70" s="167"/>
      <c r="T70" s="634" t="b">
        <f t="shared" si="12"/>
        <v>1</v>
      </c>
      <c r="U70" s="1012"/>
      <c r="V70" s="1012"/>
      <c r="W70" s="1012"/>
      <c r="X70" s="1405"/>
      <c r="Y70" s="1012"/>
      <c r="Z70" s="1405"/>
      <c r="AA70" s="167"/>
      <c r="AB70" s="820" t="s">
        <v>753</v>
      </c>
      <c r="AC70" s="821" t="s">
        <v>1470</v>
      </c>
      <c r="AD70" s="819" t="s">
        <v>1204</v>
      </c>
      <c r="AE70" s="1142">
        <f ca="1">SUMIFS(ЭнергоРесурсы!AE$26:AE$109,ЭнергоРесурсы!$F$26:$F$109,$F70,ЭнергоРесурсы!$G$26:$G$109,"ИТОГО_ЭЭ")+SUMIFS(ЭнергоРесурсы!AE$26:AE$109,ЭнергоРесурсы!$F$26:$F$109,$F70,ЭнергоРесурсы!$G$26:$G$109,"ИТОГО_ТЭ")</f>
        <v>0</v>
      </c>
      <c r="AF70" s="1142">
        <f ca="1">SUMIFS(ЭнергоРесурсы!AF$26:AF$109,ЭнергоРесурсы!$F$26:$F$109,$F70,ЭнергоРесурсы!$G$26:$G$109,"ИТОГО_ЭЭ")+SUMIFS(ЭнергоРесурсы!AF$26:AF$109,ЭнергоРесурсы!$F$26:$F$109,$F70,ЭнергоРесурсы!$G$26:$G$109,"ИТОГО_ТЭ")</f>
        <v>0</v>
      </c>
      <c r="AG70" s="1142">
        <f ca="1">SUMIFS(ЭнергоРесурсы!AG$26:AG$109,ЭнергоРесурсы!$F$26:$F$109,$F70,ЭнергоРесурсы!$G$26:$G$109,"ИТОГО_ЭЭ")+SUMIFS(ЭнергоРесурсы!AG$26:AG$109,ЭнергоРесурсы!$F$26:$F$109,$F70,ЭнергоРесурсы!$G$26:$G$109,"ИТОГО_ТЭ")</f>
        <v>0</v>
      </c>
      <c r="AH70" s="293">
        <f t="shared" ca="1" si="13"/>
        <v>0</v>
      </c>
      <c r="AI70" s="1142">
        <f ca="1">SUMIFS(ЭнергоРесурсы!AH$26:AH$109,ЭнергоРесурсы!$F$26:$F$109,$F70,ЭнергоРесурсы!$G$26:$G$109,"ИТОГО_ЭЭ")+SUMIFS(ЭнергоРесурсы!AH$26:AH$109,ЭнергоРесурсы!$F$26:$F$109,$F70,ЭнергоРесурсы!$G$26:$G$109,"ИТОГО_ТЭ")</f>
        <v>0</v>
      </c>
      <c r="AJ70" s="241">
        <f ca="1">SUMIFS(ЭнергоРесурсы!AI$26:AI$109,ЭнергоРесурсы!$F$26:$F$109,$F70,ЭнергоРесурсы!$G$26:$G$109,"ИТОГО_ЭЭ")+SUMIFS(ЭнергоРесурсы!AI$26:AI$109,ЭнергоРесурсы!$F$26:$F$109,$F70,ЭнергоРесурсы!$G$26:$G$109,"ИТОГО_ТЭ")</f>
        <v>0</v>
      </c>
      <c r="AK70" s="241">
        <f ca="1">SUMIFS(ЭнергоРесурсы!AS$26:AS$109,ЭнергоРесурсы!$F$26:$F$109,$F70,ЭнергоРесурсы!$G$26:$G$109,"ИТОГО_ЭЭ")+SUMIFS(ЭнергоРесурсы!AS$26:AS$109,ЭнергоРесурсы!$F$26:$F$109,$F70,ЭнергоРесурсы!$G$26:$G$109,"ИТОГО_ТЭ")</f>
        <v>0</v>
      </c>
      <c r="AL70" s="293">
        <f t="shared" ca="1" si="14"/>
        <v>0</v>
      </c>
      <c r="AM70" s="1106"/>
      <c r="AN70" s="1106"/>
      <c r="AO70" s="1106"/>
      <c r="AP70" s="167"/>
      <c r="AQ70" s="167"/>
      <c r="AR70" s="946" t="s">
        <v>1471</v>
      </c>
      <c r="AS70" s="946"/>
      <c r="AT70" s="946"/>
      <c r="AU70" s="966"/>
      <c r="AV70" s="966"/>
    </row>
    <row r="71" spans="1:48" s="1057" customFormat="1" ht="29.25" customHeight="1">
      <c r="A71" s="993"/>
      <c r="B71" s="718"/>
      <c r="C71" s="165"/>
      <c r="D71" s="165"/>
      <c r="E71" s="623">
        <v>30</v>
      </c>
      <c r="F71" s="714" t="str">
        <f t="shared" ca="1" si="11"/>
        <v>1</v>
      </c>
      <c r="G71" s="130" t="s">
        <v>1002</v>
      </c>
      <c r="H71" s="167"/>
      <c r="I71" s="167"/>
      <c r="J71" s="167"/>
      <c r="K71" s="167"/>
      <c r="L71" s="167"/>
      <c r="M71" s="167"/>
      <c r="N71" s="167"/>
      <c r="O71" s="167"/>
      <c r="P71" s="167"/>
      <c r="Q71" s="130"/>
      <c r="R71" s="130"/>
      <c r="S71" s="167"/>
      <c r="T71" s="634" t="b">
        <f t="shared" si="12"/>
        <v>1</v>
      </c>
      <c r="U71" s="1012"/>
      <c r="V71" s="1012"/>
      <c r="W71" s="1012"/>
      <c r="X71" s="1405"/>
      <c r="Y71" s="1012"/>
      <c r="Z71" s="1405"/>
      <c r="AA71" s="167"/>
      <c r="AB71" s="820" t="s">
        <v>860</v>
      </c>
      <c r="AC71" s="821" t="s">
        <v>1472</v>
      </c>
      <c r="AD71" s="819" t="s">
        <v>1204</v>
      </c>
      <c r="AE71" s="1185">
        <f ca="1">SUMIFS('Покупка услуг'!AE$26:AE$65,'Покупка услуг'!$F$26:$F$65,$F71,'Покупка услуг'!$G$26:$G$65,$G71)</f>
        <v>0</v>
      </c>
      <c r="AF71" s="1185">
        <f ca="1">SUMIFS('Покупка услуг'!AF$26:AF$65,'Покупка услуг'!$F$26:$F$65,$F71,'Покупка услуг'!$G$26:$G$65,$G71)</f>
        <v>0</v>
      </c>
      <c r="AG71" s="1185">
        <f ca="1">SUMIFS('Покупка услуг'!AG$26:AG$65,'Покупка услуг'!$F$26:$F$65,$F71,'Покупка услуг'!$G$26:$G$65,$G71)</f>
        <v>0</v>
      </c>
      <c r="AH71" s="293">
        <f t="shared" ca="1" si="13"/>
        <v>0</v>
      </c>
      <c r="AI71" s="1185">
        <f ca="1">SUMIFS('Покупка услуг'!AH$26:AH$65,'Покупка услуг'!$F$26:$F$65,$F71,'Покупка услуг'!$G$26:$G$65,$G71)</f>
        <v>0</v>
      </c>
      <c r="AJ71" s="471">
        <f ca="1">SUMIFS('Покупка услуг'!AI$26:AI$65,'Покупка услуг'!$F$26:$F$65,$F71,'Покупка услуг'!$G$26:$G$65,$G71)</f>
        <v>0</v>
      </c>
      <c r="AK71" s="471">
        <f ca="1">SUMIFS('Покупка услуг'!AS$26:AS$65,'Покупка услуг'!$F$26:$F$65,$F71,'Покупка услуг'!$G$26:$G$65,$G71)</f>
        <v>0</v>
      </c>
      <c r="AL71" s="293">
        <f t="shared" ca="1" si="14"/>
        <v>0</v>
      </c>
      <c r="AM71" s="1106"/>
      <c r="AN71" s="1106"/>
      <c r="AO71" s="1106"/>
      <c r="AP71" s="167"/>
      <c r="AQ71" s="167"/>
      <c r="AR71" s="946" t="s">
        <v>1473</v>
      </c>
      <c r="AS71" s="946"/>
      <c r="AT71" s="946"/>
      <c r="AU71" s="966"/>
      <c r="AV71" s="966"/>
    </row>
    <row r="72" spans="1:48" s="1057" customFormat="1" ht="16.5" customHeight="1">
      <c r="A72" s="993"/>
      <c r="B72" s="718"/>
      <c r="C72" s="165"/>
      <c r="D72" s="165"/>
      <c r="E72" s="623">
        <v>17.100000000000001</v>
      </c>
      <c r="F72" s="714" t="str">
        <f t="shared" ca="1" si="11"/>
        <v>1</v>
      </c>
      <c r="G72" s="130" t="s">
        <v>46</v>
      </c>
      <c r="H72" s="167"/>
      <c r="I72" s="167"/>
      <c r="J72" s="167"/>
      <c r="K72" s="167"/>
      <c r="L72" s="167"/>
      <c r="M72" s="167"/>
      <c r="N72" s="167"/>
      <c r="O72" s="167"/>
      <c r="P72" s="167"/>
      <c r="Q72" s="130"/>
      <c r="R72" s="130"/>
      <c r="S72" s="167"/>
      <c r="T72" s="634" t="b">
        <f t="shared" si="12"/>
        <v>1</v>
      </c>
      <c r="U72" s="1012"/>
      <c r="V72" s="1012"/>
      <c r="W72" s="1012"/>
      <c r="X72" s="1405"/>
      <c r="Y72" s="1012"/>
      <c r="Z72" s="1405"/>
      <c r="AA72" s="167"/>
      <c r="AB72" s="820" t="s">
        <v>863</v>
      </c>
      <c r="AC72" s="821" t="s">
        <v>1474</v>
      </c>
      <c r="AD72" s="819" t="s">
        <v>1204</v>
      </c>
      <c r="AE72" s="1142">
        <f ca="1">SUMIFS(ФОТ!AE$26:AE$77,ФОТ!$F$26:$F$77,$F72,ФОТ!$G$26:$G$77,$G72)</f>
        <v>0</v>
      </c>
      <c r="AF72" s="1142">
        <f ca="1">SUMIFS(ФОТ!AF$26:AF$77,ФОТ!$F$26:$F$77,$F72,ФОТ!$G$26:$G$77,$G72)</f>
        <v>0</v>
      </c>
      <c r="AG72" s="1142">
        <f ca="1">SUMIFS(ФОТ!AG$26:AG$77,ФОТ!$F$26:$F$77,$F72,ФОТ!$G$26:$G$77,$G72)</f>
        <v>0</v>
      </c>
      <c r="AH72" s="293">
        <f t="shared" ca="1" si="13"/>
        <v>0</v>
      </c>
      <c r="AI72" s="1142">
        <f ca="1">SUMIFS(ФОТ!AH$26:AH$77,ФОТ!$F$26:$F$77,$F72,ФОТ!$G$26:$G$77,$G72)</f>
        <v>0</v>
      </c>
      <c r="AJ72" s="241">
        <f ca="1">SUMIFS(ФОТ!AI$26:AI$77,ФОТ!$F$26:$F$77,$F72,ФОТ!$G$26:$G$77,$G72)</f>
        <v>0</v>
      </c>
      <c r="AK72" s="241">
        <f ca="1">SUMIFS(ФОТ!AJ$26:AJ$77,ФОТ!$F$26:$F$77,$F72,ФОТ!$G$26:$G$77,$G72)</f>
        <v>0</v>
      </c>
      <c r="AL72" s="293">
        <f t="shared" ca="1" si="14"/>
        <v>0</v>
      </c>
      <c r="AM72" s="1106"/>
      <c r="AN72" s="1106"/>
      <c r="AO72" s="1106"/>
      <c r="AP72" s="167"/>
      <c r="AQ72" s="167"/>
      <c r="AR72" s="946" t="s">
        <v>1475</v>
      </c>
      <c r="AS72" s="946"/>
      <c r="AT72" s="946"/>
      <c r="AU72" s="966"/>
      <c r="AV72" s="966"/>
    </row>
    <row r="73" spans="1:48" s="1057" customFormat="1" ht="16.5" customHeight="1">
      <c r="A73" s="993"/>
      <c r="B73" s="718"/>
      <c r="C73" s="165"/>
      <c r="D73" s="165"/>
      <c r="E73" s="623">
        <v>17.100000000000001</v>
      </c>
      <c r="F73" s="714" t="str">
        <f t="shared" ca="1" si="11"/>
        <v>1</v>
      </c>
      <c r="G73" s="130" t="s">
        <v>947</v>
      </c>
      <c r="H73" s="167"/>
      <c r="I73" s="167"/>
      <c r="J73" s="167"/>
      <c r="K73" s="167"/>
      <c r="L73" s="167"/>
      <c r="M73" s="167"/>
      <c r="N73" s="167"/>
      <c r="O73" s="167"/>
      <c r="P73" s="167"/>
      <c r="Q73" s="130"/>
      <c r="R73" s="130"/>
      <c r="S73" s="167"/>
      <c r="T73" s="634" t="b">
        <f t="shared" si="12"/>
        <v>1</v>
      </c>
      <c r="U73" s="1012"/>
      <c r="V73" s="1012"/>
      <c r="W73" s="1012"/>
      <c r="X73" s="1405"/>
      <c r="Y73" s="1012"/>
      <c r="Z73" s="1405"/>
      <c r="AA73" s="167"/>
      <c r="AB73" s="820" t="s">
        <v>866</v>
      </c>
      <c r="AC73" s="821" t="s">
        <v>1476</v>
      </c>
      <c r="AD73" s="819" t="s">
        <v>1204</v>
      </c>
      <c r="AE73" s="1185">
        <f ca="1">SUMIFS(Амортизация!AE$26:AE$225,Амортизация!$F$26:$F$225,$F73,Амортизация!$G$26:$G$225,$G73)</f>
        <v>0</v>
      </c>
      <c r="AF73" s="1185">
        <f ca="1">SUMIFS(Амортизация!AF$26:AF$225,Амортизация!$F$26:$F$225,$F73,Амортизация!$G$26:$G$225,$G73)</f>
        <v>0</v>
      </c>
      <c r="AG73" s="1185">
        <f ca="1">SUMIFS(Амортизация!AG$26:AG$225,Амортизация!$F$26:$F$225,$F73,Амортизация!$G$26:$G$225,$G73)</f>
        <v>0</v>
      </c>
      <c r="AH73" s="293">
        <f t="shared" ca="1" si="13"/>
        <v>0</v>
      </c>
      <c r="AI73" s="1185">
        <f ca="1">SUMIFS(Амортизация!AH$26:AH$225,Амортизация!$F$26:$F$225,$F73,Амортизация!$G$26:$G$225,$G73)</f>
        <v>0</v>
      </c>
      <c r="AJ73" s="471">
        <f ca="1">SUMIFS(Амортизация!AI$26:AI$225,Амортизация!$F$26:$F$225,$F73,Амортизация!$G$26:$G$225,$G73)</f>
        <v>0</v>
      </c>
      <c r="AK73" s="471">
        <f ca="1">SUMIFS(Амортизация!AS$26:AS$225,Амортизация!$F$26:$F$225,$F73,Амортизация!$G$26:$G$225,$G73)</f>
        <v>0</v>
      </c>
      <c r="AL73" s="293">
        <f t="shared" ca="1" si="14"/>
        <v>0</v>
      </c>
      <c r="AM73" s="1106"/>
      <c r="AN73" s="1106"/>
      <c r="AO73" s="1106"/>
      <c r="AP73" s="167"/>
      <c r="AQ73" s="167"/>
      <c r="AR73" s="946" t="s">
        <v>1477</v>
      </c>
      <c r="AS73" s="946"/>
      <c r="AT73" s="946"/>
      <c r="AU73" s="966"/>
      <c r="AV73" s="966"/>
    </row>
    <row r="74" spans="1:48" s="1057" customFormat="1" ht="16.5" customHeight="1">
      <c r="A74" s="993"/>
      <c r="B74" s="718"/>
      <c r="C74" s="165"/>
      <c r="D74" s="165"/>
      <c r="E74" s="623">
        <v>17.100000000000001</v>
      </c>
      <c r="F74" s="714" t="str">
        <f t="shared" ca="1" si="11"/>
        <v>1</v>
      </c>
      <c r="G74" s="167"/>
      <c r="H74" s="167"/>
      <c r="I74" s="167"/>
      <c r="J74" s="167"/>
      <c r="K74" s="167"/>
      <c r="L74" s="167"/>
      <c r="M74" s="167"/>
      <c r="N74" s="167"/>
      <c r="O74" s="167"/>
      <c r="P74" s="167"/>
      <c r="Q74" s="130"/>
      <c r="R74" s="130"/>
      <c r="S74" s="167"/>
      <c r="T74" s="634" t="b">
        <f t="shared" si="12"/>
        <v>1</v>
      </c>
      <c r="U74" s="1012"/>
      <c r="V74" s="1012"/>
      <c r="W74" s="1012"/>
      <c r="X74" s="1405"/>
      <c r="Y74" s="1012"/>
      <c r="Z74" s="1405"/>
      <c r="AA74" s="167"/>
      <c r="AB74" s="820" t="s">
        <v>869</v>
      </c>
      <c r="AC74" s="821" t="s">
        <v>1478</v>
      </c>
      <c r="AD74" s="819" t="s">
        <v>1204</v>
      </c>
      <c r="AE74" s="293">
        <f ca="1">SUM(AE75:AE86)</f>
        <v>0</v>
      </c>
      <c r="AF74" s="293">
        <f ca="1">SUM(AF75:AF86)</f>
        <v>0</v>
      </c>
      <c r="AG74" s="293">
        <f ca="1">SUM(AG75:AG86)</f>
        <v>0</v>
      </c>
      <c r="AH74" s="293">
        <f t="shared" ca="1" si="13"/>
        <v>0</v>
      </c>
      <c r="AI74" s="293">
        <f ca="1">SUM(AH75:AH86)</f>
        <v>0</v>
      </c>
      <c r="AJ74" s="293">
        <f ca="1">SUM(AJ75:AJ86)</f>
        <v>0</v>
      </c>
      <c r="AK74" s="293">
        <f ca="1">SUM(AK75:AK86)</f>
        <v>0</v>
      </c>
      <c r="AL74" s="293">
        <f t="shared" ca="1" si="14"/>
        <v>0</v>
      </c>
      <c r="AM74" s="1106"/>
      <c r="AN74" s="1106"/>
      <c r="AO74" s="1106"/>
      <c r="AP74" s="167"/>
      <c r="AQ74" s="167"/>
      <c r="AR74" s="946" t="s">
        <v>1479</v>
      </c>
      <c r="AS74" s="946"/>
      <c r="AT74" s="946"/>
      <c r="AU74" s="966"/>
      <c r="AV74" s="966"/>
    </row>
    <row r="75" spans="1:48" s="1057" customFormat="1" ht="16.5" customHeight="1">
      <c r="A75" s="993"/>
      <c r="B75" s="718"/>
      <c r="C75" s="165"/>
      <c r="D75" s="165"/>
      <c r="E75" s="623">
        <v>17.100000000000001</v>
      </c>
      <c r="F75" s="714" t="str">
        <f t="shared" ca="1" si="11"/>
        <v>1</v>
      </c>
      <c r="G75" s="167"/>
      <c r="H75" s="167"/>
      <c r="I75" s="167"/>
      <c r="J75" s="167"/>
      <c r="K75" s="167"/>
      <c r="L75" s="167"/>
      <c r="M75" s="167"/>
      <c r="N75" s="167"/>
      <c r="O75" s="167"/>
      <c r="P75" s="167"/>
      <c r="Q75" s="130"/>
      <c r="R75" s="130"/>
      <c r="S75" s="167"/>
      <c r="T75" s="634" t="b">
        <f t="shared" si="12"/>
        <v>1</v>
      </c>
      <c r="U75" s="1012"/>
      <c r="V75" s="1012"/>
      <c r="W75" s="1012"/>
      <c r="X75" s="1405"/>
      <c r="Y75" s="1012"/>
      <c r="Z75" s="1405"/>
      <c r="AA75" s="167"/>
      <c r="AB75" s="820" t="s">
        <v>1480</v>
      </c>
      <c r="AC75" s="822" t="s">
        <v>1481</v>
      </c>
      <c r="AD75" s="819" t="s">
        <v>1204</v>
      </c>
      <c r="AE75" s="1142"/>
      <c r="AF75" s="1142"/>
      <c r="AG75" s="1142"/>
      <c r="AH75" s="293">
        <f t="shared" si="13"/>
        <v>0</v>
      </c>
      <c r="AI75" s="1142"/>
      <c r="AJ75" s="241"/>
      <c r="AK75" s="241"/>
      <c r="AL75" s="293">
        <f t="shared" si="14"/>
        <v>0</v>
      </c>
      <c r="AM75" s="1106"/>
      <c r="AN75" s="1106"/>
      <c r="AO75" s="1106"/>
      <c r="AP75" s="167"/>
      <c r="AQ75" s="167"/>
      <c r="AR75" s="946" t="s">
        <v>1482</v>
      </c>
      <c r="AS75" s="946"/>
      <c r="AT75" s="946"/>
      <c r="AU75" s="966"/>
      <c r="AV75" s="966"/>
    </row>
    <row r="76" spans="1:48" s="1057" customFormat="1" ht="16.5" customHeight="1">
      <c r="A76" s="993"/>
      <c r="B76" s="718"/>
      <c r="C76" s="165"/>
      <c r="D76" s="165"/>
      <c r="E76" s="623">
        <v>17.100000000000001</v>
      </c>
      <c r="F76" s="714" t="str">
        <f t="shared" ca="1" si="11"/>
        <v>1</v>
      </c>
      <c r="G76" s="130" t="s">
        <v>1080</v>
      </c>
      <c r="H76" s="167"/>
      <c r="I76" s="167"/>
      <c r="J76" s="167"/>
      <c r="K76" s="167"/>
      <c r="L76" s="167"/>
      <c r="M76" s="167"/>
      <c r="N76" s="167"/>
      <c r="O76" s="167"/>
      <c r="P76" s="167"/>
      <c r="Q76" s="130"/>
      <c r="R76" s="130"/>
      <c r="S76" s="167"/>
      <c r="T76" s="634" t="b">
        <f t="shared" si="12"/>
        <v>1</v>
      </c>
      <c r="U76" s="1012"/>
      <c r="V76" s="1012"/>
      <c r="W76" s="1012"/>
      <c r="X76" s="1405"/>
      <c r="Y76" s="1012"/>
      <c r="Z76" s="1405"/>
      <c r="AA76" s="167"/>
      <c r="AB76" s="820" t="s">
        <v>1483</v>
      </c>
      <c r="AC76" s="822" t="s">
        <v>1484</v>
      </c>
      <c r="AD76" s="819" t="s">
        <v>1204</v>
      </c>
      <c r="AE76" s="1185">
        <f ca="1">SUMIFS(Налоги!AE$26:AE$55,Налоги!$F$26:$F$55,$F76,Налоги!$H$26:$H$55,$G76)</f>
        <v>0</v>
      </c>
      <c r="AF76" s="1185">
        <f ca="1">SUMIFS(Налоги!AF$26:AF$55,Налоги!$F$26:$F$55,$F76,Налоги!$H$26:$H$55,$G76)</f>
        <v>0</v>
      </c>
      <c r="AG76" s="1185">
        <f ca="1">SUMIFS(Налоги!AG$26:AG$55,Налоги!$F$26:$F$55,$F76,Налоги!$H$26:$H$55,$G76)</f>
        <v>0</v>
      </c>
      <c r="AH76" s="293">
        <f t="shared" ca="1" si="13"/>
        <v>0</v>
      </c>
      <c r="AI76" s="1185">
        <f ca="1">SUMIFS(Налоги!AH$26:AH$55,Налоги!$F$26:$F$55,$F76,Налоги!$H$26:$H$55,$G76)</f>
        <v>0</v>
      </c>
      <c r="AJ76" s="471">
        <f ca="1">SUMIFS(Налоги!AI$26:AI$55,Налоги!$F$26:$F$55,$F76,Налоги!$H$26:$H$55,$G76)</f>
        <v>0</v>
      </c>
      <c r="AK76" s="471">
        <f ca="1">SUMIFS(Налоги!AS$26:AS$55,Налоги!$F$26:$F$55,$F76,Налоги!$H$26:$H$55,$G76)</f>
        <v>0</v>
      </c>
      <c r="AL76" s="293">
        <f t="shared" ca="1" si="14"/>
        <v>0</v>
      </c>
      <c r="AM76" s="1106"/>
      <c r="AN76" s="1106"/>
      <c r="AO76" s="1106"/>
      <c r="AP76" s="167"/>
      <c r="AQ76" s="167"/>
      <c r="AR76" s="946" t="s">
        <v>1485</v>
      </c>
      <c r="AS76" s="946"/>
      <c r="AT76" s="946"/>
      <c r="AU76" s="966"/>
      <c r="AV76" s="966"/>
    </row>
    <row r="77" spans="1:48" s="1057" customFormat="1" ht="16.5" customHeight="1">
      <c r="A77" s="993"/>
      <c r="B77" s="718"/>
      <c r="C77" s="165"/>
      <c r="D77" s="165"/>
      <c r="E77" s="623">
        <v>17.100000000000001</v>
      </c>
      <c r="F77" s="714" t="str">
        <f t="shared" ca="1" si="11"/>
        <v>1</v>
      </c>
      <c r="G77" s="167"/>
      <c r="H77" s="167"/>
      <c r="I77" s="167"/>
      <c r="J77" s="167"/>
      <c r="K77" s="167"/>
      <c r="L77" s="167"/>
      <c r="M77" s="167"/>
      <c r="N77" s="167"/>
      <c r="O77" s="167"/>
      <c r="P77" s="167"/>
      <c r="Q77" s="130"/>
      <c r="R77" s="130"/>
      <c r="S77" s="167"/>
      <c r="T77" s="634" t="b">
        <f t="shared" si="12"/>
        <v>1</v>
      </c>
      <c r="U77" s="1012"/>
      <c r="V77" s="1012"/>
      <c r="W77" s="1012"/>
      <c r="X77" s="1405"/>
      <c r="Y77" s="1012"/>
      <c r="Z77" s="1405"/>
      <c r="AA77" s="167"/>
      <c r="AB77" s="820" t="s">
        <v>1486</v>
      </c>
      <c r="AC77" s="822" t="s">
        <v>1487</v>
      </c>
      <c r="AD77" s="819" t="s">
        <v>1204</v>
      </c>
      <c r="AE77" s="1142"/>
      <c r="AF77" s="1142"/>
      <c r="AG77" s="1142"/>
      <c r="AH77" s="293">
        <f t="shared" si="13"/>
        <v>0</v>
      </c>
      <c r="AI77" s="1142"/>
      <c r="AJ77" s="241"/>
      <c r="AK77" s="241"/>
      <c r="AL77" s="293">
        <f t="shared" si="14"/>
        <v>0</v>
      </c>
      <c r="AM77" s="1106"/>
      <c r="AN77" s="1106"/>
      <c r="AO77" s="1106"/>
      <c r="AP77" s="167"/>
      <c r="AQ77" s="167"/>
      <c r="AR77" s="946" t="s">
        <v>1488</v>
      </c>
      <c r="AS77" s="946"/>
      <c r="AT77" s="946"/>
      <c r="AU77" s="966"/>
      <c r="AV77" s="966"/>
    </row>
    <row r="78" spans="1:48" s="1057" customFormat="1" ht="16.5" customHeight="1">
      <c r="A78" s="993"/>
      <c r="B78" s="718"/>
      <c r="C78" s="165"/>
      <c r="D78" s="165"/>
      <c r="E78" s="623">
        <v>17.100000000000001</v>
      </c>
      <c r="F78" s="714" t="str">
        <f t="shared" ca="1" si="11"/>
        <v>1</v>
      </c>
      <c r="G78" s="167"/>
      <c r="H78" s="167"/>
      <c r="I78" s="167"/>
      <c r="J78" s="167"/>
      <c r="K78" s="167"/>
      <c r="L78" s="167"/>
      <c r="M78" s="167"/>
      <c r="N78" s="167"/>
      <c r="O78" s="167"/>
      <c r="P78" s="167"/>
      <c r="Q78" s="130"/>
      <c r="R78" s="130"/>
      <c r="S78" s="167"/>
      <c r="T78" s="634" t="b">
        <f t="shared" si="12"/>
        <v>1</v>
      </c>
      <c r="U78" s="1012"/>
      <c r="V78" s="1012"/>
      <c r="W78" s="1012"/>
      <c r="X78" s="1405"/>
      <c r="Y78" s="1012"/>
      <c r="Z78" s="1405"/>
      <c r="AA78" s="167"/>
      <c r="AB78" s="820" t="s">
        <v>1489</v>
      </c>
      <c r="AC78" s="822" t="s">
        <v>1490</v>
      </c>
      <c r="AD78" s="819" t="s">
        <v>1204</v>
      </c>
      <c r="AE78" s="1142"/>
      <c r="AF78" s="1142"/>
      <c r="AG78" s="1142"/>
      <c r="AH78" s="293">
        <f t="shared" si="13"/>
        <v>0</v>
      </c>
      <c r="AI78" s="1142"/>
      <c r="AJ78" s="241"/>
      <c r="AK78" s="241"/>
      <c r="AL78" s="293">
        <f t="shared" si="14"/>
        <v>0</v>
      </c>
      <c r="AM78" s="1106"/>
      <c r="AN78" s="1106"/>
      <c r="AO78" s="1106"/>
      <c r="AP78" s="167"/>
      <c r="AQ78" s="167"/>
      <c r="AR78" s="946" t="s">
        <v>1491</v>
      </c>
      <c r="AS78" s="946"/>
      <c r="AT78" s="946"/>
      <c r="AU78" s="966"/>
      <c r="AV78" s="966"/>
    </row>
    <row r="79" spans="1:48" s="1057" customFormat="1" ht="16.5" customHeight="1">
      <c r="A79" s="993"/>
      <c r="B79" s="718"/>
      <c r="C79" s="165"/>
      <c r="D79" s="165"/>
      <c r="E79" s="623">
        <v>17.100000000000001</v>
      </c>
      <c r="F79" s="714" t="str">
        <f t="shared" ca="1" si="11"/>
        <v>1</v>
      </c>
      <c r="G79" s="167"/>
      <c r="H79" s="167"/>
      <c r="I79" s="167"/>
      <c r="J79" s="167"/>
      <c r="K79" s="167"/>
      <c r="L79" s="167"/>
      <c r="M79" s="167"/>
      <c r="N79" s="167"/>
      <c r="O79" s="167"/>
      <c r="P79" s="167"/>
      <c r="Q79" s="130"/>
      <c r="R79" s="130"/>
      <c r="S79" s="167"/>
      <c r="T79" s="634" t="b">
        <f t="shared" si="12"/>
        <v>1</v>
      </c>
      <c r="U79" s="1012"/>
      <c r="V79" s="1012"/>
      <c r="W79" s="1012"/>
      <c r="X79" s="1405"/>
      <c r="Y79" s="1012"/>
      <c r="Z79" s="1405"/>
      <c r="AA79" s="167"/>
      <c r="AB79" s="820" t="s">
        <v>1492</v>
      </c>
      <c r="AC79" s="822" t="s">
        <v>1166</v>
      </c>
      <c r="AD79" s="819" t="s">
        <v>1204</v>
      </c>
      <c r="AE79" s="1142"/>
      <c r="AF79" s="1142"/>
      <c r="AG79" s="1142"/>
      <c r="AH79" s="293">
        <f t="shared" si="13"/>
        <v>0</v>
      </c>
      <c r="AI79" s="1142"/>
      <c r="AJ79" s="241"/>
      <c r="AK79" s="241"/>
      <c r="AL79" s="293">
        <f t="shared" si="14"/>
        <v>0</v>
      </c>
      <c r="AM79" s="1106"/>
      <c r="AN79" s="1106"/>
      <c r="AO79" s="1106"/>
      <c r="AP79" s="167"/>
      <c r="AQ79" s="167"/>
      <c r="AR79" s="946" t="s">
        <v>1493</v>
      </c>
      <c r="AS79" s="946"/>
      <c r="AT79" s="946"/>
      <c r="AU79" s="966"/>
      <c r="AV79" s="966"/>
    </row>
    <row r="80" spans="1:48" s="1057" customFormat="1" ht="16.5" customHeight="1">
      <c r="A80" s="993"/>
      <c r="B80" s="718"/>
      <c r="C80" s="165"/>
      <c r="D80" s="165"/>
      <c r="E80" s="623">
        <v>17.100000000000001</v>
      </c>
      <c r="F80" s="714" t="str">
        <f t="shared" ca="1" si="11"/>
        <v>1</v>
      </c>
      <c r="G80" s="167"/>
      <c r="H80" s="167"/>
      <c r="I80" s="167"/>
      <c r="J80" s="167"/>
      <c r="K80" s="167"/>
      <c r="L80" s="167"/>
      <c r="M80" s="167"/>
      <c r="N80" s="167"/>
      <c r="O80" s="167"/>
      <c r="P80" s="167"/>
      <c r="Q80" s="130"/>
      <c r="R80" s="130"/>
      <c r="S80" s="167"/>
      <c r="T80" s="634" t="b">
        <f t="shared" si="12"/>
        <v>1</v>
      </c>
      <c r="U80" s="1012"/>
      <c r="V80" s="1012"/>
      <c r="W80" s="1012"/>
      <c r="X80" s="1405"/>
      <c r="Y80" s="1012"/>
      <c r="Z80" s="1405"/>
      <c r="AA80" s="167"/>
      <c r="AB80" s="820" t="s">
        <v>1494</v>
      </c>
      <c r="AC80" s="822" t="s">
        <v>1495</v>
      </c>
      <c r="AD80" s="819" t="s">
        <v>1204</v>
      </c>
      <c r="AE80" s="1142">
        <f ca="1">SUMIFS(Аренда!AE$26:AE$51,Аренда!$F$26:$F$51,$F80,Аренда!$G$26:$G$51,"Аренда_пр")+SUMIFS(Аренда!AE$26:AE$51,Аренда!$F$26:$F$51,$F80,Аренда!$G$26:$G$51,"Аренда_непр")</f>
        <v>0</v>
      </c>
      <c r="AF80" s="1142">
        <f ca="1">SUMIFS(Аренда!AF$26:AF$51,Аренда!$F$26:$F$51,$F80,Аренда!$G$26:$G$51,"Аренда_пр")+SUMIFS(Аренда!AF$26:AF$51,Аренда!$F$26:$F$51,$F80,Аренда!$G$26:$G$51,"Аренда_непр")</f>
        <v>0</v>
      </c>
      <c r="AG80" s="1142">
        <f ca="1">SUMIFS(Аренда!AG$26:AG$51,Аренда!$F$26:$F$51,$F80,Аренда!$G$26:$G$51,"Аренда_пр")+SUMIFS(Аренда!AG$26:AG$51,Аренда!$F$26:$F$51,$F80,Аренда!$G$26:$G$51,"Аренда_непр")</f>
        <v>0</v>
      </c>
      <c r="AH80" s="293">
        <f t="shared" ca="1" si="13"/>
        <v>0</v>
      </c>
      <c r="AI80" s="1142">
        <f ca="1">SUMIFS(Аренда!AH$26:AH$51,Аренда!$F$26:$F$51,$F80,Аренда!$G$26:$G$51,"Аренда_пр")+SUMIFS(Аренда!AH$26:AH$51,Аренда!$F$26:$F$51,$F80,Аренда!$G$26:$G$51,"Аренда_непр")</f>
        <v>0</v>
      </c>
      <c r="AJ80" s="241">
        <f ca="1">SUMIFS(Аренда!AI$26:AI$51,Аренда!$F$26:$F$51,$F80,Аренда!$G$26:$G$51,"Аренда_пр")+SUMIFS(Аренда!AI$26:AI$51,Аренда!$F$26:$F$51,$F80,Аренда!$G$26:$G$51,"Аренда_непр")</f>
        <v>0</v>
      </c>
      <c r="AK80" s="241">
        <f ca="1">SUMIFS(Аренда!AS$26:AS$51,Аренда!$F$26:$F$51,$F80,Аренда!$G$26:$G$51,"Аренда_пр")+SUMIFS(Аренда!AS$26:AS$51,Аренда!$F$26:$F$51,$F80,Аренда!$G$26:$G$51,"Аренда_непр")</f>
        <v>0</v>
      </c>
      <c r="AL80" s="293">
        <f t="shared" ca="1" si="14"/>
        <v>0</v>
      </c>
      <c r="AM80" s="1106"/>
      <c r="AN80" s="1106"/>
      <c r="AO80" s="1106"/>
      <c r="AP80" s="167"/>
      <c r="AQ80" s="167"/>
      <c r="AR80" s="946" t="s">
        <v>1496</v>
      </c>
      <c r="AS80" s="946"/>
      <c r="AT80" s="946"/>
      <c r="AU80" s="966"/>
      <c r="AV80" s="966"/>
    </row>
    <row r="81" spans="1:48" s="1057" customFormat="1" ht="16.5" customHeight="1">
      <c r="A81" s="993"/>
      <c r="B81" s="718"/>
      <c r="C81" s="165"/>
      <c r="D81" s="165"/>
      <c r="E81" s="623">
        <v>17.100000000000001</v>
      </c>
      <c r="F81" s="714" t="str">
        <f t="shared" ca="1" si="11"/>
        <v>1</v>
      </c>
      <c r="G81" s="130" t="s">
        <v>982</v>
      </c>
      <c r="H81" s="167"/>
      <c r="I81" s="167"/>
      <c r="J81" s="167"/>
      <c r="K81" s="167"/>
      <c r="L81" s="167"/>
      <c r="M81" s="167"/>
      <c r="N81" s="167"/>
      <c r="O81" s="167"/>
      <c r="P81" s="167"/>
      <c r="Q81" s="130"/>
      <c r="R81" s="130"/>
      <c r="S81" s="167"/>
      <c r="T81" s="634" t="b">
        <f t="shared" si="12"/>
        <v>1</v>
      </c>
      <c r="U81" s="1012"/>
      <c r="V81" s="1012"/>
      <c r="W81" s="1012"/>
      <c r="X81" s="1405"/>
      <c r="Y81" s="1012"/>
      <c r="Z81" s="1405"/>
      <c r="AA81" s="167"/>
      <c r="AB81" s="820" t="s">
        <v>1497</v>
      </c>
      <c r="AC81" s="822" t="s">
        <v>980</v>
      </c>
      <c r="AD81" s="819" t="s">
        <v>1204</v>
      </c>
      <c r="AE81" s="1142">
        <f ca="1">SUMIFS(Аренда!AE$26:AE$51,Аренда!$F$26:$F$51,$F81,Аренда!$G$26:$G$51,$G81)</f>
        <v>0</v>
      </c>
      <c r="AF81" s="1142">
        <f ca="1">SUMIFS(Аренда!AF$26:AF$51,Аренда!$F$26:$F$51,$F81,Аренда!$G$26:$G$51,$G81)</f>
        <v>0</v>
      </c>
      <c r="AG81" s="1142">
        <f ca="1">SUMIFS(Аренда!AG$26:AG$51,Аренда!$F$26:$F$51,$F81,Аренда!$G$26:$G$51,$G81)</f>
        <v>0</v>
      </c>
      <c r="AH81" s="293">
        <f t="shared" ca="1" si="13"/>
        <v>0</v>
      </c>
      <c r="AI81" s="1142">
        <f ca="1">SUMIFS(Аренда!AH$26:AH$51,Аренда!$F$26:$F$51,$F81,Аренда!$G$26:$G$51,$G81)</f>
        <v>0</v>
      </c>
      <c r="AJ81" s="241">
        <f ca="1">SUMIFS(Аренда!AI$26:AI$51,Аренда!$F$26:$F$51,$F81,Аренда!$G$26:$G$51,$G81)</f>
        <v>0</v>
      </c>
      <c r="AK81" s="241">
        <f ca="1">SUMIFS(Аренда!AS$26:AS$51,Аренда!$F$26:$F$51,$F81,Аренда!$G$26:$G$51,$G81)</f>
        <v>0</v>
      </c>
      <c r="AL81" s="293">
        <f t="shared" ca="1" si="14"/>
        <v>0</v>
      </c>
      <c r="AM81" s="1106"/>
      <c r="AN81" s="1106"/>
      <c r="AO81" s="1106"/>
      <c r="AP81" s="167"/>
      <c r="AQ81" s="167"/>
      <c r="AR81" s="946" t="s">
        <v>1498</v>
      </c>
      <c r="AS81" s="946"/>
      <c r="AT81" s="946"/>
      <c r="AU81" s="966"/>
      <c r="AV81" s="966"/>
    </row>
    <row r="82" spans="1:48" s="1057" customFormat="1" ht="29.25" customHeight="1">
      <c r="A82" s="993"/>
      <c r="B82" s="718"/>
      <c r="C82" s="165"/>
      <c r="D82" s="165"/>
      <c r="E82" s="623">
        <v>30</v>
      </c>
      <c r="F82" s="714" t="str">
        <f t="shared" ca="1" si="11"/>
        <v>1</v>
      </c>
      <c r="G82" s="167"/>
      <c r="H82" s="167"/>
      <c r="I82" s="167"/>
      <c r="J82" s="167"/>
      <c r="K82" s="167"/>
      <c r="L82" s="167"/>
      <c r="M82" s="167"/>
      <c r="N82" s="167"/>
      <c r="O82" s="167"/>
      <c r="P82" s="167"/>
      <c r="Q82" s="130"/>
      <c r="R82" s="130"/>
      <c r="S82" s="167"/>
      <c r="T82" s="634" t="b">
        <f t="shared" si="12"/>
        <v>1</v>
      </c>
      <c r="U82" s="1012"/>
      <c r="V82" s="1012"/>
      <c r="W82" s="1012"/>
      <c r="X82" s="1405"/>
      <c r="Y82" s="1012"/>
      <c r="Z82" s="1405"/>
      <c r="AA82" s="167"/>
      <c r="AB82" s="820" t="s">
        <v>1499</v>
      </c>
      <c r="AC82" s="822" t="s">
        <v>1500</v>
      </c>
      <c r="AD82" s="819" t="s">
        <v>1204</v>
      </c>
      <c r="AE82" s="1142"/>
      <c r="AF82" s="1142"/>
      <c r="AG82" s="1142"/>
      <c r="AH82" s="293">
        <f t="shared" si="13"/>
        <v>0</v>
      </c>
      <c r="AI82" s="1142"/>
      <c r="AJ82" s="241"/>
      <c r="AK82" s="241"/>
      <c r="AL82" s="293">
        <f t="shared" si="14"/>
        <v>0</v>
      </c>
      <c r="AM82" s="1106"/>
      <c r="AN82" s="1106"/>
      <c r="AO82" s="1106"/>
      <c r="AP82" s="167"/>
      <c r="AQ82" s="167"/>
      <c r="AR82" s="946" t="s">
        <v>1501</v>
      </c>
      <c r="AS82" s="946"/>
      <c r="AT82" s="946"/>
      <c r="AU82" s="966"/>
      <c r="AV82" s="966"/>
    </row>
    <row r="83" spans="1:48" s="1057" customFormat="1" ht="16.5" customHeight="1">
      <c r="A83" s="993"/>
      <c r="B83" s="718"/>
      <c r="C83" s="165"/>
      <c r="D83" s="165"/>
      <c r="E83" s="623">
        <v>17.100000000000001</v>
      </c>
      <c r="F83" s="714" t="str">
        <f t="shared" ca="1" si="11"/>
        <v>1</v>
      </c>
      <c r="G83" s="130" t="s">
        <v>1189</v>
      </c>
      <c r="H83" s="167"/>
      <c r="I83" s="167"/>
      <c r="J83" s="167"/>
      <c r="K83" s="167"/>
      <c r="L83" s="167"/>
      <c r="M83" s="167"/>
      <c r="N83" s="167"/>
      <c r="O83" s="167"/>
      <c r="P83" s="167"/>
      <c r="Q83" s="130"/>
      <c r="R83" s="130"/>
      <c r="S83" s="167"/>
      <c r="T83" s="634" t="b">
        <f t="shared" si="12"/>
        <v>1</v>
      </c>
      <c r="U83" s="1012"/>
      <c r="V83" s="1012"/>
      <c r="W83" s="1012"/>
      <c r="X83" s="1405"/>
      <c r="Y83" s="1012"/>
      <c r="Z83" s="1405"/>
      <c r="AA83" s="167"/>
      <c r="AB83" s="820" t="s">
        <v>1502</v>
      </c>
      <c r="AC83" s="822" t="s">
        <v>1190</v>
      </c>
      <c r="AD83" s="819" t="s">
        <v>1204</v>
      </c>
      <c r="AE83" s="1142">
        <f ca="1">SUMIFS('Топливо 4.4'!AH$27:AH$250,'Топливо 4.4'!$F$27:$F$250,$F83,'Топливо 4.4'!$G$27:$G$250,$G83)</f>
        <v>0</v>
      </c>
      <c r="AF83" s="1142">
        <f ca="1">SUMIFS('Топливо 4.4'!AI$27:AI$250,'Топливо 4.4'!$F$27:$F$250,$F83,'Топливо 4.4'!$G$27:$G$250,$G83)</f>
        <v>0</v>
      </c>
      <c r="AG83" s="1142">
        <f ca="1">SUMIFS('Топливо 4.4'!AJ$27:AJ$250,'Топливо 4.4'!$F$27:$F$250,$F83,'Топливо 4.4'!$G$27:$G$250,$G83)</f>
        <v>0</v>
      </c>
      <c r="AH83" s="293">
        <f t="shared" ca="1" si="13"/>
        <v>0</v>
      </c>
      <c r="AI83" s="1142">
        <f ca="1">SUMIFS('Топливо 4.4'!AK$27:AK$250,'Топливо 4.4'!$F$27:$F$250,$F83,'Топливо 4.4'!$G$27:$G$250,$G83)</f>
        <v>0</v>
      </c>
      <c r="AJ83" s="241">
        <f ca="1">SUMIFS('Топливо 4.4'!AL$27:AL$250,'Топливо 4.4'!$F$27:$F$250,$F83,'Топливо 4.4'!$G$27:$G$250,$G83)</f>
        <v>0</v>
      </c>
      <c r="AK83" s="241">
        <f ca="1">SUMIFS('Топливо 4.4'!BP$27:BP$250,'Топливо 4.4'!$F$27:$F$250,$F83,'Топливо 4.4'!$G$27:$G$250,$G83)</f>
        <v>0</v>
      </c>
      <c r="AL83" s="293">
        <f t="shared" ca="1" si="14"/>
        <v>0</v>
      </c>
      <c r="AM83" s="1106"/>
      <c r="AN83" s="1106"/>
      <c r="AO83" s="1106"/>
      <c r="AP83" s="167"/>
      <c r="AQ83" s="167"/>
      <c r="AR83" s="946" t="s">
        <v>1503</v>
      </c>
      <c r="AS83" s="946"/>
      <c r="AT83" s="946"/>
      <c r="AU83" s="966"/>
      <c r="AV83" s="966"/>
    </row>
    <row r="84" spans="1:48" s="1057" customFormat="1" ht="16.5" customHeight="1">
      <c r="A84" s="993"/>
      <c r="B84" s="718"/>
      <c r="C84" s="165"/>
      <c r="D84" s="165"/>
      <c r="E84" s="623">
        <v>17.100000000000001</v>
      </c>
      <c r="F84" s="714" t="str">
        <f t="shared" ca="1" si="11"/>
        <v>1</v>
      </c>
      <c r="G84" s="130" t="s">
        <v>1073</v>
      </c>
      <c r="H84" s="167"/>
      <c r="I84" s="167"/>
      <c r="J84" s="167"/>
      <c r="K84" s="167"/>
      <c r="L84" s="167"/>
      <c r="M84" s="167"/>
      <c r="N84" s="167"/>
      <c r="O84" s="167"/>
      <c r="P84" s="167"/>
      <c r="Q84" s="130"/>
      <c r="R84" s="130"/>
      <c r="S84" s="167"/>
      <c r="T84" s="634" t="b">
        <f t="shared" si="12"/>
        <v>1</v>
      </c>
      <c r="U84" s="1012"/>
      <c r="V84" s="1012"/>
      <c r="W84" s="1012"/>
      <c r="X84" s="1405"/>
      <c r="Y84" s="1012"/>
      <c r="Z84" s="1405"/>
      <c r="AA84" s="167"/>
      <c r="AB84" s="820" t="s">
        <v>1504</v>
      </c>
      <c r="AC84" s="822" t="s">
        <v>1505</v>
      </c>
      <c r="AD84" s="819" t="s">
        <v>1204</v>
      </c>
      <c r="AE84" s="1185">
        <f ca="1">SUMIFS(Налоги!AE$26:AE$55,Налоги!$F$26:$F$55,$F84,Налоги!$H$26:$H$55,$G84)</f>
        <v>0</v>
      </c>
      <c r="AF84" s="1185">
        <f ca="1">SUMIFS(Налоги!AF$26:AF$55,Налоги!$F$26:$F$55,$F84,Налоги!$H$26:$H$55,$G84)</f>
        <v>0</v>
      </c>
      <c r="AG84" s="1185">
        <f ca="1">SUMIFS(Налоги!AG$26:AG$55,Налоги!$F$26:$F$55,$F84,Налоги!$H$26:$H$55,$G84)</f>
        <v>0</v>
      </c>
      <c r="AH84" s="293">
        <f t="shared" ca="1" si="13"/>
        <v>0</v>
      </c>
      <c r="AI84" s="1185">
        <f ca="1">SUMIFS(Налоги!AH$26:AH$55,Налоги!$F$26:$F$55,$F84,Налоги!$H$26:$H$55,$G84)</f>
        <v>0</v>
      </c>
      <c r="AJ84" s="471">
        <f ca="1">SUMIFS(Налоги!AI$26:AI$55,Налоги!$F$26:$F$55,$F84,Налоги!$H$26:$H$55,$G84)</f>
        <v>0</v>
      </c>
      <c r="AK84" s="471">
        <f ca="1">SUMIFS(Налоги!AS$26:AS$55,Налоги!$F$26:$F$55,$F84,Налоги!$H$26:$H$55,$G84)</f>
        <v>0</v>
      </c>
      <c r="AL84" s="293">
        <f t="shared" ca="1" si="14"/>
        <v>0</v>
      </c>
      <c r="AM84" s="1106"/>
      <c r="AN84" s="1106"/>
      <c r="AO84" s="1106"/>
      <c r="AP84" s="167"/>
      <c r="AQ84" s="167"/>
      <c r="AR84" s="946" t="s">
        <v>1506</v>
      </c>
      <c r="AS84" s="946"/>
      <c r="AT84" s="946"/>
      <c r="AU84" s="966"/>
      <c r="AV84" s="966"/>
    </row>
    <row r="85" spans="1:48" s="1057" customFormat="1" ht="16.5" hidden="1" customHeight="1">
      <c r="A85" s="993"/>
      <c r="B85" s="718"/>
      <c r="C85" s="165"/>
      <c r="D85" s="165"/>
      <c r="E85" s="623">
        <v>17.100000000000001</v>
      </c>
      <c r="F85" s="714" t="str">
        <f t="shared" ca="1" si="11"/>
        <v>1</v>
      </c>
      <c r="G85" s="167"/>
      <c r="H85" s="167"/>
      <c r="I85" s="167"/>
      <c r="J85" s="167"/>
      <c r="K85" s="167"/>
      <c r="L85" s="167"/>
      <c r="M85" s="167"/>
      <c r="N85" s="167"/>
      <c r="O85" s="167"/>
      <c r="P85" s="167"/>
      <c r="Q85" s="130"/>
      <c r="R85" s="130"/>
      <c r="S85" s="167"/>
      <c r="T85" s="634" t="b">
        <f ca="1">AND(F85&gt;0,Y85&gt;0)</f>
        <v>0</v>
      </c>
      <c r="U85" s="1012"/>
      <c r="V85" s="1012"/>
      <c r="W85" s="113" t="s">
        <v>170</v>
      </c>
      <c r="X85" s="1405"/>
      <c r="Y85" s="113">
        <v>0</v>
      </c>
      <c r="Z85" s="1405"/>
      <c r="AA85" s="773" t="s">
        <v>157</v>
      </c>
      <c r="AB85" s="837" t="str">
        <f>"1.8."&amp;10+Y85</f>
        <v>1.8.10</v>
      </c>
      <c r="AC85" s="79"/>
      <c r="AD85" s="819" t="s">
        <v>1204</v>
      </c>
      <c r="AE85" s="40"/>
      <c r="AF85" s="40"/>
      <c r="AG85" s="40"/>
      <c r="AH85" s="293">
        <f t="shared" si="13"/>
        <v>0</v>
      </c>
      <c r="AI85" s="40"/>
      <c r="AJ85" s="241"/>
      <c r="AK85" s="241"/>
      <c r="AL85" s="293">
        <f t="shared" si="14"/>
        <v>0</v>
      </c>
      <c r="AM85" s="22"/>
      <c r="AN85" s="22"/>
      <c r="AO85" s="22"/>
      <c r="AP85" s="167"/>
      <c r="AQ85" s="167"/>
      <c r="AR85" s="946" t="s">
        <v>1507</v>
      </c>
      <c r="AS85" s="946" t="s">
        <v>1015</v>
      </c>
      <c r="AT85" s="969">
        <f>AC85</f>
        <v>0</v>
      </c>
      <c r="AU85" s="966"/>
      <c r="AV85" s="966" t="b">
        <v>1</v>
      </c>
    </row>
    <row r="86" spans="1:48" s="1057" customFormat="1" ht="16.5" customHeight="1">
      <c r="A86" s="993"/>
      <c r="B86" s="718"/>
      <c r="C86" s="165"/>
      <c r="D86" s="165"/>
      <c r="E86" s="623">
        <v>17</v>
      </c>
      <c r="F86" s="714" t="str">
        <f t="shared" ca="1" si="11"/>
        <v>1</v>
      </c>
      <c r="G86" s="167"/>
      <c r="H86" s="167"/>
      <c r="I86" s="167"/>
      <c r="J86" s="167"/>
      <c r="K86" s="167"/>
      <c r="L86" s="167"/>
      <c r="M86" s="167"/>
      <c r="N86" s="167"/>
      <c r="O86" s="167"/>
      <c r="P86" s="167"/>
      <c r="Q86" s="130"/>
      <c r="R86" s="130"/>
      <c r="S86" s="167"/>
      <c r="T86" s="634" t="b">
        <f ca="1">F86&gt;0</f>
        <v>1</v>
      </c>
      <c r="U86" s="1012"/>
      <c r="V86" s="1012"/>
      <c r="W86" s="109" t="s">
        <v>399</v>
      </c>
      <c r="X86" s="1405"/>
      <c r="Y86" s="1012"/>
      <c r="Z86" s="1405"/>
      <c r="AA86" s="167"/>
      <c r="AB86" s="836"/>
      <c r="AC86" s="768" t="s">
        <v>172</v>
      </c>
      <c r="AD86" s="299"/>
      <c r="AE86" s="299"/>
      <c r="AF86" s="299"/>
      <c r="AG86" s="299"/>
      <c r="AH86" s="299"/>
      <c r="AI86" s="299"/>
      <c r="AJ86" s="299"/>
      <c r="AK86" s="299"/>
      <c r="AL86" s="299"/>
      <c r="AM86" s="299"/>
      <c r="AN86" s="299"/>
      <c r="AO86" s="299"/>
      <c r="AP86" s="167"/>
      <c r="AQ86" s="167"/>
      <c r="AR86" s="946"/>
      <c r="AS86" s="946"/>
      <c r="AT86" s="946"/>
      <c r="AU86" s="966" t="s">
        <v>1015</v>
      </c>
      <c r="AV86" s="966"/>
    </row>
    <row r="87" spans="1:48" s="1057" customFormat="1" ht="33.75" customHeight="1">
      <c r="A87" s="993"/>
      <c r="B87" s="718"/>
      <c r="C87" s="165"/>
      <c r="D87" s="165"/>
      <c r="E87" s="623">
        <v>35</v>
      </c>
      <c r="F87" s="714" t="str">
        <f t="shared" ca="1" si="11"/>
        <v>1</v>
      </c>
      <c r="G87" s="130" t="s">
        <v>1508</v>
      </c>
      <c r="H87" s="167"/>
      <c r="I87" s="167"/>
      <c r="J87" s="167"/>
      <c r="K87" s="167"/>
      <c r="L87" s="167"/>
      <c r="M87" s="167"/>
      <c r="N87" s="167"/>
      <c r="O87" s="167"/>
      <c r="P87" s="167"/>
      <c r="Q87" s="130"/>
      <c r="R87" s="130"/>
      <c r="S87" s="167"/>
      <c r="T87" s="634" t="b">
        <f t="shared" ref="T87:T102" ca="1" si="15">T86</f>
        <v>1</v>
      </c>
      <c r="U87" s="1012"/>
      <c r="V87" s="1012"/>
      <c r="W87" s="1012"/>
      <c r="X87" s="1405"/>
      <c r="Y87" s="1012"/>
      <c r="Z87" s="1405"/>
      <c r="AA87" s="167"/>
      <c r="AB87" s="817" t="s">
        <v>343</v>
      </c>
      <c r="AC87" s="818" t="s">
        <v>1509</v>
      </c>
      <c r="AD87" s="819" t="s">
        <v>818</v>
      </c>
      <c r="AE87" s="293">
        <f ca="1">SUMIFS('Баланс ТН'!AE$27:AE$101,'Баланс ТН'!$F$27:$F$101,$F87,'Баланс ТН'!$G$27:$G$101,$G87)-AE91</f>
        <v>72.581000000000003</v>
      </c>
      <c r="AF87" s="293">
        <f ca="1">SUMIFS('Баланс ТН'!AF$27:AF$101,'Баланс ТН'!$F$27:$F$101,$F87,'Баланс ТН'!$G$27:$G$101,$G87)-AF91</f>
        <v>71.245000000000005</v>
      </c>
      <c r="AG87" s="293">
        <f ca="1">SUMIFS('Баланс ТН'!AG$27:AG$101,'Баланс ТН'!$F$27:$F$101,$F87,'Баланс ТН'!$G$27:$G$101,$G87)-AG91</f>
        <v>71.245000000000005</v>
      </c>
      <c r="AH87" s="293">
        <f t="shared" ref="AH87:AH102" ca="1" si="16">AG87-AF87</f>
        <v>0</v>
      </c>
      <c r="AI87" s="293">
        <f ca="1">SUMIFS('Баланс ТН'!AH$27:AH$101,'Баланс ТН'!$F$27:$F$101,$F87,'Баланс ТН'!$G$27:$G$101,$G87)-AI91</f>
        <v>72.581230000000005</v>
      </c>
      <c r="AJ87" s="293">
        <f ca="1">SUMIFS('Баланс ТН'!AI$27:AI$101,'Баланс ТН'!$F$27:$F$101,$F87,'Баланс ТН'!$G$27:$G$101,$G87)-AJ91</f>
        <v>72.581000000000003</v>
      </c>
      <c r="AK87" s="293">
        <f ca="1">SUMIFS('Баланс ТН'!AS$27:AS$101,'Баланс ТН'!$F$27:$F$101,$F87,'Баланс ТН'!$G$27:$G$101,$G87)-AK91</f>
        <v>72.581000000000003</v>
      </c>
      <c r="AL87" s="293">
        <f t="shared" ref="AL87:AL102" ca="1" si="17">IF(AI87=0,0,(AK87-AI87)/AI87*100)</f>
        <v>-3.1688633549190455E-4</v>
      </c>
      <c r="AM87" s="1106"/>
      <c r="AN87" s="1106"/>
      <c r="AO87" s="1106"/>
      <c r="AP87" s="167"/>
      <c r="AQ87" s="167"/>
      <c r="AR87" s="946" t="s">
        <v>1510</v>
      </c>
      <c r="AS87" s="946"/>
      <c r="AT87" s="946"/>
      <c r="AU87" s="966"/>
      <c r="AV87" s="966"/>
    </row>
    <row r="88" spans="1:48" s="1057" customFormat="1" ht="16.5" customHeight="1">
      <c r="A88" s="993"/>
      <c r="B88" s="718"/>
      <c r="C88" s="165"/>
      <c r="D88" s="165"/>
      <c r="E88" s="623">
        <v>17.100000000000001</v>
      </c>
      <c r="F88" s="714" t="str">
        <f t="shared" ca="1" si="11"/>
        <v>1</v>
      </c>
      <c r="G88" s="130" t="s">
        <v>1441</v>
      </c>
      <c r="H88" s="167"/>
      <c r="I88" s="167"/>
      <c r="J88" s="167"/>
      <c r="K88" s="167"/>
      <c r="L88" s="167"/>
      <c r="M88" s="167"/>
      <c r="N88" s="167"/>
      <c r="O88" s="167"/>
      <c r="P88" s="167"/>
      <c r="Q88" s="130"/>
      <c r="R88" s="130"/>
      <c r="S88" s="167"/>
      <c r="T88" s="634" t="b">
        <f t="shared" ca="1" si="15"/>
        <v>1</v>
      </c>
      <c r="U88" s="1012"/>
      <c r="V88" s="1012"/>
      <c r="W88" s="1012"/>
      <c r="X88" s="1405"/>
      <c r="Y88" s="1012"/>
      <c r="Z88" s="1405"/>
      <c r="AA88" s="167"/>
      <c r="AB88" s="820" t="s">
        <v>346</v>
      </c>
      <c r="AC88" s="555" t="s">
        <v>1511</v>
      </c>
      <c r="AD88" s="819" t="s">
        <v>818</v>
      </c>
      <c r="AE88" s="1142"/>
      <c r="AF88" s="1142"/>
      <c r="AG88" s="1142"/>
      <c r="AH88" s="293">
        <f t="shared" si="16"/>
        <v>0</v>
      </c>
      <c r="AI88" s="1142"/>
      <c r="AJ88" s="241"/>
      <c r="AK88" s="241"/>
      <c r="AL88" s="293">
        <f t="shared" si="17"/>
        <v>0</v>
      </c>
      <c r="AM88" s="1106"/>
      <c r="AN88" s="1106"/>
      <c r="AO88" s="1106"/>
      <c r="AP88" s="167"/>
      <c r="AQ88" s="167"/>
      <c r="AR88" s="946" t="s">
        <v>1512</v>
      </c>
      <c r="AS88" s="946"/>
      <c r="AT88" s="946"/>
      <c r="AU88" s="966"/>
      <c r="AV88" s="966"/>
    </row>
    <row r="89" spans="1:48" s="1057" customFormat="1" ht="16.5" customHeight="1">
      <c r="A89" s="993"/>
      <c r="B89" s="718"/>
      <c r="C89" s="165"/>
      <c r="D89" s="165"/>
      <c r="E89" s="623">
        <v>17.100000000000001</v>
      </c>
      <c r="F89" s="714" t="str">
        <f t="shared" ca="1" si="11"/>
        <v>1</v>
      </c>
      <c r="G89" s="130" t="s">
        <v>1448</v>
      </c>
      <c r="H89" s="167"/>
      <c r="I89" s="167"/>
      <c r="J89" s="167"/>
      <c r="K89" s="167"/>
      <c r="L89" s="167"/>
      <c r="M89" s="167"/>
      <c r="N89" s="167"/>
      <c r="O89" s="167"/>
      <c r="P89" s="167"/>
      <c r="Q89" s="130"/>
      <c r="R89" s="130"/>
      <c r="S89" s="167"/>
      <c r="T89" s="634" t="b">
        <f t="shared" ca="1" si="15"/>
        <v>1</v>
      </c>
      <c r="U89" s="1012"/>
      <c r="V89" s="1012"/>
      <c r="W89" s="1012"/>
      <c r="X89" s="1405"/>
      <c r="Y89" s="1012"/>
      <c r="Z89" s="1405"/>
      <c r="AA89" s="167"/>
      <c r="AB89" s="820" t="s">
        <v>373</v>
      </c>
      <c r="AC89" s="555" t="s">
        <v>1513</v>
      </c>
      <c r="AD89" s="819" t="s">
        <v>818</v>
      </c>
      <c r="AE89" s="293">
        <f ca="1">AE87-AE88</f>
        <v>72.581000000000003</v>
      </c>
      <c r="AF89" s="293">
        <f ca="1">AF87-AF88</f>
        <v>71.245000000000005</v>
      </c>
      <c r="AG89" s="293">
        <f ca="1">AG87-AG88</f>
        <v>71.245000000000005</v>
      </c>
      <c r="AH89" s="293">
        <f t="shared" ca="1" si="16"/>
        <v>0</v>
      </c>
      <c r="AI89" s="293">
        <f ca="1">AI87-AI88</f>
        <v>72.581230000000005</v>
      </c>
      <c r="AJ89" s="293">
        <f ca="1">AJ87-AJ88</f>
        <v>72.581000000000003</v>
      </c>
      <c r="AK89" s="293">
        <f ca="1">AK87-AK88</f>
        <v>72.581000000000003</v>
      </c>
      <c r="AL89" s="293">
        <f t="shared" ca="1" si="17"/>
        <v>-3.1688633549190455E-4</v>
      </c>
      <c r="AM89" s="1106"/>
      <c r="AN89" s="1106"/>
      <c r="AO89" s="1106"/>
      <c r="AP89" s="167"/>
      <c r="AQ89" s="167"/>
      <c r="AR89" s="946" t="s">
        <v>1514</v>
      </c>
      <c r="AS89" s="946"/>
      <c r="AT89" s="946"/>
      <c r="AU89" s="966"/>
      <c r="AV89" s="966"/>
    </row>
    <row r="90" spans="1:48" s="1057" customFormat="1" ht="18.75" customHeight="1">
      <c r="A90" s="993"/>
      <c r="B90" s="718"/>
      <c r="C90" s="165"/>
      <c r="D90" s="165"/>
      <c r="E90" s="623">
        <v>19.5</v>
      </c>
      <c r="F90" s="714" t="str">
        <f t="shared" ca="1" si="11"/>
        <v>1</v>
      </c>
      <c r="G90" s="167"/>
      <c r="H90" s="167"/>
      <c r="I90" s="167"/>
      <c r="J90" s="167"/>
      <c r="K90" s="167"/>
      <c r="L90" s="167"/>
      <c r="M90" s="167"/>
      <c r="N90" s="167"/>
      <c r="O90" s="167"/>
      <c r="P90" s="167"/>
      <c r="Q90" s="130"/>
      <c r="R90" s="130"/>
      <c r="S90" s="167"/>
      <c r="T90" s="634" t="b">
        <f t="shared" ca="1" si="15"/>
        <v>1</v>
      </c>
      <c r="U90" s="1012"/>
      <c r="V90" s="1012"/>
      <c r="W90" s="1012"/>
      <c r="X90" s="1405"/>
      <c r="Y90" s="1012"/>
      <c r="Z90" s="1405"/>
      <c r="AA90" s="167"/>
      <c r="AB90" s="817" t="s">
        <v>520</v>
      </c>
      <c r="AC90" s="818" t="s">
        <v>1515</v>
      </c>
      <c r="AD90" s="819" t="s">
        <v>1204</v>
      </c>
      <c r="AE90" s="1142"/>
      <c r="AF90" s="1142"/>
      <c r="AG90" s="1142"/>
      <c r="AH90" s="293">
        <f t="shared" si="16"/>
        <v>0</v>
      </c>
      <c r="AI90" s="1142"/>
      <c r="AJ90" s="241"/>
      <c r="AK90" s="241"/>
      <c r="AL90" s="293">
        <f t="shared" si="17"/>
        <v>0</v>
      </c>
      <c r="AM90" s="1106"/>
      <c r="AN90" s="1106"/>
      <c r="AO90" s="1106"/>
      <c r="AP90" s="167"/>
      <c r="AQ90" s="167"/>
      <c r="AR90" s="946" t="s">
        <v>1516</v>
      </c>
      <c r="AS90" s="946"/>
      <c r="AT90" s="946"/>
      <c r="AU90" s="966"/>
      <c r="AV90" s="966"/>
    </row>
    <row r="91" spans="1:48" s="1057" customFormat="1" ht="16.5" customHeight="1">
      <c r="A91" s="993"/>
      <c r="B91" s="718"/>
      <c r="C91" s="165"/>
      <c r="D91" s="165"/>
      <c r="E91" s="623">
        <v>17.100000000000001</v>
      </c>
      <c r="F91" s="714" t="str">
        <f t="shared" ca="1" si="11"/>
        <v>1</v>
      </c>
      <c r="G91" s="130" t="s">
        <v>1517</v>
      </c>
      <c r="H91" s="167"/>
      <c r="I91" s="167"/>
      <c r="J91" s="167"/>
      <c r="K91" s="167"/>
      <c r="L91" s="167"/>
      <c r="M91" s="167"/>
      <c r="N91" s="167"/>
      <c r="O91" s="167"/>
      <c r="P91" s="167"/>
      <c r="Q91" s="130"/>
      <c r="R91" s="130"/>
      <c r="S91" s="167"/>
      <c r="T91" s="634" t="b">
        <f t="shared" ca="1" si="15"/>
        <v>1</v>
      </c>
      <c r="U91" s="1012"/>
      <c r="V91" s="1012"/>
      <c r="W91" s="1012"/>
      <c r="X91" s="1405"/>
      <c r="Y91" s="1012"/>
      <c r="Z91" s="1405"/>
      <c r="AA91" s="167"/>
      <c r="AB91" s="817" t="s">
        <v>527</v>
      </c>
      <c r="AC91" s="818" t="s">
        <v>1518</v>
      </c>
      <c r="AD91" s="819" t="s">
        <v>818</v>
      </c>
      <c r="AE91" s="293">
        <f ca="1">SUMIFS('Баланс ТН'!AE$27:AE$101,'Баланс ТН'!$F$27:$F$101,$F91,'Баланс ТН'!$G$27:$G$101,$G91)</f>
        <v>0</v>
      </c>
      <c r="AF91" s="293">
        <f ca="1">SUMIFS('Баланс ТН'!AF$27:AF$101,'Баланс ТН'!$F$27:$F$101,$F91,'Баланс ТН'!$G$27:$G$101,$G91)</f>
        <v>0</v>
      </c>
      <c r="AG91" s="293">
        <f ca="1">SUMIFS('Баланс ТН'!AG$27:AG$101,'Баланс ТН'!$F$27:$F$101,$F91,'Баланс ТН'!$G$27:$G$101,$G91)</f>
        <v>0</v>
      </c>
      <c r="AH91" s="293">
        <f t="shared" ca="1" si="16"/>
        <v>0</v>
      </c>
      <c r="AI91" s="293">
        <f ca="1">SUMIFS('Баланс ТН'!AH$27:AH$101,'Баланс ТН'!$F$27:$F$101,$F91,'Баланс ТН'!$G$27:$G$101,$G91)</f>
        <v>0</v>
      </c>
      <c r="AJ91" s="293">
        <f ca="1">SUMIFS('Баланс ТН'!AI$27:AI$101,'Баланс ТН'!$F$27:$F$101,$F91,'Баланс ТН'!$G$27:$G$101,$G91)</f>
        <v>0</v>
      </c>
      <c r="AK91" s="293">
        <f ca="1">SUMIFS('Баланс ТН'!AS$27:AS$101,'Баланс ТН'!$F$27:$F$101,$F91,'Баланс ТН'!$G$27:$G$101,$G91)</f>
        <v>0</v>
      </c>
      <c r="AL91" s="293">
        <f t="shared" ca="1" si="17"/>
        <v>0</v>
      </c>
      <c r="AM91" s="1106"/>
      <c r="AN91" s="1106"/>
      <c r="AO91" s="1106"/>
      <c r="AP91" s="167"/>
      <c r="AQ91" s="167"/>
      <c r="AR91" s="946" t="s">
        <v>1519</v>
      </c>
      <c r="AS91" s="946"/>
      <c r="AT91" s="946"/>
      <c r="AU91" s="966"/>
      <c r="AV91" s="966"/>
    </row>
    <row r="92" spans="1:48" s="1057" customFormat="1" ht="16.5" customHeight="1">
      <c r="A92" s="993"/>
      <c r="B92" s="718"/>
      <c r="C92" s="165"/>
      <c r="D92" s="165"/>
      <c r="E92" s="623">
        <v>17.100000000000001</v>
      </c>
      <c r="F92" s="714" t="str">
        <f t="shared" ca="1" si="11"/>
        <v>1</v>
      </c>
      <c r="G92" s="130" t="s">
        <v>1441</v>
      </c>
      <c r="H92" s="167"/>
      <c r="I92" s="167"/>
      <c r="J92" s="167"/>
      <c r="K92" s="167"/>
      <c r="L92" s="167"/>
      <c r="M92" s="167"/>
      <c r="N92" s="167"/>
      <c r="O92" s="167"/>
      <c r="P92" s="167"/>
      <c r="Q92" s="130"/>
      <c r="R92" s="130"/>
      <c r="S92" s="167"/>
      <c r="T92" s="634" t="b">
        <f t="shared" ca="1" si="15"/>
        <v>1</v>
      </c>
      <c r="U92" s="1012"/>
      <c r="V92" s="1012"/>
      <c r="W92" s="1012"/>
      <c r="X92" s="1405"/>
      <c r="Y92" s="1012"/>
      <c r="Z92" s="1405"/>
      <c r="AA92" s="167"/>
      <c r="AB92" s="820" t="s">
        <v>530</v>
      </c>
      <c r="AC92" s="555" t="s">
        <v>1511</v>
      </c>
      <c r="AD92" s="819" t="s">
        <v>818</v>
      </c>
      <c r="AE92" s="1142"/>
      <c r="AF92" s="1142"/>
      <c r="AG92" s="1142"/>
      <c r="AH92" s="293">
        <f t="shared" si="16"/>
        <v>0</v>
      </c>
      <c r="AI92" s="1142"/>
      <c r="AJ92" s="241"/>
      <c r="AK92" s="241"/>
      <c r="AL92" s="293">
        <f t="shared" si="17"/>
        <v>0</v>
      </c>
      <c r="AM92" s="1106"/>
      <c r="AN92" s="1106"/>
      <c r="AO92" s="1106"/>
      <c r="AP92" s="167"/>
      <c r="AQ92" s="167"/>
      <c r="AR92" s="946" t="s">
        <v>1520</v>
      </c>
      <c r="AS92" s="946"/>
      <c r="AT92" s="946"/>
      <c r="AU92" s="966"/>
      <c r="AV92" s="966"/>
    </row>
    <row r="93" spans="1:48" s="1057" customFormat="1" ht="16.5" customHeight="1">
      <c r="A93" s="993"/>
      <c r="B93" s="718"/>
      <c r="C93" s="165"/>
      <c r="D93" s="165"/>
      <c r="E93" s="623">
        <v>17.100000000000001</v>
      </c>
      <c r="F93" s="714" t="str">
        <f t="shared" ca="1" si="11"/>
        <v>1</v>
      </c>
      <c r="G93" s="130" t="s">
        <v>1448</v>
      </c>
      <c r="H93" s="167"/>
      <c r="I93" s="167"/>
      <c r="J93" s="167"/>
      <c r="K93" s="167"/>
      <c r="L93" s="167"/>
      <c r="M93" s="167"/>
      <c r="N93" s="167"/>
      <c r="O93" s="167"/>
      <c r="P93" s="167"/>
      <c r="Q93" s="130"/>
      <c r="R93" s="130"/>
      <c r="S93" s="167"/>
      <c r="T93" s="634" t="b">
        <f t="shared" ca="1" si="15"/>
        <v>1</v>
      </c>
      <c r="U93" s="1012"/>
      <c r="V93" s="1012"/>
      <c r="W93" s="1012"/>
      <c r="X93" s="1405"/>
      <c r="Y93" s="1012"/>
      <c r="Z93" s="1405"/>
      <c r="AA93" s="167"/>
      <c r="AB93" s="820" t="s">
        <v>532</v>
      </c>
      <c r="AC93" s="555" t="s">
        <v>1513</v>
      </c>
      <c r="AD93" s="819" t="s">
        <v>818</v>
      </c>
      <c r="AE93" s="293">
        <f ca="1">AE91-AE92</f>
        <v>0</v>
      </c>
      <c r="AF93" s="293">
        <f ca="1">AF91-AF92</f>
        <v>0</v>
      </c>
      <c r="AG93" s="293">
        <f ca="1">AG91-AG92</f>
        <v>0</v>
      </c>
      <c r="AH93" s="293">
        <f t="shared" ca="1" si="16"/>
        <v>0</v>
      </c>
      <c r="AI93" s="293">
        <f ca="1">AI91-AI92</f>
        <v>0</v>
      </c>
      <c r="AJ93" s="293">
        <f ca="1">AJ91-AJ92</f>
        <v>0</v>
      </c>
      <c r="AK93" s="293">
        <f ca="1">AK91-AK92</f>
        <v>0</v>
      </c>
      <c r="AL93" s="293">
        <f t="shared" ca="1" si="17"/>
        <v>0</v>
      </c>
      <c r="AM93" s="1106"/>
      <c r="AN93" s="1106"/>
      <c r="AO93" s="1106"/>
      <c r="AP93" s="167"/>
      <c r="AQ93" s="167"/>
      <c r="AR93" s="946" t="s">
        <v>1521</v>
      </c>
      <c r="AS93" s="946"/>
      <c r="AT93" s="946"/>
      <c r="AU93" s="966"/>
      <c r="AV93" s="966"/>
    </row>
    <row r="94" spans="1:48" s="1057" customFormat="1" ht="33.75" customHeight="1">
      <c r="A94" s="993"/>
      <c r="B94" s="718"/>
      <c r="C94" s="165"/>
      <c r="D94" s="165"/>
      <c r="E94" s="623">
        <v>35</v>
      </c>
      <c r="F94" s="714" t="str">
        <f t="shared" ca="1" si="11"/>
        <v>1</v>
      </c>
      <c r="G94" s="167"/>
      <c r="H94" s="167"/>
      <c r="I94" s="167"/>
      <c r="J94" s="167"/>
      <c r="K94" s="167"/>
      <c r="L94" s="167"/>
      <c r="M94" s="167"/>
      <c r="N94" s="167"/>
      <c r="O94" s="167"/>
      <c r="P94" s="167"/>
      <c r="Q94" s="130"/>
      <c r="R94" s="130"/>
      <c r="S94" s="167"/>
      <c r="T94" s="634" t="b">
        <f t="shared" ca="1" si="15"/>
        <v>1</v>
      </c>
      <c r="U94" s="1012"/>
      <c r="V94" s="1012"/>
      <c r="W94" s="1012"/>
      <c r="X94" s="1405"/>
      <c r="Y94" s="1012"/>
      <c r="Z94" s="1405"/>
      <c r="AA94" s="167"/>
      <c r="AB94" s="817" t="s">
        <v>534</v>
      </c>
      <c r="AC94" s="818" t="s">
        <v>1522</v>
      </c>
      <c r="AD94" s="819" t="s">
        <v>1204</v>
      </c>
      <c r="AE94" s="1142"/>
      <c r="AF94" s="1142"/>
      <c r="AG94" s="1142"/>
      <c r="AH94" s="293">
        <f t="shared" si="16"/>
        <v>0</v>
      </c>
      <c r="AI94" s="1142"/>
      <c r="AJ94" s="241"/>
      <c r="AK94" s="241"/>
      <c r="AL94" s="293">
        <f t="shared" si="17"/>
        <v>0</v>
      </c>
      <c r="AM94" s="1106"/>
      <c r="AN94" s="1106"/>
      <c r="AO94" s="1106"/>
      <c r="AP94" s="167"/>
      <c r="AQ94" s="167"/>
      <c r="AR94" s="946" t="s">
        <v>1523</v>
      </c>
      <c r="AS94" s="946"/>
      <c r="AT94" s="946"/>
      <c r="AU94" s="966"/>
      <c r="AV94" s="966"/>
    </row>
    <row r="95" spans="1:48" s="1057" customFormat="1" ht="16.5" customHeight="1">
      <c r="A95" s="993"/>
      <c r="B95" s="718"/>
      <c r="C95" s="165"/>
      <c r="D95" s="165"/>
      <c r="E95" s="623">
        <v>17.100000000000001</v>
      </c>
      <c r="F95" s="714" t="str">
        <f t="shared" ca="1" si="11"/>
        <v>1</v>
      </c>
      <c r="G95" s="167"/>
      <c r="H95" s="167"/>
      <c r="I95" s="167"/>
      <c r="J95" s="167"/>
      <c r="K95" s="167"/>
      <c r="L95" s="167"/>
      <c r="M95" s="167"/>
      <c r="N95" s="167"/>
      <c r="O95" s="167"/>
      <c r="P95" s="167"/>
      <c r="Q95" s="130"/>
      <c r="R95" s="130"/>
      <c r="S95" s="167"/>
      <c r="T95" s="634" t="b">
        <f t="shared" ca="1" si="15"/>
        <v>1</v>
      </c>
      <c r="U95" s="1012"/>
      <c r="V95" s="1012"/>
      <c r="W95" s="1012"/>
      <c r="X95" s="1405"/>
      <c r="Y95" s="1012"/>
      <c r="Z95" s="1405"/>
      <c r="AA95" s="167"/>
      <c r="AB95" s="823" t="s">
        <v>541</v>
      </c>
      <c r="AC95" s="824" t="s">
        <v>1524</v>
      </c>
      <c r="AD95" s="825" t="s">
        <v>1204</v>
      </c>
      <c r="AE95" s="293">
        <f ca="1">AE66+AE90+AE94</f>
        <v>3437.5138216700002</v>
      </c>
      <c r="AF95" s="293">
        <f ca="1">AF66+AF90+AF94</f>
        <v>3439.0210000000002</v>
      </c>
      <c r="AG95" s="293">
        <f ca="1">AG66+AG90+AG94</f>
        <v>3439.02</v>
      </c>
      <c r="AH95" s="293">
        <f t="shared" ca="1" si="16"/>
        <v>-1.0000000002037268E-3</v>
      </c>
      <c r="AI95" s="293">
        <f ca="1">AI66+AI90+AI94</f>
        <v>3891.6045094000006</v>
      </c>
      <c r="AJ95" s="293">
        <f ca="1">AJ66+AJ90+AJ94</f>
        <v>4362.83</v>
      </c>
      <c r="AK95" s="293">
        <f ca="1">AK66+AK90+AK94</f>
        <v>4302.093613</v>
      </c>
      <c r="AL95" s="293">
        <f t="shared" ca="1" si="17"/>
        <v>10.548068350945758</v>
      </c>
      <c r="AM95" s="1106"/>
      <c r="AN95" s="1106"/>
      <c r="AO95" s="1106"/>
      <c r="AP95" s="167"/>
      <c r="AQ95" s="167"/>
      <c r="AR95" s="946" t="s">
        <v>1525</v>
      </c>
      <c r="AS95" s="946"/>
      <c r="AT95" s="946"/>
      <c r="AU95" s="966"/>
      <c r="AV95" s="966"/>
    </row>
    <row r="96" spans="1:48" s="1057" customFormat="1" ht="33.75" customHeight="1">
      <c r="A96" s="993"/>
      <c r="B96" s="718"/>
      <c r="C96" s="165"/>
      <c r="D96" s="165"/>
      <c r="E96" s="623">
        <v>35</v>
      </c>
      <c r="F96" s="714" t="str">
        <f t="shared" ca="1" si="11"/>
        <v>1</v>
      </c>
      <c r="G96" s="167"/>
      <c r="H96" s="167"/>
      <c r="I96" s="167"/>
      <c r="J96" s="167"/>
      <c r="K96" s="167"/>
      <c r="L96" s="167"/>
      <c r="M96" s="167"/>
      <c r="N96" s="167"/>
      <c r="O96" s="167"/>
      <c r="P96" s="167"/>
      <c r="Q96" s="130"/>
      <c r="R96" s="130"/>
      <c r="S96" s="167"/>
      <c r="T96" s="634" t="b">
        <f t="shared" ca="1" si="15"/>
        <v>1</v>
      </c>
      <c r="U96" s="1012"/>
      <c r="V96" s="1012"/>
      <c r="W96" s="1012"/>
      <c r="X96" s="1405"/>
      <c r="Y96" s="1012"/>
      <c r="Z96" s="1405"/>
      <c r="AA96" s="167"/>
      <c r="AB96" s="817" t="s">
        <v>549</v>
      </c>
      <c r="AC96" s="818" t="s">
        <v>1526</v>
      </c>
      <c r="AD96" s="820" t="s">
        <v>1527</v>
      </c>
      <c r="AE96" s="293">
        <f ca="1">IFERROR(AE95/(AE87+AE91),0)</f>
        <v>47.361069999999998</v>
      </c>
      <c r="AF96" s="293">
        <f ca="1">IFERROR(AF95/(AF87+AF91),0)</f>
        <v>48.270348796406765</v>
      </c>
      <c r="AG96" s="293">
        <f ca="1">IFERROR(AG95/(AG87+AG91),0)</f>
        <v>48.270334760334052</v>
      </c>
      <c r="AH96" s="293">
        <f t="shared" ca="1" si="16"/>
        <v>-1.4036072712997338E-5</v>
      </c>
      <c r="AI96" s="293">
        <f ca="1">IFERROR(AI95/(AI87+AI91),0)</f>
        <v>53.617230093785956</v>
      </c>
      <c r="AJ96" s="293">
        <f ca="1">IFERROR(AJ95/(AJ87+AJ91),0)</f>
        <v>60.109808352048056</v>
      </c>
      <c r="AK96" s="293">
        <f ca="1">IFERROR(AK95/(AK87+AK91),0)</f>
        <v>59.272999999999996</v>
      </c>
      <c r="AL96" s="293">
        <f t="shared" ca="1" si="17"/>
        <v>10.548418663778611</v>
      </c>
      <c r="AM96" s="1106"/>
      <c r="AN96" s="1106"/>
      <c r="AO96" s="1106"/>
      <c r="AP96" s="167"/>
      <c r="AQ96" s="167"/>
      <c r="AR96" s="946" t="s">
        <v>1528</v>
      </c>
      <c r="AS96" s="946"/>
      <c r="AT96" s="946"/>
      <c r="AU96" s="966"/>
      <c r="AV96" s="966"/>
    </row>
    <row r="97" spans="1:48" s="1057" customFormat="1" ht="16.5" customHeight="1">
      <c r="A97" s="993"/>
      <c r="B97" s="718"/>
      <c r="C97" s="165"/>
      <c r="D97" s="165"/>
      <c r="E97" s="623">
        <v>17.100000000000001</v>
      </c>
      <c r="F97" s="714" t="str">
        <f t="shared" ca="1" si="11"/>
        <v>1</v>
      </c>
      <c r="G97" s="167"/>
      <c r="H97" s="167"/>
      <c r="I97" s="167"/>
      <c r="J97" s="167"/>
      <c r="K97" s="167"/>
      <c r="L97" s="167"/>
      <c r="M97" s="167"/>
      <c r="N97" s="167"/>
      <c r="O97" s="167"/>
      <c r="P97" s="167"/>
      <c r="Q97" s="130"/>
      <c r="R97" s="130"/>
      <c r="S97" s="167"/>
      <c r="T97" s="634" t="b">
        <f t="shared" ca="1" si="15"/>
        <v>1</v>
      </c>
      <c r="U97" s="1012"/>
      <c r="V97" s="1012"/>
      <c r="W97" s="1012"/>
      <c r="X97" s="1405"/>
      <c r="Y97" s="1012"/>
      <c r="Z97" s="1405"/>
      <c r="AA97" s="167"/>
      <c r="AB97" s="820" t="s">
        <v>552</v>
      </c>
      <c r="AC97" s="555" t="s">
        <v>1511</v>
      </c>
      <c r="AD97" s="820" t="s">
        <v>1527</v>
      </c>
      <c r="AE97" s="1142"/>
      <c r="AF97" s="1142"/>
      <c r="AG97" s="1142"/>
      <c r="AH97" s="293">
        <f t="shared" si="16"/>
        <v>0</v>
      </c>
      <c r="AI97" s="1142"/>
      <c r="AJ97" s="241"/>
      <c r="AK97" s="241"/>
      <c r="AL97" s="293">
        <f t="shared" si="17"/>
        <v>0</v>
      </c>
      <c r="AM97" s="1106"/>
      <c r="AN97" s="1106"/>
      <c r="AO97" s="1106"/>
      <c r="AP97" s="167"/>
      <c r="AQ97" s="167"/>
      <c r="AR97" s="946" t="s">
        <v>1529</v>
      </c>
      <c r="AS97" s="946"/>
      <c r="AT97" s="946"/>
      <c r="AU97" s="966"/>
      <c r="AV97" s="966"/>
    </row>
    <row r="98" spans="1:48" s="1057" customFormat="1" ht="16.5" customHeight="1">
      <c r="A98" s="993"/>
      <c r="B98" s="718"/>
      <c r="C98" s="165"/>
      <c r="D98" s="165"/>
      <c r="E98" s="623">
        <v>17.100000000000001</v>
      </c>
      <c r="F98" s="714" t="str">
        <f t="shared" ca="1" si="11"/>
        <v>1</v>
      </c>
      <c r="G98" s="167"/>
      <c r="H98" s="167"/>
      <c r="I98" s="167"/>
      <c r="J98" s="167"/>
      <c r="K98" s="167"/>
      <c r="L98" s="167"/>
      <c r="M98" s="167"/>
      <c r="N98" s="167"/>
      <c r="O98" s="167"/>
      <c r="P98" s="167"/>
      <c r="Q98" s="130"/>
      <c r="R98" s="130"/>
      <c r="S98" s="167"/>
      <c r="T98" s="634" t="b">
        <f t="shared" ca="1" si="15"/>
        <v>1</v>
      </c>
      <c r="U98" s="1012"/>
      <c r="V98" s="1012"/>
      <c r="W98" s="1012"/>
      <c r="X98" s="1405"/>
      <c r="Y98" s="1012"/>
      <c r="Z98" s="1405"/>
      <c r="AA98" s="167"/>
      <c r="AB98" s="820" t="s">
        <v>554</v>
      </c>
      <c r="AC98" s="555" t="s">
        <v>1513</v>
      </c>
      <c r="AD98" s="820" t="s">
        <v>1527</v>
      </c>
      <c r="AE98" s="1107">
        <f ca="1">IFERROR((AE95-AE97*(AE88+AE92))/(AE89+AE93),0)</f>
        <v>47.361069999999998</v>
      </c>
      <c r="AF98" s="1107">
        <f ca="1">IFERROR((AF95-AF97*(AF88+AF92))/(AF89+AF93),0)</f>
        <v>48.270348796406765</v>
      </c>
      <c r="AG98" s="1107">
        <f ca="1">IFERROR((AG95-AG97*(AG88+AG92))/(AG89+AG93),0)</f>
        <v>48.270334760334052</v>
      </c>
      <c r="AH98" s="293">
        <f t="shared" ca="1" si="16"/>
        <v>-1.4036072712997338E-5</v>
      </c>
      <c r="AI98" s="1107">
        <f ca="1">IFERROR((AI95-AI97*(AI88+AI92))/(AI89+AI93),0)</f>
        <v>53.617230093785956</v>
      </c>
      <c r="AJ98" s="233">
        <f ca="1">IFERROR((AJ95-AJ97*(AJ88+AJ92))/(AJ89+AJ93),0)</f>
        <v>60.109808352048056</v>
      </c>
      <c r="AK98" s="233">
        <f ca="1">IFERROR((AK95-AK97*(AK88+AK92))/(AK89+AK93),0)</f>
        <v>59.272999999999996</v>
      </c>
      <c r="AL98" s="293">
        <f t="shared" ca="1" si="17"/>
        <v>10.548418663778611</v>
      </c>
      <c r="AM98" s="1106"/>
      <c r="AN98" s="1106"/>
      <c r="AO98" s="1106"/>
      <c r="AP98" s="167"/>
      <c r="AQ98" s="167"/>
      <c r="AR98" s="946" t="s">
        <v>1530</v>
      </c>
      <c r="AS98" s="946"/>
      <c r="AT98" s="946"/>
      <c r="AU98" s="966"/>
      <c r="AV98" s="966"/>
    </row>
    <row r="99" spans="1:48" s="1057" customFormat="1" ht="43.5" customHeight="1">
      <c r="A99" s="993"/>
      <c r="B99" s="718"/>
      <c r="C99" s="165"/>
      <c r="D99" s="165"/>
      <c r="E99" s="623">
        <v>45</v>
      </c>
      <c r="F99" s="714" t="str">
        <f t="shared" ca="1" si="11"/>
        <v>1</v>
      </c>
      <c r="G99" s="167"/>
      <c r="H99" s="167"/>
      <c r="I99" s="167"/>
      <c r="J99" s="167"/>
      <c r="K99" s="167"/>
      <c r="L99" s="167"/>
      <c r="M99" s="167"/>
      <c r="N99" s="167"/>
      <c r="O99" s="167"/>
      <c r="P99" s="167"/>
      <c r="Q99" s="130"/>
      <c r="R99" s="130"/>
      <c r="S99" s="167"/>
      <c r="T99" s="634" t="b">
        <f t="shared" ca="1" si="15"/>
        <v>1</v>
      </c>
      <c r="U99" s="1012"/>
      <c r="V99" s="1012"/>
      <c r="W99" s="1012"/>
      <c r="X99" s="1405"/>
      <c r="Y99" s="1012"/>
      <c r="Z99" s="1405"/>
      <c r="AA99" s="167"/>
      <c r="AB99" s="823" t="s">
        <v>1123</v>
      </c>
      <c r="AC99" s="818" t="s">
        <v>1531</v>
      </c>
      <c r="AD99" s="820" t="s">
        <v>1527</v>
      </c>
      <c r="AE99" s="293">
        <f t="shared" ref="AE99:AG101" ca="1" si="18">AE96</f>
        <v>47.361069999999998</v>
      </c>
      <c r="AF99" s="293">
        <f t="shared" ca="1" si="18"/>
        <v>48.270348796406765</v>
      </c>
      <c r="AG99" s="293">
        <f t="shared" ca="1" si="18"/>
        <v>48.270334760334052</v>
      </c>
      <c r="AH99" s="293">
        <f t="shared" ca="1" si="16"/>
        <v>-1.4036072712997338E-5</v>
      </c>
      <c r="AI99" s="293">
        <f t="shared" ref="AI99:AK101" ca="1" si="19">AI96</f>
        <v>53.617230093785956</v>
      </c>
      <c r="AJ99" s="293">
        <f t="shared" ca="1" si="19"/>
        <v>60.109808352048056</v>
      </c>
      <c r="AK99" s="293">
        <f t="shared" ca="1" si="19"/>
        <v>59.272999999999996</v>
      </c>
      <c r="AL99" s="293">
        <f t="shared" ca="1" si="17"/>
        <v>10.548418663778611</v>
      </c>
      <c r="AM99" s="1106"/>
      <c r="AN99" s="1106"/>
      <c r="AO99" s="1106"/>
      <c r="AP99" s="167"/>
      <c r="AQ99" s="167"/>
      <c r="AR99" s="946" t="s">
        <v>1532</v>
      </c>
      <c r="AS99" s="946"/>
      <c r="AT99" s="946"/>
      <c r="AU99" s="966"/>
      <c r="AV99" s="966"/>
    </row>
    <row r="100" spans="1:48" s="1057" customFormat="1" ht="16.5" customHeight="1">
      <c r="A100" s="993"/>
      <c r="B100" s="718"/>
      <c r="C100" s="165"/>
      <c r="D100" s="165"/>
      <c r="E100" s="623">
        <v>17.100000000000001</v>
      </c>
      <c r="F100" s="714" t="str">
        <f t="shared" ca="1" si="11"/>
        <v>1</v>
      </c>
      <c r="G100" s="130" t="s">
        <v>1444</v>
      </c>
      <c r="H100" s="167"/>
      <c r="I100" s="167"/>
      <c r="J100" s="167"/>
      <c r="K100" s="167"/>
      <c r="L100" s="167"/>
      <c r="M100" s="167"/>
      <c r="N100" s="167"/>
      <c r="O100" s="167"/>
      <c r="P100" s="167"/>
      <c r="Q100" s="130"/>
      <c r="R100" s="130"/>
      <c r="S100" s="167"/>
      <c r="T100" s="634" t="b">
        <f t="shared" ca="1" si="15"/>
        <v>1</v>
      </c>
      <c r="U100" s="1012"/>
      <c r="V100" s="1012"/>
      <c r="W100" s="1012"/>
      <c r="X100" s="1405"/>
      <c r="Y100" s="1012"/>
      <c r="Z100" s="1405"/>
      <c r="AA100" s="167"/>
      <c r="AB100" s="826" t="s">
        <v>602</v>
      </c>
      <c r="AC100" s="555" t="s">
        <v>1511</v>
      </c>
      <c r="AD100" s="820" t="s">
        <v>1527</v>
      </c>
      <c r="AE100" s="293">
        <f t="shared" si="18"/>
        <v>0</v>
      </c>
      <c r="AF100" s="293">
        <f t="shared" si="18"/>
        <v>0</v>
      </c>
      <c r="AG100" s="293">
        <f t="shared" si="18"/>
        <v>0</v>
      </c>
      <c r="AH100" s="293">
        <f t="shared" si="16"/>
        <v>0</v>
      </c>
      <c r="AI100" s="293">
        <f t="shared" si="19"/>
        <v>0</v>
      </c>
      <c r="AJ100" s="293">
        <f t="shared" si="19"/>
        <v>0</v>
      </c>
      <c r="AK100" s="293">
        <f t="shared" si="19"/>
        <v>0</v>
      </c>
      <c r="AL100" s="293">
        <f t="shared" si="17"/>
        <v>0</v>
      </c>
      <c r="AM100" s="1106"/>
      <c r="AN100" s="1106"/>
      <c r="AO100" s="1106"/>
      <c r="AP100" s="167"/>
      <c r="AQ100" s="167"/>
      <c r="AR100" s="946" t="s">
        <v>1533</v>
      </c>
      <c r="AS100" s="946"/>
      <c r="AT100" s="946"/>
      <c r="AU100" s="966"/>
      <c r="AV100" s="966"/>
    </row>
    <row r="101" spans="1:48" s="1057" customFormat="1" ht="16.5" customHeight="1">
      <c r="A101" s="993"/>
      <c r="B101" s="718"/>
      <c r="C101" s="165"/>
      <c r="D101" s="165"/>
      <c r="E101" s="623">
        <v>17.100000000000001</v>
      </c>
      <c r="F101" s="714" t="str">
        <f t="shared" ca="1" si="11"/>
        <v>1</v>
      </c>
      <c r="G101" s="130" t="s">
        <v>1451</v>
      </c>
      <c r="H101" s="167"/>
      <c r="I101" s="167"/>
      <c r="J101" s="167"/>
      <c r="K101" s="167"/>
      <c r="L101" s="167"/>
      <c r="M101" s="167"/>
      <c r="N101" s="167"/>
      <c r="O101" s="167"/>
      <c r="P101" s="167"/>
      <c r="Q101" s="130"/>
      <c r="R101" s="130"/>
      <c r="S101" s="167"/>
      <c r="T101" s="634" t="b">
        <f t="shared" ca="1" si="15"/>
        <v>1</v>
      </c>
      <c r="U101" s="1012"/>
      <c r="V101" s="1012"/>
      <c r="W101" s="1012"/>
      <c r="X101" s="1405"/>
      <c r="Y101" s="1012"/>
      <c r="Z101" s="1405"/>
      <c r="AA101" s="167"/>
      <c r="AB101" s="820" t="s">
        <v>1534</v>
      </c>
      <c r="AC101" s="555" t="s">
        <v>1513</v>
      </c>
      <c r="AD101" s="819" t="s">
        <v>1527</v>
      </c>
      <c r="AE101" s="293">
        <f t="shared" ca="1" si="18"/>
        <v>47.361069999999998</v>
      </c>
      <c r="AF101" s="293">
        <f t="shared" ca="1" si="18"/>
        <v>48.270348796406765</v>
      </c>
      <c r="AG101" s="293">
        <f t="shared" ca="1" si="18"/>
        <v>48.270334760334052</v>
      </c>
      <c r="AH101" s="293">
        <f t="shared" ca="1" si="16"/>
        <v>-1.4036072712997338E-5</v>
      </c>
      <c r="AI101" s="293">
        <f t="shared" ca="1" si="19"/>
        <v>53.617230093785956</v>
      </c>
      <c r="AJ101" s="293">
        <f t="shared" ca="1" si="19"/>
        <v>60.109808352048056</v>
      </c>
      <c r="AK101" s="293">
        <f t="shared" ca="1" si="19"/>
        <v>59.272999999999996</v>
      </c>
      <c r="AL101" s="293">
        <f t="shared" ca="1" si="17"/>
        <v>10.548418663778611</v>
      </c>
      <c r="AM101" s="1106"/>
      <c r="AN101" s="1106"/>
      <c r="AO101" s="1106"/>
      <c r="AP101" s="167"/>
      <c r="AQ101" s="167"/>
      <c r="AR101" s="946" t="s">
        <v>1535</v>
      </c>
      <c r="AS101" s="946"/>
      <c r="AT101" s="946"/>
      <c r="AU101" s="966"/>
      <c r="AV101" s="966"/>
    </row>
    <row r="102" spans="1:48" s="1057" customFormat="1" ht="29.25" customHeight="1">
      <c r="A102" s="993"/>
      <c r="B102" s="718"/>
      <c r="C102" s="165"/>
      <c r="D102" s="165"/>
      <c r="E102" s="623">
        <v>30</v>
      </c>
      <c r="F102" s="714" t="str">
        <f t="shared" ca="1" si="11"/>
        <v>1</v>
      </c>
      <c r="G102" s="167"/>
      <c r="H102" s="167"/>
      <c r="I102" s="167"/>
      <c r="J102" s="167"/>
      <c r="K102" s="167"/>
      <c r="L102" s="167"/>
      <c r="M102" s="167"/>
      <c r="N102" s="167"/>
      <c r="O102" s="167"/>
      <c r="P102" s="167"/>
      <c r="Q102" s="130"/>
      <c r="R102" s="130"/>
      <c r="S102" s="167"/>
      <c r="T102" s="634" t="b">
        <f t="shared" ca="1" si="15"/>
        <v>1</v>
      </c>
      <c r="U102" s="1012"/>
      <c r="V102" s="1012"/>
      <c r="W102" s="1012"/>
      <c r="X102" s="1405"/>
      <c r="Y102" s="1012"/>
      <c r="Z102" s="1405"/>
      <c r="AA102" s="167"/>
      <c r="AB102" s="222" t="s">
        <v>1126</v>
      </c>
      <c r="AC102" s="805" t="s">
        <v>1459</v>
      </c>
      <c r="AD102" s="446" t="s">
        <v>837</v>
      </c>
      <c r="AE102" s="1142"/>
      <c r="AF102" s="1142"/>
      <c r="AG102" s="1142"/>
      <c r="AH102" s="293">
        <f t="shared" si="16"/>
        <v>0</v>
      </c>
      <c r="AI102" s="1142"/>
      <c r="AJ102" s="241"/>
      <c r="AK102" s="241"/>
      <c r="AL102" s="293">
        <f t="shared" si="17"/>
        <v>0</v>
      </c>
      <c r="AM102" s="1106"/>
      <c r="AN102" s="1106"/>
      <c r="AO102" s="1106"/>
      <c r="AP102" s="167"/>
      <c r="AQ102" s="167"/>
      <c r="AR102" s="946" t="s">
        <v>1536</v>
      </c>
      <c r="AS102" s="946"/>
      <c r="AT102" s="946"/>
      <c r="AU102" s="966"/>
      <c r="AV102" s="966"/>
    </row>
    <row r="103" spans="1:48" ht="9.9499999999999993" customHeight="1">
      <c r="E103" s="623">
        <v>10.199999999999999</v>
      </c>
      <c r="U103" s="116" t="s">
        <v>172</v>
      </c>
      <c r="V103" s="109" t="s">
        <v>1537</v>
      </c>
    </row>
    <row r="104" spans="1:48" ht="11.25" hidden="1" customHeight="1">
      <c r="E104" s="623">
        <v>0</v>
      </c>
    </row>
    <row r="105" spans="1:48" ht="14.65" customHeight="1">
      <c r="E105" s="623">
        <v>15</v>
      </c>
      <c r="AB105" s="1476" t="s">
        <v>557</v>
      </c>
      <c r="AC105" s="1476"/>
      <c r="AD105" s="1476"/>
      <c r="AE105" s="1476"/>
      <c r="AF105" s="1476"/>
      <c r="AG105" s="1476"/>
      <c r="AH105" s="1476"/>
      <c r="AI105" s="1476"/>
      <c r="AJ105" s="1476"/>
      <c r="AK105" s="1476"/>
      <c r="AL105" s="1476"/>
      <c r="AM105" s="1476"/>
      <c r="AN105" s="1476"/>
      <c r="AO105" s="1476"/>
    </row>
    <row r="106" spans="1:48" ht="14.65" customHeight="1">
      <c r="E106" s="623">
        <v>15</v>
      </c>
      <c r="AA106" s="713"/>
      <c r="AB106" s="1500"/>
      <c r="AC106" s="1495"/>
      <c r="AD106" s="1495"/>
      <c r="AE106" s="1495"/>
      <c r="AF106" s="1495"/>
      <c r="AG106" s="1495"/>
      <c r="AH106" s="1495"/>
      <c r="AI106" s="1495"/>
      <c r="AJ106" s="1495"/>
      <c r="AK106" s="1495"/>
      <c r="AL106" s="1495"/>
      <c r="AM106" s="1495"/>
      <c r="AN106" s="1495"/>
      <c r="AO106" s="1495"/>
    </row>
    <row r="107" spans="1:48" ht="14.65" hidden="1" customHeight="1">
      <c r="E107" s="623">
        <v>15</v>
      </c>
      <c r="T107" s="634" t="b">
        <f>ROW(W107)&gt;ROW(W$107)</f>
        <v>0</v>
      </c>
      <c r="W107" s="113" t="s">
        <v>170</v>
      </c>
      <c r="AA107" s="773" t="s">
        <v>157</v>
      </c>
      <c r="AB107" s="1494"/>
      <c r="AC107" s="1495"/>
      <c r="AD107" s="1495"/>
      <c r="AE107" s="1495"/>
      <c r="AF107" s="1495"/>
      <c r="AG107" s="1495"/>
      <c r="AH107" s="1495"/>
      <c r="AI107" s="1495"/>
      <c r="AJ107" s="1495"/>
      <c r="AK107" s="1495"/>
      <c r="AL107" s="1495"/>
      <c r="AM107" s="1495"/>
      <c r="AN107" s="1495"/>
      <c r="AO107" s="1495"/>
    </row>
    <row r="108" spans="1:48" ht="14.65" customHeight="1">
      <c r="E108" s="623">
        <v>15</v>
      </c>
      <c r="W108" s="109" t="s">
        <v>171</v>
      </c>
      <c r="AA108" s="150"/>
      <c r="AB108" s="1420" t="s">
        <v>558</v>
      </c>
      <c r="AC108" s="1421"/>
      <c r="AD108" s="299"/>
      <c r="AE108" s="299"/>
      <c r="AF108" s="299"/>
      <c r="AG108" s="299"/>
      <c r="AH108" s="299"/>
      <c r="AI108" s="299"/>
      <c r="AJ108" s="299"/>
      <c r="AK108" s="299"/>
      <c r="AL108" s="299"/>
      <c r="AM108" s="299"/>
      <c r="AN108" s="299"/>
      <c r="AO108" s="271"/>
    </row>
  </sheetData>
  <sheetProtection formatColumns="0" formatRows="0" insertRows="0" deleteColumns="0" deleteRows="0" sort="0" autoFilter="0"/>
  <mergeCells count="14">
    <mergeCell ref="Z27:Z64"/>
    <mergeCell ref="X27:X64"/>
    <mergeCell ref="AN24:AN25"/>
    <mergeCell ref="AO24:AO25"/>
    <mergeCell ref="AB108:AC108"/>
    <mergeCell ref="AB24:AB25"/>
    <mergeCell ref="AC24:AC25"/>
    <mergeCell ref="AD24:AD25"/>
    <mergeCell ref="AM24:AM25"/>
    <mergeCell ref="AB105:AO105"/>
    <mergeCell ref="AB106:AO106"/>
    <mergeCell ref="AB107:AO107"/>
    <mergeCell ref="Z65:Z102"/>
    <mergeCell ref="X65:X102"/>
  </mergeCell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pageSetUpPr fitToPage="1"/>
  </sheetPr>
  <dimension ref="A1:AL60"/>
  <sheetViews>
    <sheetView showGridLines="0" workbookViewId="0">
      <pane xSplit="30" ySplit="25" topLeftCell="AE26" activePane="bottomRight" state="frozen"/>
      <selection pane="topRight" activeCell="AE1" sqref="AE1"/>
      <selection pane="bottomLeft" activeCell="A26" sqref="A26"/>
      <selection pane="bottomRight" activeCell="AA21" sqref="AA21"/>
    </sheetView>
  </sheetViews>
  <sheetFormatPr defaultColWidth="9.140625" defaultRowHeight="11.25" customHeight="1"/>
  <cols>
    <col min="1" max="1" width="3.5703125" style="165" hidden="1" customWidth="1"/>
    <col min="2" max="2" width="8.5703125" style="718" hidden="1" customWidth="1"/>
    <col min="3" max="4" width="3.5703125" style="165" hidden="1" customWidth="1"/>
    <col min="5" max="5" width="8.42578125" style="717" hidden="1" customWidth="1"/>
    <col min="6" max="6" width="3.5703125" style="165" hidden="1" customWidth="1"/>
    <col min="7" max="10" width="3.5703125" style="167" hidden="1" customWidth="1"/>
    <col min="11" max="11" width="7.140625" style="167" hidden="1" customWidth="1"/>
    <col min="12" max="16" width="3.5703125" style="167" hidden="1" customWidth="1"/>
    <col min="17" max="17" width="3.5703125" style="130" hidden="1" customWidth="1"/>
    <col min="18" max="18" width="22.85546875" style="130" hidden="1" customWidth="1"/>
    <col min="19" max="19" width="3.5703125" style="167" hidden="1" customWidth="1"/>
    <col min="20" max="20" width="8.28515625" style="1012" hidden="1" customWidth="1"/>
    <col min="21" max="21" width="6" style="1012" hidden="1" customWidth="1"/>
    <col min="22" max="23" width="6.28515625" style="1012" hidden="1" customWidth="1"/>
    <col min="24" max="25" width="5.7109375" style="1012" hidden="1" customWidth="1"/>
    <col min="26" max="26" width="5.42578125" style="1012" hidden="1" customWidth="1"/>
    <col min="27" max="27" width="3" style="167" customWidth="1"/>
    <col min="28" max="28" width="8.140625" style="165" customWidth="1"/>
    <col min="29" max="29" width="70.140625" style="166" customWidth="1"/>
    <col min="30" max="30" width="14.42578125" style="165" customWidth="1"/>
    <col min="31" max="32" width="15" style="167" customWidth="1"/>
    <col min="33" max="33" width="19" style="167" customWidth="1"/>
    <col min="34" max="34" width="17.28515625" style="167" customWidth="1"/>
    <col min="35" max="35" width="31.28515625" style="167" customWidth="1"/>
    <col min="36" max="36" width="3" style="167" customWidth="1"/>
    <col min="37" max="37" width="9.140625" style="167" hidden="1"/>
    <col min="38" max="38" width="9.140625" style="944" hidden="1"/>
  </cols>
  <sheetData>
    <row r="1" spans="1:38" s="1012" customFormat="1" ht="12" hidden="1" customHeight="1">
      <c r="B1" s="614"/>
      <c r="E1" s="614"/>
      <c r="F1" s="634" t="s">
        <v>77</v>
      </c>
      <c r="G1" s="150"/>
      <c r="H1" s="150"/>
      <c r="I1" s="150"/>
      <c r="J1" s="150"/>
      <c r="K1" s="150"/>
      <c r="L1" s="150"/>
      <c r="M1" s="150"/>
      <c r="N1" s="150"/>
      <c r="O1" s="150"/>
      <c r="P1" s="150"/>
      <c r="Q1" s="566"/>
      <c r="R1" s="566"/>
      <c r="S1" s="150"/>
      <c r="T1" s="634" t="s">
        <v>78</v>
      </c>
      <c r="U1" s="634" t="s">
        <v>83</v>
      </c>
      <c r="V1" s="634" t="s">
        <v>79</v>
      </c>
      <c r="W1" s="634" t="s">
        <v>80</v>
      </c>
      <c r="X1" s="634" t="s">
        <v>81</v>
      </c>
      <c r="Y1" s="735" t="s">
        <v>274</v>
      </c>
      <c r="Z1" s="634" t="s">
        <v>85</v>
      </c>
      <c r="AA1" s="735" t="s">
        <v>82</v>
      </c>
      <c r="AB1" s="735" t="s">
        <v>84</v>
      </c>
      <c r="AL1" s="912" t="s">
        <v>275</v>
      </c>
    </row>
    <row r="2" spans="1:38" s="718" customFormat="1" ht="12" hidden="1" customHeight="1">
      <c r="B2" s="703" t="s">
        <v>15</v>
      </c>
      <c r="G2" s="721"/>
      <c r="H2" s="721"/>
      <c r="I2" s="721"/>
      <c r="J2" s="721"/>
      <c r="K2" s="721"/>
      <c r="L2" s="721"/>
      <c r="M2" s="721"/>
      <c r="N2" s="721"/>
      <c r="O2" s="721"/>
      <c r="P2" s="721"/>
      <c r="Q2" s="721"/>
      <c r="R2" s="721"/>
      <c r="S2" s="721"/>
      <c r="AC2" s="618"/>
      <c r="AL2" s="905"/>
    </row>
    <row r="3" spans="1:38" s="165" customFormat="1" ht="12" hidden="1" customHeight="1">
      <c r="B3" s="614"/>
      <c r="E3" s="614"/>
      <c r="G3" s="167"/>
      <c r="H3" s="167"/>
      <c r="I3" s="167"/>
      <c r="J3" s="167"/>
      <c r="K3" s="167"/>
      <c r="L3" s="167"/>
      <c r="M3" s="167"/>
      <c r="N3" s="167"/>
      <c r="O3" s="167"/>
      <c r="P3" s="167"/>
      <c r="Q3" s="130"/>
      <c r="R3" s="130"/>
      <c r="S3" s="167"/>
      <c r="T3" s="113"/>
      <c r="U3" s="113"/>
      <c r="V3" s="113"/>
      <c r="W3" s="113"/>
      <c r="X3" s="113"/>
      <c r="Y3" s="113"/>
      <c r="Z3" s="113"/>
      <c r="AC3" s="169"/>
      <c r="AL3" s="944"/>
    </row>
    <row r="4" spans="1:38" s="165" customFormat="1" ht="12" hidden="1" customHeight="1">
      <c r="B4" s="614"/>
      <c r="E4" s="614"/>
      <c r="G4" s="167"/>
      <c r="H4" s="167"/>
      <c r="I4" s="167"/>
      <c r="J4" s="167"/>
      <c r="K4" s="167"/>
      <c r="L4" s="167"/>
      <c r="M4" s="167"/>
      <c r="N4" s="167"/>
      <c r="O4" s="167"/>
      <c r="P4" s="167"/>
      <c r="Q4" s="130"/>
      <c r="R4" s="130"/>
      <c r="S4" s="167"/>
      <c r="T4" s="113"/>
      <c r="U4" s="113"/>
      <c r="V4" s="113"/>
      <c r="W4" s="113"/>
      <c r="X4" s="113"/>
      <c r="Y4" s="113"/>
      <c r="Z4" s="113"/>
      <c r="AC4" s="169"/>
      <c r="AL4" s="944"/>
    </row>
    <row r="5" spans="1:38" s="717" customFormat="1" ht="12" hidden="1" customHeight="1">
      <c r="A5" s="614"/>
      <c r="B5" s="614"/>
      <c r="C5" s="614"/>
      <c r="D5" s="614"/>
      <c r="E5" s="623" t="s">
        <v>16</v>
      </c>
      <c r="G5" s="722"/>
      <c r="H5" s="722"/>
      <c r="I5" s="722"/>
      <c r="J5" s="722"/>
      <c r="K5" s="722"/>
      <c r="L5" s="722"/>
      <c r="M5" s="722"/>
      <c r="N5" s="722"/>
      <c r="O5" s="722"/>
      <c r="P5" s="722"/>
      <c r="Q5" s="722"/>
      <c r="R5" s="722"/>
      <c r="S5" s="722"/>
      <c r="AA5" s="623">
        <v>3</v>
      </c>
      <c r="AB5" s="623">
        <v>8.1300000000000008</v>
      </c>
      <c r="AC5" s="629">
        <v>70.13</v>
      </c>
      <c r="AD5" s="623">
        <v>14.38</v>
      </c>
      <c r="AE5" s="623">
        <v>15</v>
      </c>
      <c r="AF5" s="623">
        <v>15</v>
      </c>
      <c r="AG5" s="623">
        <v>19</v>
      </c>
      <c r="AH5" s="623">
        <v>17.25</v>
      </c>
      <c r="AI5" s="623">
        <v>31.25</v>
      </c>
      <c r="AJ5" s="623">
        <v>3</v>
      </c>
      <c r="AL5" s="905"/>
    </row>
    <row r="6" spans="1:38" s="165" customFormat="1" ht="12" hidden="1" customHeight="1">
      <c r="B6" s="614"/>
      <c r="E6" s="623"/>
      <c r="G6" s="167"/>
      <c r="H6" s="167"/>
      <c r="I6" s="167"/>
      <c r="J6" s="167"/>
      <c r="K6" s="167"/>
      <c r="L6" s="167"/>
      <c r="M6" s="167"/>
      <c r="N6" s="167"/>
      <c r="O6" s="167"/>
      <c r="P6" s="167"/>
      <c r="Q6" s="130"/>
      <c r="R6" s="130"/>
      <c r="S6" s="167"/>
      <c r="T6" s="113"/>
      <c r="U6" s="113"/>
      <c r="V6" s="113"/>
      <c r="W6" s="113"/>
      <c r="X6" s="113"/>
      <c r="Y6" s="113"/>
      <c r="Z6" s="113"/>
      <c r="AC6" s="169"/>
      <c r="AE6" s="165">
        <f>god-2</f>
        <v>2024</v>
      </c>
      <c r="AF6" s="165">
        <f>god</f>
        <v>2026</v>
      </c>
      <c r="AL6" s="944"/>
    </row>
    <row r="7" spans="1:38" ht="12" hidden="1" customHeight="1">
      <c r="F7" s="167"/>
      <c r="T7" s="150"/>
      <c r="U7" s="150"/>
      <c r="V7" s="150"/>
      <c r="W7" s="150"/>
      <c r="X7" s="150"/>
      <c r="Y7" s="150"/>
      <c r="Z7" s="150"/>
      <c r="AB7" s="167"/>
      <c r="AD7" s="167"/>
      <c r="AE7" s="150" t="str">
        <f>AE25</f>
        <v>Предложение организации</v>
      </c>
      <c r="AF7" s="150" t="str">
        <f>AF25</f>
        <v>Версия органа регулирования</v>
      </c>
    </row>
    <row r="8" spans="1:38" ht="12" hidden="1" customHeight="1">
      <c r="F8" s="167"/>
      <c r="T8" s="150"/>
      <c r="U8" s="150"/>
      <c r="V8" s="150"/>
      <c r="W8" s="150"/>
      <c r="X8" s="150"/>
      <c r="Y8" s="150"/>
      <c r="Z8" s="150"/>
      <c r="AB8" s="167"/>
      <c r="AD8" s="167"/>
      <c r="AE8" s="150" t="str">
        <f>AE6&amp;AE7</f>
        <v>2024Предложение организации</v>
      </c>
      <c r="AF8" s="150" t="str">
        <f>AF6&amp;AF7</f>
        <v>2026Версия органа регулирования</v>
      </c>
    </row>
    <row r="9" spans="1:38" s="943" customFormat="1" ht="12" hidden="1" customHeight="1">
      <c r="A9" s="913" t="s">
        <v>327</v>
      </c>
      <c r="B9" s="878"/>
      <c r="E9" s="878"/>
      <c r="Q9" s="923"/>
      <c r="R9" s="923"/>
      <c r="T9" s="891"/>
      <c r="U9" s="891"/>
      <c r="V9" s="891"/>
      <c r="W9" s="891"/>
      <c r="X9" s="891"/>
      <c r="Y9" s="891"/>
      <c r="Z9" s="891"/>
      <c r="AE9" s="943">
        <f>god-2</f>
        <v>2024</v>
      </c>
      <c r="AF9" s="943">
        <f>god</f>
        <v>2026</v>
      </c>
      <c r="AL9" s="944"/>
    </row>
    <row r="10" spans="1:38" s="943" customFormat="1" ht="12" hidden="1" customHeight="1">
      <c r="A10" s="913" t="s">
        <v>328</v>
      </c>
      <c r="B10" s="878"/>
      <c r="E10" s="878"/>
      <c r="Q10" s="923"/>
      <c r="R10" s="923"/>
      <c r="T10" s="891"/>
      <c r="U10" s="891"/>
      <c r="V10" s="891"/>
      <c r="W10" s="891"/>
      <c r="X10" s="891"/>
      <c r="Y10" s="891"/>
      <c r="Z10" s="891"/>
      <c r="AE10" s="943" t="str">
        <f>AE25</f>
        <v>Предложение организации</v>
      </c>
      <c r="AF10" s="943" t="str">
        <f>AF25</f>
        <v>Версия органа регулирования</v>
      </c>
      <c r="AL10" s="944"/>
    </row>
    <row r="11" spans="1:38" s="943" customFormat="1" ht="12" hidden="1" customHeight="1">
      <c r="A11" s="913" t="s">
        <v>329</v>
      </c>
      <c r="B11" s="878"/>
      <c r="E11" s="878"/>
      <c r="G11" s="946"/>
      <c r="H11" s="946"/>
      <c r="I11" s="946"/>
      <c r="J11" s="946"/>
      <c r="K11" s="946"/>
      <c r="L11" s="946"/>
      <c r="M11" s="946"/>
      <c r="N11" s="946"/>
      <c r="O11" s="946"/>
      <c r="P11" s="946"/>
      <c r="Q11" s="925"/>
      <c r="R11" s="925"/>
      <c r="S11" s="946"/>
      <c r="T11" s="891"/>
      <c r="U11" s="891"/>
      <c r="V11" s="891"/>
      <c r="W11" s="891"/>
      <c r="X11" s="891"/>
      <c r="Y11" s="891"/>
      <c r="Z11" s="891"/>
      <c r="AC11" s="947"/>
      <c r="AG11" s="943" t="str">
        <f>AG24</f>
        <v>Указание на подтверждающие документы / URL-ссылка на копии подтверждающих документов</v>
      </c>
      <c r="AH11" s="943" t="str">
        <f>AH24</f>
        <v>Ссылка на правовую норму (основание для принятия показателя в расчет тарифа)</v>
      </c>
      <c r="AI11" s="943"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944"/>
    </row>
    <row r="12" spans="1:38" s="165" customFormat="1" ht="12" hidden="1" customHeight="1">
      <c r="B12" s="614"/>
      <c r="E12" s="623"/>
      <c r="G12" s="167"/>
      <c r="H12" s="167"/>
      <c r="I12" s="167"/>
      <c r="J12" s="167"/>
      <c r="K12" s="167"/>
      <c r="L12" s="167"/>
      <c r="M12" s="167"/>
      <c r="N12" s="167"/>
      <c r="O12" s="167"/>
      <c r="P12" s="167"/>
      <c r="Q12" s="130"/>
      <c r="R12" s="130"/>
      <c r="S12" s="167"/>
      <c r="T12" s="113"/>
      <c r="U12" s="113"/>
      <c r="V12" s="113"/>
      <c r="W12" s="113"/>
      <c r="X12" s="113"/>
      <c r="Y12" s="113"/>
      <c r="Z12" s="113"/>
      <c r="AC12" s="169"/>
      <c r="AL12" s="944"/>
    </row>
    <row r="13" spans="1:38" s="165" customFormat="1" ht="12" hidden="1" customHeight="1">
      <c r="B13" s="614"/>
      <c r="E13" s="623"/>
      <c r="G13" s="167"/>
      <c r="H13" s="167"/>
      <c r="I13" s="167"/>
      <c r="J13" s="167"/>
      <c r="K13" s="167"/>
      <c r="L13" s="167"/>
      <c r="M13" s="167"/>
      <c r="N13" s="167"/>
      <c r="O13" s="167"/>
      <c r="P13" s="167"/>
      <c r="Q13" s="130"/>
      <c r="R13" s="130"/>
      <c r="S13" s="167"/>
      <c r="T13" s="113"/>
      <c r="U13" s="113"/>
      <c r="V13" s="113"/>
      <c r="W13" s="113"/>
      <c r="X13" s="113"/>
      <c r="Y13" s="113"/>
      <c r="Z13" s="113"/>
      <c r="AC13" s="169"/>
      <c r="AL13" s="944"/>
    </row>
    <row r="14" spans="1:38" s="165" customFormat="1" ht="12" hidden="1" customHeight="1">
      <c r="B14" s="614"/>
      <c r="E14" s="623"/>
      <c r="G14" s="167"/>
      <c r="H14" s="167"/>
      <c r="I14" s="167"/>
      <c r="J14" s="167"/>
      <c r="K14" s="167"/>
      <c r="L14" s="167"/>
      <c r="M14" s="167"/>
      <c r="N14" s="167"/>
      <c r="O14" s="167"/>
      <c r="P14" s="167"/>
      <c r="Q14" s="130"/>
      <c r="R14" s="130"/>
      <c r="S14" s="167"/>
      <c r="T14" s="113"/>
      <c r="U14" s="113"/>
      <c r="V14" s="113"/>
      <c r="W14" s="113"/>
      <c r="X14" s="113"/>
      <c r="Y14" s="113"/>
      <c r="Z14" s="113"/>
      <c r="AC14" s="169"/>
      <c r="AL14" s="944"/>
    </row>
    <row r="15" spans="1:38" s="165" customFormat="1" ht="12" hidden="1" customHeight="1">
      <c r="B15" s="614"/>
      <c r="E15" s="623"/>
      <c r="G15" s="167"/>
      <c r="H15" s="167"/>
      <c r="I15" s="167"/>
      <c r="J15" s="167"/>
      <c r="K15" s="167"/>
      <c r="L15" s="167"/>
      <c r="M15" s="167"/>
      <c r="N15" s="167"/>
      <c r="O15" s="167"/>
      <c r="P15" s="167"/>
      <c r="Q15" s="130"/>
      <c r="R15" s="130"/>
      <c r="S15" s="167"/>
      <c r="T15" s="113"/>
      <c r="U15" s="113"/>
      <c r="V15" s="113"/>
      <c r="W15" s="113"/>
      <c r="X15" s="113"/>
      <c r="Y15" s="113"/>
      <c r="Z15" s="113"/>
      <c r="AC15" s="169"/>
      <c r="AL15" s="944"/>
    </row>
    <row r="16" spans="1:38" s="165" customFormat="1" ht="12" hidden="1" customHeight="1">
      <c r="B16" s="614"/>
      <c r="E16" s="623"/>
      <c r="G16" s="167"/>
      <c r="H16" s="167"/>
      <c r="I16" s="167"/>
      <c r="J16" s="167"/>
      <c r="K16" s="167"/>
      <c r="L16" s="167"/>
      <c r="M16" s="167"/>
      <c r="N16" s="167"/>
      <c r="O16" s="167"/>
      <c r="P16" s="167"/>
      <c r="Q16" s="130"/>
      <c r="R16" s="130"/>
      <c r="S16" s="167"/>
      <c r="T16" s="113"/>
      <c r="U16" s="113"/>
      <c r="V16" s="113"/>
      <c r="W16" s="113"/>
      <c r="X16" s="113"/>
      <c r="Y16" s="113"/>
      <c r="Z16" s="113"/>
      <c r="AC16" s="169"/>
      <c r="AL16" s="944"/>
    </row>
    <row r="17" spans="1:38" s="165" customFormat="1" ht="12" hidden="1" customHeight="1">
      <c r="B17" s="614"/>
      <c r="E17" s="623"/>
      <c r="G17" s="167"/>
      <c r="H17" s="167"/>
      <c r="I17" s="167"/>
      <c r="J17" s="167"/>
      <c r="K17" s="167"/>
      <c r="L17" s="167"/>
      <c r="M17" s="167"/>
      <c r="N17" s="167"/>
      <c r="O17" s="167"/>
      <c r="P17" s="167"/>
      <c r="Q17" s="130"/>
      <c r="R17" s="130"/>
      <c r="S17" s="167"/>
      <c r="T17" s="113"/>
      <c r="U17" s="113"/>
      <c r="V17" s="113"/>
      <c r="W17" s="113"/>
      <c r="X17" s="113"/>
      <c r="Y17" s="113"/>
      <c r="Z17" s="113"/>
      <c r="AC17" s="169"/>
      <c r="AL17" s="944"/>
    </row>
    <row r="18" spans="1:38" s="165" customFormat="1" ht="12" hidden="1" customHeight="1">
      <c r="B18" s="614"/>
      <c r="E18" s="623"/>
      <c r="G18" s="167"/>
      <c r="H18" s="167"/>
      <c r="I18" s="167"/>
      <c r="J18" s="167"/>
      <c r="K18" s="167"/>
      <c r="L18" s="167"/>
      <c r="M18" s="167"/>
      <c r="N18" s="167"/>
      <c r="O18" s="167"/>
      <c r="P18" s="167"/>
      <c r="Q18" s="130"/>
      <c r="R18" s="130"/>
      <c r="S18" s="167"/>
      <c r="T18" s="113"/>
      <c r="U18" s="113"/>
      <c r="V18" s="113"/>
      <c r="W18" s="113"/>
      <c r="X18" s="113"/>
      <c r="Y18" s="113"/>
      <c r="Z18" s="113"/>
      <c r="AC18" s="169"/>
      <c r="AL18" s="944"/>
    </row>
    <row r="19" spans="1:38" s="165" customFormat="1" ht="12" hidden="1" customHeight="1">
      <c r="B19" s="614"/>
      <c r="E19" s="623"/>
      <c r="G19" s="167"/>
      <c r="H19" s="167"/>
      <c r="I19" s="167"/>
      <c r="J19" s="167"/>
      <c r="K19" s="167"/>
      <c r="L19" s="167"/>
      <c r="M19" s="167"/>
      <c r="N19" s="167"/>
      <c r="O19" s="167"/>
      <c r="P19" s="167"/>
      <c r="Q19" s="130"/>
      <c r="R19" s="130"/>
      <c r="S19" s="167"/>
      <c r="T19" s="113"/>
      <c r="U19" s="113"/>
      <c r="V19" s="113"/>
      <c r="W19" s="113"/>
      <c r="X19" s="113"/>
      <c r="Y19" s="113"/>
      <c r="Z19" s="113"/>
      <c r="AC19" s="169"/>
      <c r="AL19" s="944"/>
    </row>
    <row r="20" spans="1:38" s="165" customFormat="1" ht="12" hidden="1" customHeight="1">
      <c r="B20" s="614"/>
      <c r="E20" s="623"/>
      <c r="G20" s="167"/>
      <c r="H20" s="167"/>
      <c r="I20" s="167"/>
      <c r="J20" s="167"/>
      <c r="K20" s="167"/>
      <c r="L20" s="167"/>
      <c r="M20" s="167"/>
      <c r="N20" s="167"/>
      <c r="O20" s="167"/>
      <c r="P20" s="167"/>
      <c r="Q20" s="130"/>
      <c r="R20" s="130"/>
      <c r="S20" s="167"/>
      <c r="T20" s="113"/>
      <c r="U20" s="113"/>
      <c r="V20" s="113"/>
      <c r="W20" s="113"/>
      <c r="X20" s="113"/>
      <c r="Y20" s="113"/>
      <c r="Z20" s="113"/>
      <c r="AC20" s="169"/>
      <c r="AL20" s="944"/>
    </row>
    <row r="21" spans="1:38" ht="14.65" customHeight="1">
      <c r="E21" s="623">
        <v>15</v>
      </c>
      <c r="AA21" s="646"/>
      <c r="AB21" s="167"/>
      <c r="AC21" s="315" t="str">
        <f>tpl_title</f>
        <v>Кемеровская область / 2026 / АО "СУЭК-Кузбасс" (ИНН:4212024138, КПП:421201001) / ДПР: 2024-2028</v>
      </c>
      <c r="AD21" s="167"/>
    </row>
    <row r="22" spans="1:38" s="1018" customFormat="1" ht="33.200000000000003" customHeight="1">
      <c r="A22" s="120"/>
      <c r="B22" s="614"/>
      <c r="C22" s="120"/>
      <c r="D22" s="120"/>
      <c r="E22" s="623">
        <v>34</v>
      </c>
      <c r="F22" s="120"/>
      <c r="Q22" s="130"/>
      <c r="R22" s="130"/>
      <c r="T22" s="116"/>
      <c r="U22" s="116"/>
      <c r="V22" s="116"/>
      <c r="W22" s="116"/>
      <c r="X22" s="116"/>
      <c r="Y22" s="116"/>
      <c r="Z22" s="116"/>
      <c r="AB22" s="1528" t="s">
        <v>1538</v>
      </c>
      <c r="AC22" s="1528"/>
      <c r="AD22" s="1528"/>
      <c r="AE22" s="1528"/>
      <c r="AF22" s="1528"/>
      <c r="AG22" s="1528"/>
      <c r="AH22" s="1528"/>
      <c r="AI22" s="1528"/>
      <c r="AL22" s="920"/>
    </row>
    <row r="23" spans="1:38" s="1018" customFormat="1" ht="9.9499999999999993" customHeight="1">
      <c r="A23" s="120"/>
      <c r="B23" s="614"/>
      <c r="C23" s="120"/>
      <c r="D23" s="120"/>
      <c r="E23" s="623">
        <v>10.199999999999999</v>
      </c>
      <c r="F23" s="120"/>
      <c r="Q23" s="130"/>
      <c r="R23" s="130"/>
      <c r="T23" s="116"/>
      <c r="U23" s="116"/>
      <c r="V23" s="116"/>
      <c r="W23" s="116"/>
      <c r="X23" s="116"/>
      <c r="Y23" s="116"/>
      <c r="Z23" s="116"/>
      <c r="AB23" s="168"/>
      <c r="AC23" s="168"/>
      <c r="AD23" s="168"/>
      <c r="AE23" s="168"/>
      <c r="AF23" s="168"/>
      <c r="AG23" s="168"/>
      <c r="AH23" s="168"/>
      <c r="AI23" s="168"/>
      <c r="AL23" s="920"/>
    </row>
    <row r="24" spans="1:38" s="166" customFormat="1" ht="24.2" customHeight="1">
      <c r="A24" s="169"/>
      <c r="B24" s="618"/>
      <c r="C24" s="169"/>
      <c r="D24" s="169"/>
      <c r="E24" s="629">
        <v>24.8</v>
      </c>
      <c r="F24" s="169"/>
      <c r="Q24" s="723"/>
      <c r="R24" s="723"/>
      <c r="T24" s="109"/>
      <c r="U24" s="109"/>
      <c r="V24" s="109"/>
      <c r="W24" s="109"/>
      <c r="X24" s="109"/>
      <c r="Y24" s="109"/>
      <c r="Z24" s="109"/>
      <c r="AB24" s="1529" t="s">
        <v>288</v>
      </c>
      <c r="AC24" s="1496" t="s">
        <v>330</v>
      </c>
      <c r="AD24" s="1496" t="s">
        <v>331</v>
      </c>
      <c r="AE24" s="1009" t="str">
        <f>god-2&amp;" год"</f>
        <v>2024 год</v>
      </c>
      <c r="AF24" s="96" t="str">
        <f>god-2&amp;" год"</f>
        <v>2024 год</v>
      </c>
      <c r="AG24" s="1493" t="s">
        <v>1090</v>
      </c>
      <c r="AH24" s="1493" t="s">
        <v>486</v>
      </c>
      <c r="AI24" s="1493" t="s">
        <v>1091</v>
      </c>
      <c r="AL24" s="944"/>
    </row>
    <row r="25" spans="1:38" s="166" customFormat="1" ht="44.65" customHeight="1">
      <c r="A25" s="169"/>
      <c r="B25" s="618"/>
      <c r="C25" s="169"/>
      <c r="D25" s="169"/>
      <c r="E25" s="629">
        <v>45.8</v>
      </c>
      <c r="F25" s="169"/>
      <c r="Q25" s="723"/>
      <c r="R25" s="723"/>
      <c r="T25" s="109"/>
      <c r="U25" s="109"/>
      <c r="V25" s="109"/>
      <c r="W25" s="109"/>
      <c r="X25" s="109"/>
      <c r="Y25" s="109"/>
      <c r="Z25" s="109"/>
      <c r="AB25" s="1530"/>
      <c r="AC25" s="1496"/>
      <c r="AD25" s="1496"/>
      <c r="AE25" s="1010" t="s">
        <v>305</v>
      </c>
      <c r="AF25" s="96" t="s">
        <v>1356</v>
      </c>
      <c r="AG25" s="1493"/>
      <c r="AH25" s="1493"/>
      <c r="AI25" s="1493"/>
      <c r="AL25" s="944"/>
    </row>
    <row r="26" spans="1:38" s="166" customFormat="1" ht="14.25" hidden="1" customHeight="1">
      <c r="A26" s="169"/>
      <c r="B26" s="618"/>
      <c r="C26" s="169"/>
      <c r="D26" s="169"/>
      <c r="E26" s="629">
        <v>0</v>
      </c>
      <c r="F26" s="169"/>
      <c r="Q26" s="723"/>
      <c r="R26" s="723"/>
      <c r="T26" s="109"/>
      <c r="U26" s="109"/>
      <c r="V26" s="109"/>
      <c r="W26" s="109"/>
      <c r="X26" s="109"/>
      <c r="Y26" s="109"/>
      <c r="Z26" s="109"/>
      <c r="AB26" s="544"/>
      <c r="AC26" s="544"/>
      <c r="AD26" s="544"/>
      <c r="AE26" s="109"/>
      <c r="AF26" s="109"/>
      <c r="AG26" s="169"/>
      <c r="AH26" s="169"/>
      <c r="AI26" s="169"/>
      <c r="AL26" s="944"/>
    </row>
    <row r="27" spans="1:38" s="157" customFormat="1" ht="16.7" hidden="1" customHeight="1">
      <c r="E27" s="623">
        <v>17.100000000000001</v>
      </c>
      <c r="F27" s="714">
        <f>X27</f>
        <v>0</v>
      </c>
      <c r="G27" s="566" t="str">
        <f>INDEX('Общие сведения'!$AK$169:$AK$202,MATCH($F27,'Общие сведения'!$Z$169:$Z$202,0))</f>
        <v>одноставочный</v>
      </c>
      <c r="I27" s="150" t="str">
        <f>INDEX('Общие сведения'!$AE$169:$AE$202,MATCH($F27,'Общие сведения'!$Z$169:$Z$202,0))</f>
        <v>Теплоснабжение</v>
      </c>
      <c r="K27" s="150" t="str">
        <f>INDEX('Общие сведения'!$AL$169:$AL$202,MATCH($F27,'Общие сведения'!$Z$169:$Z$202,0))</f>
        <v>Производство теплоносителя</v>
      </c>
      <c r="T27" s="634" t="b">
        <f>X27&gt;0</f>
        <v>0</v>
      </c>
      <c r="V27" s="113" t="s">
        <v>228</v>
      </c>
      <c r="X27" s="1526">
        <v>0</v>
      </c>
      <c r="Z27" s="1403"/>
      <c r="AB27" s="252" t="str">
        <f>INDEX('Общие сведения'!$AG$169:$AG$202,MATCH($F27,'Общие сведения'!$Z$169:$Z$202,0))</f>
        <v>Тариф 0 (Теплоснабжение) - Тарифы на теплоноситель</v>
      </c>
      <c r="AC27" s="253"/>
      <c r="AD27" s="253"/>
      <c r="AE27" s="253"/>
      <c r="AF27" s="253"/>
      <c r="AG27" s="253"/>
      <c r="AH27" s="253"/>
      <c r="AI27" s="253"/>
      <c r="AL27" s="912"/>
    </row>
    <row r="28" spans="1:38" s="157" customFormat="1" ht="16.7" hidden="1" customHeight="1">
      <c r="E28" s="623">
        <v>17.100000000000001</v>
      </c>
      <c r="F28" s="714">
        <f t="shared" ref="F28:F40" ca="1" si="0">OFFSET(G28,-1,-1)</f>
        <v>0</v>
      </c>
      <c r="T28" s="634" t="b">
        <f t="shared" ref="T28:T40" si="1">T27</f>
        <v>0</v>
      </c>
      <c r="X28" s="1403"/>
      <c r="Z28" s="1403"/>
      <c r="AB28" s="464">
        <v>1</v>
      </c>
      <c r="AC28" s="778" t="s">
        <v>1539</v>
      </c>
      <c r="AD28" s="779"/>
      <c r="AE28" s="779"/>
      <c r="AF28" s="779"/>
      <c r="AG28" s="779"/>
      <c r="AH28" s="779"/>
      <c r="AI28" s="779"/>
      <c r="AL28" s="912"/>
    </row>
    <row r="29" spans="1:38" s="157" customFormat="1" ht="43.9" hidden="1" customHeight="1">
      <c r="E29" s="623">
        <v>45</v>
      </c>
      <c r="F29" s="714">
        <f t="shared" ca="1" si="0"/>
        <v>0</v>
      </c>
      <c r="T29" s="634" t="b">
        <f t="shared" si="1"/>
        <v>0</v>
      </c>
      <c r="X29" s="1403"/>
      <c r="Z29" s="1403"/>
      <c r="AB29" s="464" t="s">
        <v>1540</v>
      </c>
      <c r="AC29" s="223" t="s">
        <v>1541</v>
      </c>
      <c r="AD29" s="93" t="s">
        <v>1204</v>
      </c>
      <c r="AE29" s="11"/>
      <c r="AF29" s="11"/>
      <c r="AG29" s="80"/>
      <c r="AH29" s="80"/>
      <c r="AI29" s="80"/>
      <c r="AL29" s="912" t="s">
        <v>1542</v>
      </c>
    </row>
    <row r="30" spans="1:38" s="157" customFormat="1" ht="43.9" hidden="1" customHeight="1">
      <c r="E30" s="623">
        <v>45</v>
      </c>
      <c r="F30" s="714">
        <f t="shared" ca="1" si="0"/>
        <v>0</v>
      </c>
      <c r="T30" s="634" t="b">
        <f t="shared" si="1"/>
        <v>0</v>
      </c>
      <c r="X30" s="1403"/>
      <c r="Z30" s="1403"/>
      <c r="AB30" s="464" t="s">
        <v>1543</v>
      </c>
      <c r="AC30" s="223" t="s">
        <v>1544</v>
      </c>
      <c r="AD30" s="93" t="s">
        <v>356</v>
      </c>
      <c r="AE30" s="11"/>
      <c r="AF30" s="11"/>
      <c r="AG30" s="80"/>
      <c r="AH30" s="80"/>
      <c r="AI30" s="80"/>
      <c r="AL30" s="912" t="s">
        <v>1545</v>
      </c>
    </row>
    <row r="31" spans="1:38" s="157" customFormat="1" ht="39" hidden="1" customHeight="1">
      <c r="E31" s="623">
        <v>40</v>
      </c>
      <c r="F31" s="714">
        <f t="shared" ca="1" si="0"/>
        <v>0</v>
      </c>
      <c r="T31" s="634" t="b">
        <f t="shared" si="1"/>
        <v>0</v>
      </c>
      <c r="X31" s="1403"/>
      <c r="Z31" s="1403"/>
      <c r="AB31" s="464" t="s">
        <v>1546</v>
      </c>
      <c r="AC31" s="223" t="s">
        <v>1547</v>
      </c>
      <c r="AD31" s="93" t="s">
        <v>1548</v>
      </c>
      <c r="AE31" s="11">
        <f>IFERROR(AE29/AE30,0)</f>
        <v>0</v>
      </c>
      <c r="AF31" s="11">
        <f>IFERROR(AF29/AF30,0)</f>
        <v>0</v>
      </c>
      <c r="AG31" s="80"/>
      <c r="AH31" s="80"/>
      <c r="AI31" s="80"/>
      <c r="AL31" s="912" t="s">
        <v>1549</v>
      </c>
    </row>
    <row r="32" spans="1:38" s="157" customFormat="1" ht="16.7" hidden="1" customHeight="1">
      <c r="E32" s="623">
        <v>17.100000000000001</v>
      </c>
      <c r="F32" s="714">
        <f t="shared" ca="1" si="0"/>
        <v>0</v>
      </c>
      <c r="T32" s="634" t="b">
        <f t="shared" si="1"/>
        <v>0</v>
      </c>
      <c r="X32" s="1403"/>
      <c r="Z32" s="1403"/>
      <c r="AB32" s="464" t="s">
        <v>1550</v>
      </c>
      <c r="AC32" s="223" t="s">
        <v>1551</v>
      </c>
      <c r="AD32" s="93" t="s">
        <v>388</v>
      </c>
      <c r="AE32" s="81"/>
      <c r="AF32" s="81"/>
      <c r="AG32" s="80"/>
      <c r="AH32" s="80"/>
      <c r="AI32" s="80"/>
      <c r="AL32" s="912" t="s">
        <v>1552</v>
      </c>
    </row>
    <row r="33" spans="1:38" s="157" customFormat="1" ht="39" hidden="1" customHeight="1">
      <c r="E33" s="623">
        <v>40</v>
      </c>
      <c r="F33" s="714">
        <f t="shared" ca="1" si="0"/>
        <v>0</v>
      </c>
      <c r="T33" s="634" t="b">
        <f t="shared" si="1"/>
        <v>0</v>
      </c>
      <c r="X33" s="1403"/>
      <c r="Z33" s="1403"/>
      <c r="AB33" s="783" t="s">
        <v>1553</v>
      </c>
      <c r="AC33" s="780" t="s">
        <v>1554</v>
      </c>
      <c r="AD33" s="781" t="s">
        <v>1548</v>
      </c>
      <c r="AE33" s="12"/>
      <c r="AF33" s="12"/>
      <c r="AG33" s="82"/>
      <c r="AH33" s="82"/>
      <c r="AI33" s="82"/>
      <c r="AL33" s="912" t="s">
        <v>1555</v>
      </c>
    </row>
    <row r="34" spans="1:38" s="157" customFormat="1" ht="16.7" hidden="1" customHeight="1">
      <c r="E34" s="623">
        <v>17.100000000000001</v>
      </c>
      <c r="F34" s="714">
        <f t="shared" ca="1" si="0"/>
        <v>0</v>
      </c>
      <c r="T34" s="634" t="b">
        <f t="shared" si="1"/>
        <v>0</v>
      </c>
      <c r="X34" s="1403"/>
      <c r="Z34" s="1403"/>
      <c r="AB34" s="93">
        <v>2</v>
      </c>
      <c r="AC34" s="778" t="s">
        <v>1556</v>
      </c>
      <c r="AD34" s="779"/>
      <c r="AE34" s="794"/>
      <c r="AF34" s="794"/>
      <c r="AG34" s="779"/>
      <c r="AH34" s="779"/>
      <c r="AI34" s="779"/>
      <c r="AL34" s="912"/>
    </row>
    <row r="35" spans="1:38" s="157" customFormat="1" ht="43.9" hidden="1" customHeight="1">
      <c r="E35" s="623">
        <v>45</v>
      </c>
      <c r="F35" s="714">
        <f t="shared" ca="1" si="0"/>
        <v>0</v>
      </c>
      <c r="T35" s="634" t="b">
        <f t="shared" si="1"/>
        <v>0</v>
      </c>
      <c r="X35" s="1403"/>
      <c r="Z35" s="1403"/>
      <c r="AB35" s="93" t="s">
        <v>1557</v>
      </c>
      <c r="AC35" s="223" t="s">
        <v>1558</v>
      </c>
      <c r="AD35" s="93" t="s">
        <v>1204</v>
      </c>
      <c r="AE35" s="12"/>
      <c r="AF35" s="12"/>
      <c r="AG35" s="82"/>
      <c r="AH35" s="82"/>
      <c r="AI35" s="82"/>
      <c r="AL35" s="912" t="s">
        <v>1559</v>
      </c>
    </row>
    <row r="36" spans="1:38" s="157" customFormat="1" ht="39" hidden="1" customHeight="1">
      <c r="E36" s="623">
        <v>40</v>
      </c>
      <c r="F36" s="714">
        <f t="shared" ca="1" si="0"/>
        <v>0</v>
      </c>
      <c r="T36" s="634" t="b">
        <f t="shared" si="1"/>
        <v>0</v>
      </c>
      <c r="X36" s="1403"/>
      <c r="Z36" s="1403"/>
      <c r="AB36" s="93" t="s">
        <v>1560</v>
      </c>
      <c r="AC36" s="223" t="s">
        <v>1561</v>
      </c>
      <c r="AD36" s="93" t="s">
        <v>491</v>
      </c>
      <c r="AE36" s="12"/>
      <c r="AF36" s="12"/>
      <c r="AG36" s="82"/>
      <c r="AH36" s="82"/>
      <c r="AI36" s="82"/>
      <c r="AL36" s="912" t="s">
        <v>1562</v>
      </c>
    </row>
    <row r="37" spans="1:38" s="157" customFormat="1" ht="39" hidden="1" customHeight="1">
      <c r="E37" s="623">
        <v>40</v>
      </c>
      <c r="F37" s="714">
        <f t="shared" ca="1" si="0"/>
        <v>0</v>
      </c>
      <c r="T37" s="634" t="b">
        <f t="shared" si="1"/>
        <v>0</v>
      </c>
      <c r="X37" s="1403"/>
      <c r="Z37" s="1403"/>
      <c r="AB37" s="93" t="s">
        <v>1563</v>
      </c>
      <c r="AC37" s="223" t="s">
        <v>1564</v>
      </c>
      <c r="AD37" s="93" t="s">
        <v>491</v>
      </c>
      <c r="AE37" s="11">
        <f>IFERROR(AE35/AE36,0)</f>
        <v>0</v>
      </c>
      <c r="AF37" s="11">
        <f>IFERROR(AF35/AF36,0)</f>
        <v>0</v>
      </c>
      <c r="AG37" s="82"/>
      <c r="AH37" s="82"/>
      <c r="AI37" s="82"/>
      <c r="AL37" s="912" t="s">
        <v>1549</v>
      </c>
    </row>
    <row r="38" spans="1:38" s="157" customFormat="1" ht="16.7" hidden="1" customHeight="1">
      <c r="E38" s="623">
        <v>17.100000000000001</v>
      </c>
      <c r="F38" s="714">
        <f t="shared" ca="1" si="0"/>
        <v>0</v>
      </c>
      <c r="T38" s="634" t="b">
        <f t="shared" si="1"/>
        <v>0</v>
      </c>
      <c r="X38" s="1403"/>
      <c r="Z38" s="1403"/>
      <c r="AB38" s="93" t="s">
        <v>1565</v>
      </c>
      <c r="AC38" s="223" t="s">
        <v>1551</v>
      </c>
      <c r="AD38" s="93" t="s">
        <v>388</v>
      </c>
      <c r="AE38" s="12"/>
      <c r="AF38" s="12"/>
      <c r="AG38" s="82"/>
      <c r="AH38" s="82"/>
      <c r="AI38" s="82"/>
      <c r="AL38" s="912" t="s">
        <v>1566</v>
      </c>
    </row>
    <row r="39" spans="1:38" s="157" customFormat="1" ht="39" hidden="1" customHeight="1">
      <c r="E39" s="623">
        <v>40</v>
      </c>
      <c r="F39" s="714">
        <f t="shared" ca="1" si="0"/>
        <v>0</v>
      </c>
      <c r="T39" s="634" t="b">
        <f t="shared" si="1"/>
        <v>0</v>
      </c>
      <c r="X39" s="1403"/>
      <c r="Z39" s="1403"/>
      <c r="AB39" s="93" t="s">
        <v>1567</v>
      </c>
      <c r="AC39" s="223" t="s">
        <v>1568</v>
      </c>
      <c r="AD39" s="464" t="s">
        <v>1446</v>
      </c>
      <c r="AE39" s="11"/>
      <c r="AF39" s="11"/>
      <c r="AG39" s="80"/>
      <c r="AH39" s="80"/>
      <c r="AI39" s="80"/>
      <c r="AL39" s="912" t="s">
        <v>1555</v>
      </c>
    </row>
    <row r="40" spans="1:38" ht="17.25" hidden="1" customHeight="1">
      <c r="E40" s="623">
        <v>0</v>
      </c>
      <c r="F40" s="714">
        <f t="shared" ca="1" si="0"/>
        <v>0</v>
      </c>
      <c r="T40" s="634" t="b">
        <f t="shared" si="1"/>
        <v>0</v>
      </c>
      <c r="X40" s="1405"/>
      <c r="Z40" s="1405"/>
    </row>
    <row r="41" spans="1:38" s="1213" customFormat="1" ht="16.5" customHeight="1">
      <c r="A41" s="157"/>
      <c r="B41" s="157"/>
      <c r="C41" s="157"/>
      <c r="D41" s="157"/>
      <c r="E41" s="623">
        <v>17.100000000000001</v>
      </c>
      <c r="F41" s="714" t="str">
        <f>X41</f>
        <v>1</v>
      </c>
      <c r="G41" s="566" t="str">
        <f>INDEX('Общие сведения'!$AK$169:$AK$202,MATCH($F41,'Общие сведения'!$Z$169:$Z$202,0))</f>
        <v>одноставочный</v>
      </c>
      <c r="H41" s="157"/>
      <c r="I41" s="150" t="str">
        <f>INDEX('Общие сведения'!$AE$169:$AE$202,MATCH($F41,'Общие сведения'!$Z$169:$Z$202,0))</f>
        <v>Теплоснабжение</v>
      </c>
      <c r="J41" s="157"/>
      <c r="K41" s="150" t="str">
        <f>INDEX('Общие сведения'!$AL$169:$AL$202,MATCH($F41,'Общие сведения'!$Z$169:$Z$202,0))</f>
        <v>Производство теплоносителя</v>
      </c>
      <c r="L41" s="157"/>
      <c r="M41" s="157"/>
      <c r="N41" s="157"/>
      <c r="O41" s="157"/>
      <c r="P41" s="157"/>
      <c r="Q41" s="157"/>
      <c r="R41" s="157"/>
      <c r="S41" s="157"/>
      <c r="T41" s="634" t="b">
        <f>X41&gt;0</f>
        <v>1</v>
      </c>
      <c r="U41" s="157"/>
      <c r="V41" s="113" t="str">
        <f>'Калькуляция (6.6)'!$AB$65</f>
        <v>Тариф 1 (Теплоснабжение) - Тарифы на теплоноситель (Не определено)</v>
      </c>
      <c r="W41" s="157"/>
      <c r="X41" s="1526" t="s">
        <v>247</v>
      </c>
      <c r="Y41" s="157"/>
      <c r="Z41" s="1403"/>
      <c r="AA41" s="157"/>
      <c r="AB41" s="252" t="str">
        <f>IF(ISBLANK('Калькуляция (6.6)'!$AB$65),"",'Калькуляция (6.6)'!$AB$65)</f>
        <v>Тариф 1 (Теплоснабжение) - Тарифы на теплоноситель (Не определено)</v>
      </c>
      <c r="AC41" s="253"/>
      <c r="AD41" s="253"/>
      <c r="AE41" s="253"/>
      <c r="AF41" s="253"/>
      <c r="AG41" s="253"/>
      <c r="AH41" s="253"/>
      <c r="AI41" s="253"/>
      <c r="AJ41" s="157"/>
      <c r="AK41" s="157"/>
      <c r="AL41" s="912"/>
    </row>
    <row r="42" spans="1:38" s="1214" customFormat="1" ht="16.5" customHeight="1">
      <c r="A42" s="157"/>
      <c r="B42" s="157"/>
      <c r="C42" s="157"/>
      <c r="D42" s="157"/>
      <c r="E42" s="623">
        <v>17.100000000000001</v>
      </c>
      <c r="F42" s="714" t="str">
        <f t="shared" ref="F42:F54" ca="1" si="2">OFFSET(G42,-1,-1)</f>
        <v>1</v>
      </c>
      <c r="G42" s="157"/>
      <c r="H42" s="157"/>
      <c r="I42" s="157"/>
      <c r="J42" s="157"/>
      <c r="K42" s="157"/>
      <c r="L42" s="157"/>
      <c r="M42" s="157"/>
      <c r="N42" s="157"/>
      <c r="O42" s="157"/>
      <c r="P42" s="157"/>
      <c r="Q42" s="157"/>
      <c r="R42" s="157"/>
      <c r="S42" s="157"/>
      <c r="T42" s="634" t="b">
        <f t="shared" ref="T42:T54" si="3">T41</f>
        <v>1</v>
      </c>
      <c r="U42" s="157"/>
      <c r="V42" s="157"/>
      <c r="W42" s="157"/>
      <c r="X42" s="1403"/>
      <c r="Y42" s="157"/>
      <c r="Z42" s="1403"/>
      <c r="AA42" s="157"/>
      <c r="AB42" s="464">
        <v>1</v>
      </c>
      <c r="AC42" s="778" t="s">
        <v>1539</v>
      </c>
      <c r="AD42" s="779"/>
      <c r="AE42" s="779"/>
      <c r="AF42" s="779"/>
      <c r="AG42" s="779"/>
      <c r="AH42" s="779"/>
      <c r="AI42" s="779"/>
      <c r="AJ42" s="157"/>
      <c r="AK42" s="157"/>
      <c r="AL42" s="912"/>
    </row>
    <row r="43" spans="1:38" s="1215" customFormat="1" ht="43.5" customHeight="1">
      <c r="A43" s="157"/>
      <c r="B43" s="157"/>
      <c r="C43" s="157"/>
      <c r="D43" s="157"/>
      <c r="E43" s="623">
        <v>45</v>
      </c>
      <c r="F43" s="714" t="str">
        <f t="shared" ca="1" si="2"/>
        <v>1</v>
      </c>
      <c r="G43" s="157"/>
      <c r="H43" s="157"/>
      <c r="I43" s="157"/>
      <c r="J43" s="157"/>
      <c r="K43" s="157"/>
      <c r="L43" s="157"/>
      <c r="M43" s="157"/>
      <c r="N43" s="157"/>
      <c r="O43" s="157"/>
      <c r="P43" s="157"/>
      <c r="Q43" s="157"/>
      <c r="R43" s="157"/>
      <c r="S43" s="157"/>
      <c r="T43" s="634" t="b">
        <f t="shared" si="3"/>
        <v>1</v>
      </c>
      <c r="U43" s="157"/>
      <c r="V43" s="157"/>
      <c r="W43" s="157"/>
      <c r="X43" s="1403"/>
      <c r="Y43" s="157"/>
      <c r="Z43" s="1403"/>
      <c r="AA43" s="157"/>
      <c r="AB43" s="464" t="s">
        <v>1540</v>
      </c>
      <c r="AC43" s="223" t="s">
        <v>1541</v>
      </c>
      <c r="AD43" s="93" t="s">
        <v>1204</v>
      </c>
      <c r="AE43" s="1079"/>
      <c r="AF43" s="1079"/>
      <c r="AG43" s="1216"/>
      <c r="AH43" s="1216"/>
      <c r="AI43" s="1216"/>
      <c r="AJ43" s="157"/>
      <c r="AK43" s="157"/>
      <c r="AL43" s="912" t="s">
        <v>1542</v>
      </c>
    </row>
    <row r="44" spans="1:38" s="1217" customFormat="1" ht="43.5" customHeight="1">
      <c r="A44" s="157"/>
      <c r="B44" s="157"/>
      <c r="C44" s="157"/>
      <c r="D44" s="157"/>
      <c r="E44" s="623">
        <v>45</v>
      </c>
      <c r="F44" s="714" t="str">
        <f t="shared" ca="1" si="2"/>
        <v>1</v>
      </c>
      <c r="G44" s="157"/>
      <c r="H44" s="157"/>
      <c r="I44" s="157"/>
      <c r="J44" s="157"/>
      <c r="K44" s="157"/>
      <c r="L44" s="157"/>
      <c r="M44" s="157"/>
      <c r="N44" s="157"/>
      <c r="O44" s="157"/>
      <c r="P44" s="157"/>
      <c r="Q44" s="157"/>
      <c r="R44" s="157"/>
      <c r="S44" s="157"/>
      <c r="T44" s="634" t="b">
        <f t="shared" si="3"/>
        <v>1</v>
      </c>
      <c r="U44" s="157"/>
      <c r="V44" s="157"/>
      <c r="W44" s="157"/>
      <c r="X44" s="1403"/>
      <c r="Y44" s="157"/>
      <c r="Z44" s="1403"/>
      <c r="AA44" s="157"/>
      <c r="AB44" s="464" t="s">
        <v>1543</v>
      </c>
      <c r="AC44" s="223" t="s">
        <v>1544</v>
      </c>
      <c r="AD44" s="93" t="s">
        <v>356</v>
      </c>
      <c r="AE44" s="1079"/>
      <c r="AF44" s="1079"/>
      <c r="AG44" s="1216"/>
      <c r="AH44" s="1216"/>
      <c r="AI44" s="1216"/>
      <c r="AJ44" s="157"/>
      <c r="AK44" s="157"/>
      <c r="AL44" s="912" t="s">
        <v>1545</v>
      </c>
    </row>
    <row r="45" spans="1:38" s="1218" customFormat="1" ht="39" customHeight="1">
      <c r="A45" s="157"/>
      <c r="B45" s="157"/>
      <c r="C45" s="157"/>
      <c r="D45" s="157"/>
      <c r="E45" s="623">
        <v>40</v>
      </c>
      <c r="F45" s="714" t="str">
        <f t="shared" ca="1" si="2"/>
        <v>1</v>
      </c>
      <c r="G45" s="157"/>
      <c r="H45" s="157"/>
      <c r="I45" s="157"/>
      <c r="J45" s="157"/>
      <c r="K45" s="157"/>
      <c r="L45" s="157"/>
      <c r="M45" s="157"/>
      <c r="N45" s="157"/>
      <c r="O45" s="157"/>
      <c r="P45" s="157"/>
      <c r="Q45" s="157"/>
      <c r="R45" s="157"/>
      <c r="S45" s="157"/>
      <c r="T45" s="634" t="b">
        <f t="shared" si="3"/>
        <v>1</v>
      </c>
      <c r="U45" s="157"/>
      <c r="V45" s="157"/>
      <c r="W45" s="157"/>
      <c r="X45" s="1403"/>
      <c r="Y45" s="157"/>
      <c r="Z45" s="1403"/>
      <c r="AA45" s="157"/>
      <c r="AB45" s="464" t="s">
        <v>1546</v>
      </c>
      <c r="AC45" s="223" t="s">
        <v>1547</v>
      </c>
      <c r="AD45" s="93" t="s">
        <v>1548</v>
      </c>
      <c r="AE45" s="1079">
        <f>IFERROR(AE43/AE44,0)</f>
        <v>0</v>
      </c>
      <c r="AF45" s="1079">
        <f>IFERROR(AF43/AF44,0)</f>
        <v>0</v>
      </c>
      <c r="AG45" s="1216"/>
      <c r="AH45" s="1216"/>
      <c r="AI45" s="1216"/>
      <c r="AJ45" s="157"/>
      <c r="AK45" s="157"/>
      <c r="AL45" s="912" t="s">
        <v>1549</v>
      </c>
    </row>
    <row r="46" spans="1:38" s="1219" customFormat="1" ht="16.5" customHeight="1">
      <c r="A46" s="157"/>
      <c r="B46" s="157"/>
      <c r="C46" s="157"/>
      <c r="D46" s="157"/>
      <c r="E46" s="623">
        <v>17.100000000000001</v>
      </c>
      <c r="F46" s="714" t="str">
        <f t="shared" ca="1" si="2"/>
        <v>1</v>
      </c>
      <c r="G46" s="157"/>
      <c r="H46" s="157"/>
      <c r="I46" s="157"/>
      <c r="J46" s="157"/>
      <c r="K46" s="157"/>
      <c r="L46" s="157"/>
      <c r="M46" s="157"/>
      <c r="N46" s="157"/>
      <c r="O46" s="157"/>
      <c r="P46" s="157"/>
      <c r="Q46" s="157"/>
      <c r="R46" s="157"/>
      <c r="S46" s="157"/>
      <c r="T46" s="634" t="b">
        <f t="shared" si="3"/>
        <v>1</v>
      </c>
      <c r="U46" s="157"/>
      <c r="V46" s="157"/>
      <c r="W46" s="157"/>
      <c r="X46" s="1403"/>
      <c r="Y46" s="157"/>
      <c r="Z46" s="1403"/>
      <c r="AA46" s="157"/>
      <c r="AB46" s="464" t="s">
        <v>1550</v>
      </c>
      <c r="AC46" s="223" t="s">
        <v>1551</v>
      </c>
      <c r="AD46" s="93" t="s">
        <v>388</v>
      </c>
      <c r="AE46" s="1220"/>
      <c r="AF46" s="1220"/>
      <c r="AG46" s="1216"/>
      <c r="AH46" s="1216"/>
      <c r="AI46" s="1216"/>
      <c r="AJ46" s="157"/>
      <c r="AK46" s="157"/>
      <c r="AL46" s="912" t="s">
        <v>1552</v>
      </c>
    </row>
    <row r="47" spans="1:38" s="1221" customFormat="1" ht="39" customHeight="1">
      <c r="A47" s="157"/>
      <c r="B47" s="157"/>
      <c r="C47" s="157"/>
      <c r="D47" s="157"/>
      <c r="E47" s="623">
        <v>40</v>
      </c>
      <c r="F47" s="714" t="str">
        <f t="shared" ca="1" si="2"/>
        <v>1</v>
      </c>
      <c r="G47" s="157"/>
      <c r="H47" s="157"/>
      <c r="I47" s="157"/>
      <c r="J47" s="157"/>
      <c r="K47" s="157"/>
      <c r="L47" s="157"/>
      <c r="M47" s="157"/>
      <c r="N47" s="157"/>
      <c r="O47" s="157"/>
      <c r="P47" s="157"/>
      <c r="Q47" s="157"/>
      <c r="R47" s="157"/>
      <c r="S47" s="157"/>
      <c r="T47" s="634" t="b">
        <f t="shared" si="3"/>
        <v>1</v>
      </c>
      <c r="U47" s="157"/>
      <c r="V47" s="157"/>
      <c r="W47" s="157"/>
      <c r="X47" s="1403"/>
      <c r="Y47" s="157"/>
      <c r="Z47" s="1403"/>
      <c r="AA47" s="157"/>
      <c r="AB47" s="783" t="s">
        <v>1553</v>
      </c>
      <c r="AC47" s="780" t="s">
        <v>1554</v>
      </c>
      <c r="AD47" s="781" t="s">
        <v>1548</v>
      </c>
      <c r="AE47" s="1082"/>
      <c r="AF47" s="1082"/>
      <c r="AG47" s="1222"/>
      <c r="AH47" s="1222"/>
      <c r="AI47" s="1222"/>
      <c r="AJ47" s="157"/>
      <c r="AK47" s="157"/>
      <c r="AL47" s="912" t="s">
        <v>1555</v>
      </c>
    </row>
    <row r="48" spans="1:38" s="1223" customFormat="1" ht="16.5" customHeight="1">
      <c r="A48" s="157"/>
      <c r="B48" s="157"/>
      <c r="C48" s="157"/>
      <c r="D48" s="157"/>
      <c r="E48" s="623">
        <v>17.100000000000001</v>
      </c>
      <c r="F48" s="714" t="str">
        <f t="shared" ca="1" si="2"/>
        <v>1</v>
      </c>
      <c r="G48" s="157"/>
      <c r="H48" s="157"/>
      <c r="I48" s="157"/>
      <c r="J48" s="157"/>
      <c r="K48" s="157"/>
      <c r="L48" s="157"/>
      <c r="M48" s="157"/>
      <c r="N48" s="157"/>
      <c r="O48" s="157"/>
      <c r="P48" s="157"/>
      <c r="Q48" s="157"/>
      <c r="R48" s="157"/>
      <c r="S48" s="157"/>
      <c r="T48" s="634" t="b">
        <f t="shared" si="3"/>
        <v>1</v>
      </c>
      <c r="U48" s="157"/>
      <c r="V48" s="157"/>
      <c r="W48" s="157"/>
      <c r="X48" s="1403"/>
      <c r="Y48" s="157"/>
      <c r="Z48" s="1403"/>
      <c r="AA48" s="157"/>
      <c r="AB48" s="93">
        <v>2</v>
      </c>
      <c r="AC48" s="778" t="s">
        <v>1556</v>
      </c>
      <c r="AD48" s="779"/>
      <c r="AE48" s="794"/>
      <c r="AF48" s="794"/>
      <c r="AG48" s="779"/>
      <c r="AH48" s="779"/>
      <c r="AI48" s="779"/>
      <c r="AJ48" s="157"/>
      <c r="AK48" s="157"/>
      <c r="AL48" s="912"/>
    </row>
    <row r="49" spans="1:38" s="1224" customFormat="1" ht="43.5" customHeight="1">
      <c r="A49" s="157"/>
      <c r="B49" s="157"/>
      <c r="C49" s="157"/>
      <c r="D49" s="157"/>
      <c r="E49" s="623">
        <v>45</v>
      </c>
      <c r="F49" s="714" t="str">
        <f t="shared" ca="1" si="2"/>
        <v>1</v>
      </c>
      <c r="G49" s="157"/>
      <c r="H49" s="157"/>
      <c r="I49" s="157"/>
      <c r="J49" s="157"/>
      <c r="K49" s="157"/>
      <c r="L49" s="157"/>
      <c r="M49" s="157"/>
      <c r="N49" s="157"/>
      <c r="O49" s="157"/>
      <c r="P49" s="157"/>
      <c r="Q49" s="157"/>
      <c r="R49" s="157"/>
      <c r="S49" s="157"/>
      <c r="T49" s="634" t="b">
        <f t="shared" si="3"/>
        <v>1</v>
      </c>
      <c r="U49" s="157"/>
      <c r="V49" s="157"/>
      <c r="W49" s="157"/>
      <c r="X49" s="1403"/>
      <c r="Y49" s="157"/>
      <c r="Z49" s="1403"/>
      <c r="AA49" s="157"/>
      <c r="AB49" s="93" t="s">
        <v>1557</v>
      </c>
      <c r="AC49" s="223" t="s">
        <v>1558</v>
      </c>
      <c r="AD49" s="93" t="s">
        <v>1204</v>
      </c>
      <c r="AE49" s="1082"/>
      <c r="AF49" s="1082"/>
      <c r="AG49" s="1222"/>
      <c r="AH49" s="1222"/>
      <c r="AI49" s="1222"/>
      <c r="AJ49" s="157"/>
      <c r="AK49" s="157"/>
      <c r="AL49" s="912" t="s">
        <v>1559</v>
      </c>
    </row>
    <row r="50" spans="1:38" s="1225" customFormat="1" ht="39" customHeight="1">
      <c r="A50" s="157"/>
      <c r="B50" s="157"/>
      <c r="C50" s="157"/>
      <c r="D50" s="157"/>
      <c r="E50" s="623">
        <v>40</v>
      </c>
      <c r="F50" s="714" t="str">
        <f t="shared" ca="1" si="2"/>
        <v>1</v>
      </c>
      <c r="G50" s="157"/>
      <c r="H50" s="157"/>
      <c r="I50" s="157"/>
      <c r="J50" s="157"/>
      <c r="K50" s="157"/>
      <c r="L50" s="157"/>
      <c r="M50" s="157"/>
      <c r="N50" s="157"/>
      <c r="O50" s="157"/>
      <c r="P50" s="157"/>
      <c r="Q50" s="157"/>
      <c r="R50" s="157"/>
      <c r="S50" s="157"/>
      <c r="T50" s="634" t="b">
        <f t="shared" si="3"/>
        <v>1</v>
      </c>
      <c r="U50" s="157"/>
      <c r="V50" s="157"/>
      <c r="W50" s="157"/>
      <c r="X50" s="1403"/>
      <c r="Y50" s="157"/>
      <c r="Z50" s="1403"/>
      <c r="AA50" s="157"/>
      <c r="AB50" s="93" t="s">
        <v>1560</v>
      </c>
      <c r="AC50" s="223" t="s">
        <v>1561</v>
      </c>
      <c r="AD50" s="93" t="s">
        <v>491</v>
      </c>
      <c r="AE50" s="1082"/>
      <c r="AF50" s="1082"/>
      <c r="AG50" s="1222"/>
      <c r="AH50" s="1222"/>
      <c r="AI50" s="1222"/>
      <c r="AJ50" s="157"/>
      <c r="AK50" s="157"/>
      <c r="AL50" s="912" t="s">
        <v>1562</v>
      </c>
    </row>
    <row r="51" spans="1:38" s="1226" customFormat="1" ht="39" customHeight="1">
      <c r="A51" s="157"/>
      <c r="B51" s="157"/>
      <c r="C51" s="157"/>
      <c r="D51" s="157"/>
      <c r="E51" s="623">
        <v>40</v>
      </c>
      <c r="F51" s="714" t="str">
        <f t="shared" ca="1" si="2"/>
        <v>1</v>
      </c>
      <c r="G51" s="157"/>
      <c r="H51" s="157"/>
      <c r="I51" s="157"/>
      <c r="J51" s="157"/>
      <c r="K51" s="157"/>
      <c r="L51" s="157"/>
      <c r="M51" s="157"/>
      <c r="N51" s="157"/>
      <c r="O51" s="157"/>
      <c r="P51" s="157"/>
      <c r="Q51" s="157"/>
      <c r="R51" s="157"/>
      <c r="S51" s="157"/>
      <c r="T51" s="634" t="b">
        <f t="shared" si="3"/>
        <v>1</v>
      </c>
      <c r="U51" s="157"/>
      <c r="V51" s="157"/>
      <c r="W51" s="157"/>
      <c r="X51" s="1403"/>
      <c r="Y51" s="157"/>
      <c r="Z51" s="1403"/>
      <c r="AA51" s="157"/>
      <c r="AB51" s="93" t="s">
        <v>1563</v>
      </c>
      <c r="AC51" s="223" t="s">
        <v>1564</v>
      </c>
      <c r="AD51" s="93" t="s">
        <v>491</v>
      </c>
      <c r="AE51" s="1079">
        <f>IFERROR(AE49/AE50,0)</f>
        <v>0</v>
      </c>
      <c r="AF51" s="1079">
        <f>IFERROR(AF49/AF50,0)</f>
        <v>0</v>
      </c>
      <c r="AG51" s="1222"/>
      <c r="AH51" s="1222"/>
      <c r="AI51" s="1222"/>
      <c r="AJ51" s="157"/>
      <c r="AK51" s="157"/>
      <c r="AL51" s="912" t="s">
        <v>1549</v>
      </c>
    </row>
    <row r="52" spans="1:38" s="1227" customFormat="1" ht="16.5" customHeight="1">
      <c r="A52" s="157"/>
      <c r="B52" s="157"/>
      <c r="C52" s="157"/>
      <c r="D52" s="157"/>
      <c r="E52" s="623">
        <v>17.100000000000001</v>
      </c>
      <c r="F52" s="714" t="str">
        <f t="shared" ca="1" si="2"/>
        <v>1</v>
      </c>
      <c r="G52" s="157"/>
      <c r="H52" s="157"/>
      <c r="I52" s="157"/>
      <c r="J52" s="157"/>
      <c r="K52" s="157"/>
      <c r="L52" s="157"/>
      <c r="M52" s="157"/>
      <c r="N52" s="157"/>
      <c r="O52" s="157"/>
      <c r="P52" s="157"/>
      <c r="Q52" s="157"/>
      <c r="R52" s="157"/>
      <c r="S52" s="157"/>
      <c r="T52" s="634" t="b">
        <f t="shared" si="3"/>
        <v>1</v>
      </c>
      <c r="U52" s="157"/>
      <c r="V52" s="157"/>
      <c r="W52" s="157"/>
      <c r="X52" s="1403"/>
      <c r="Y52" s="157"/>
      <c r="Z52" s="1403"/>
      <c r="AA52" s="157"/>
      <c r="AB52" s="93" t="s">
        <v>1565</v>
      </c>
      <c r="AC52" s="223" t="s">
        <v>1551</v>
      </c>
      <c r="AD52" s="93" t="s">
        <v>388</v>
      </c>
      <c r="AE52" s="1082"/>
      <c r="AF52" s="1082"/>
      <c r="AG52" s="1222"/>
      <c r="AH52" s="1222"/>
      <c r="AI52" s="1222"/>
      <c r="AJ52" s="157"/>
      <c r="AK52" s="157"/>
      <c r="AL52" s="912" t="s">
        <v>1566</v>
      </c>
    </row>
    <row r="53" spans="1:38" s="1228" customFormat="1" ht="39" customHeight="1">
      <c r="A53" s="157"/>
      <c r="B53" s="157"/>
      <c r="C53" s="157"/>
      <c r="D53" s="157"/>
      <c r="E53" s="623">
        <v>40</v>
      </c>
      <c r="F53" s="714" t="str">
        <f t="shared" ca="1" si="2"/>
        <v>1</v>
      </c>
      <c r="G53" s="157"/>
      <c r="H53" s="157"/>
      <c r="I53" s="157"/>
      <c r="J53" s="157"/>
      <c r="K53" s="157"/>
      <c r="L53" s="157"/>
      <c r="M53" s="157"/>
      <c r="N53" s="157"/>
      <c r="O53" s="157"/>
      <c r="P53" s="157"/>
      <c r="Q53" s="157"/>
      <c r="R53" s="157"/>
      <c r="S53" s="157"/>
      <c r="T53" s="634" t="b">
        <f t="shared" si="3"/>
        <v>1</v>
      </c>
      <c r="U53" s="157"/>
      <c r="V53" s="157"/>
      <c r="W53" s="157"/>
      <c r="X53" s="1403"/>
      <c r="Y53" s="157"/>
      <c r="Z53" s="1403"/>
      <c r="AA53" s="157"/>
      <c r="AB53" s="93" t="s">
        <v>1567</v>
      </c>
      <c r="AC53" s="223" t="s">
        <v>1568</v>
      </c>
      <c r="AD53" s="464" t="s">
        <v>1446</v>
      </c>
      <c r="AE53" s="1079"/>
      <c r="AF53" s="1079"/>
      <c r="AG53" s="1216"/>
      <c r="AH53" s="1216"/>
      <c r="AI53" s="1216"/>
      <c r="AJ53" s="157"/>
      <c r="AK53" s="157"/>
      <c r="AL53" s="912" t="s">
        <v>1555</v>
      </c>
    </row>
    <row r="54" spans="1:38" s="1057" customFormat="1" ht="17.25" hidden="1" customHeight="1">
      <c r="A54" s="165"/>
      <c r="B54" s="718"/>
      <c r="C54" s="165"/>
      <c r="D54" s="165"/>
      <c r="E54" s="623">
        <v>0</v>
      </c>
      <c r="F54" s="714" t="str">
        <f t="shared" ca="1" si="2"/>
        <v>1</v>
      </c>
      <c r="G54" s="167"/>
      <c r="H54" s="167"/>
      <c r="I54" s="167"/>
      <c r="J54" s="167"/>
      <c r="K54" s="167"/>
      <c r="L54" s="167"/>
      <c r="M54" s="167"/>
      <c r="N54" s="167"/>
      <c r="O54" s="167"/>
      <c r="P54" s="167"/>
      <c r="Q54" s="130"/>
      <c r="R54" s="130"/>
      <c r="S54" s="167"/>
      <c r="T54" s="634" t="b">
        <f t="shared" si="3"/>
        <v>1</v>
      </c>
      <c r="U54" s="1012"/>
      <c r="V54" s="1012"/>
      <c r="W54" s="1012"/>
      <c r="X54" s="1405"/>
      <c r="Y54" s="1012"/>
      <c r="Z54" s="1405"/>
      <c r="AA54" s="167"/>
      <c r="AB54" s="165"/>
      <c r="AC54" s="166"/>
      <c r="AD54" s="165"/>
      <c r="AE54" s="167"/>
      <c r="AF54" s="167"/>
      <c r="AG54" s="167"/>
      <c r="AH54" s="167"/>
      <c r="AI54" s="167"/>
      <c r="AJ54" s="167"/>
      <c r="AK54" s="167"/>
      <c r="AL54" s="944"/>
    </row>
    <row r="55" spans="1:38" ht="9.9499999999999993" customHeight="1">
      <c r="E55" s="623">
        <v>10.199999999999999</v>
      </c>
      <c r="U55" s="116" t="s">
        <v>172</v>
      </c>
      <c r="V55" s="109" t="s">
        <v>1569</v>
      </c>
    </row>
    <row r="56" spans="1:38" ht="11.25" hidden="1" customHeight="1">
      <c r="E56" s="623">
        <v>0</v>
      </c>
    </row>
    <row r="57" spans="1:38" ht="14.65" customHeight="1">
      <c r="E57" s="623">
        <v>15</v>
      </c>
      <c r="AB57" s="1531" t="s">
        <v>557</v>
      </c>
      <c r="AC57" s="1532"/>
      <c r="AD57" s="1532"/>
      <c r="AE57" s="1532"/>
      <c r="AF57" s="1532"/>
      <c r="AG57" s="1532"/>
      <c r="AH57" s="1532"/>
      <c r="AI57" s="1533"/>
    </row>
    <row r="58" spans="1:38" ht="14.65" customHeight="1">
      <c r="E58" s="623">
        <v>15</v>
      </c>
      <c r="AA58" s="713"/>
      <c r="AB58" s="1534"/>
      <c r="AC58" s="1535"/>
      <c r="AD58" s="1535"/>
      <c r="AE58" s="1535"/>
      <c r="AF58" s="1535"/>
      <c r="AG58" s="1535"/>
      <c r="AH58" s="1535"/>
      <c r="AI58" s="1536"/>
    </row>
    <row r="59" spans="1:38" ht="14.65" hidden="1" customHeight="1">
      <c r="E59" s="623">
        <v>15</v>
      </c>
      <c r="T59" s="634" t="b">
        <f>ROW(W59)&gt;ROW(W$59)</f>
        <v>0</v>
      </c>
      <c r="W59" s="113" t="s">
        <v>170</v>
      </c>
      <c r="AA59" s="709" t="s">
        <v>157</v>
      </c>
      <c r="AB59" s="1537"/>
      <c r="AC59" s="1538"/>
      <c r="AD59" s="1538"/>
      <c r="AE59" s="1538"/>
      <c r="AF59" s="1538"/>
      <c r="AG59" s="1538"/>
      <c r="AH59" s="1538"/>
      <c r="AI59" s="1539"/>
    </row>
    <row r="60" spans="1:38" ht="14.65" customHeight="1">
      <c r="E60" s="623">
        <v>15</v>
      </c>
      <c r="W60" s="109" t="s">
        <v>1570</v>
      </c>
      <c r="AA60" s="150"/>
      <c r="AB60" s="1420" t="s">
        <v>558</v>
      </c>
      <c r="AC60" s="1421"/>
      <c r="AD60" s="768"/>
      <c r="AE60" s="299"/>
      <c r="AF60" s="299"/>
      <c r="AG60" s="299"/>
      <c r="AH60" s="299"/>
      <c r="AI60" s="271"/>
    </row>
  </sheetData>
  <sheetProtection formatColumns="0" formatRows="0" insertRows="0" deleteColumns="0" deleteRows="0" sort="0" autoFilter="0"/>
  <mergeCells count="15">
    <mergeCell ref="AB60:AC60"/>
    <mergeCell ref="X27:X40"/>
    <mergeCell ref="Z27:Z40"/>
    <mergeCell ref="AB57:AI57"/>
    <mergeCell ref="AB58:AI58"/>
    <mergeCell ref="AB59:AI59"/>
    <mergeCell ref="X41:X54"/>
    <mergeCell ref="Z41:Z54"/>
    <mergeCell ref="AB22:AI22"/>
    <mergeCell ref="AH24:AH25"/>
    <mergeCell ref="AI24:AI25"/>
    <mergeCell ref="AB24:AB25"/>
    <mergeCell ref="AC24:AC25"/>
    <mergeCell ref="AD24:AD25"/>
    <mergeCell ref="AG24:AG25"/>
  </mergeCell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pageSetUpPr fitToPage="1"/>
  </sheetPr>
  <dimension ref="A1:AP80"/>
  <sheetViews>
    <sheetView showGridLines="0" workbookViewId="0">
      <pane xSplit="30" ySplit="25" topLeftCell="AE26" activePane="bottomRight" state="frozen"/>
      <selection pane="topRight" activeCell="AE1" sqref="AE1"/>
      <selection pane="bottomLeft" activeCell="A26" sqref="A26"/>
      <selection pane="bottomRight" activeCell="AA21" sqref="AA21"/>
    </sheetView>
  </sheetViews>
  <sheetFormatPr defaultColWidth="9.140625" defaultRowHeight="11.25" customHeight="1"/>
  <cols>
    <col min="1" max="1" width="3.5703125" style="165" hidden="1" customWidth="1"/>
    <col min="2" max="2" width="8.5703125" style="718" hidden="1" customWidth="1"/>
    <col min="3" max="4" width="3.5703125" style="165" hidden="1" customWidth="1"/>
    <col min="5" max="5" width="8.42578125" style="717" hidden="1" customWidth="1"/>
    <col min="6" max="6" width="3.5703125" style="165" hidden="1" customWidth="1"/>
    <col min="7" max="10" width="3.5703125" style="167" hidden="1" customWidth="1"/>
    <col min="11" max="11" width="7.140625" style="167" hidden="1" customWidth="1"/>
    <col min="12" max="16" width="3.5703125" style="167" hidden="1" customWidth="1"/>
    <col min="17" max="17" width="3.5703125" style="130" hidden="1" customWidth="1"/>
    <col min="18" max="18" width="22.85546875" style="130" hidden="1" customWidth="1"/>
    <col min="19" max="19" width="3.5703125" style="167" hidden="1" customWidth="1"/>
    <col min="20" max="20" width="8.28515625" style="1012" hidden="1" customWidth="1"/>
    <col min="21" max="21" width="6" style="1012" hidden="1" customWidth="1"/>
    <col min="22" max="23" width="6.28515625" style="1012" hidden="1" customWidth="1"/>
    <col min="24" max="25" width="5.7109375" style="1012" hidden="1" customWidth="1"/>
    <col min="26" max="26" width="5.42578125" style="1012" hidden="1" customWidth="1"/>
    <col min="27" max="27" width="3" style="167" customWidth="1"/>
    <col min="28" max="28" width="8.140625" style="165" customWidth="1"/>
    <col min="29" max="29" width="70.140625" style="166" customWidth="1"/>
    <col min="30" max="30" width="14.42578125" style="165" customWidth="1"/>
    <col min="31" max="32" width="15" style="167" customWidth="1"/>
    <col min="33" max="33" width="19" style="167" customWidth="1"/>
    <col min="34" max="34" width="17.28515625" style="167" customWidth="1"/>
    <col min="35" max="35" width="31.28515625" style="167" customWidth="1"/>
    <col min="36" max="36" width="3" style="167" customWidth="1"/>
    <col min="37" max="37" width="9.140625" style="167" hidden="1"/>
    <col min="38" max="40" width="9.140625" style="944" hidden="1"/>
    <col min="41" max="42" width="9.140625" style="945" hidden="1"/>
  </cols>
  <sheetData>
    <row r="1" spans="1:42" s="1012" customFormat="1" ht="12" hidden="1" customHeight="1">
      <c r="B1" s="614"/>
      <c r="E1" s="614"/>
      <c r="F1" s="634" t="s">
        <v>77</v>
      </c>
      <c r="G1" s="150"/>
      <c r="H1" s="150"/>
      <c r="I1" s="150"/>
      <c r="J1" s="150"/>
      <c r="K1" s="150"/>
      <c r="L1" s="150"/>
      <c r="M1" s="150"/>
      <c r="N1" s="150"/>
      <c r="O1" s="150"/>
      <c r="P1" s="150"/>
      <c r="Q1" s="566"/>
      <c r="R1" s="566"/>
      <c r="S1" s="150"/>
      <c r="T1" s="634" t="s">
        <v>78</v>
      </c>
      <c r="U1" s="634" t="s">
        <v>83</v>
      </c>
      <c r="V1" s="634" t="s">
        <v>79</v>
      </c>
      <c r="W1" s="634" t="s">
        <v>80</v>
      </c>
      <c r="X1" s="634" t="s">
        <v>81</v>
      </c>
      <c r="Y1" s="735" t="s">
        <v>274</v>
      </c>
      <c r="Z1" s="634" t="s">
        <v>85</v>
      </c>
      <c r="AA1" s="735" t="s">
        <v>82</v>
      </c>
      <c r="AB1" s="735" t="s">
        <v>84</v>
      </c>
      <c r="AC1" s="735" t="s">
        <v>84</v>
      </c>
      <c r="AL1" s="912" t="s">
        <v>275</v>
      </c>
      <c r="AM1" s="912" t="s">
        <v>276</v>
      </c>
      <c r="AN1" s="912" t="s">
        <v>277</v>
      </c>
      <c r="AO1" s="915" t="s">
        <v>280</v>
      </c>
      <c r="AP1" s="915" t="s">
        <v>281</v>
      </c>
    </row>
    <row r="2" spans="1:42" s="718" customFormat="1" ht="12" hidden="1" customHeight="1">
      <c r="B2" s="703" t="s">
        <v>15</v>
      </c>
      <c r="G2" s="721"/>
      <c r="H2" s="721"/>
      <c r="I2" s="721"/>
      <c r="J2" s="721"/>
      <c r="K2" s="721"/>
      <c r="L2" s="721"/>
      <c r="M2" s="721"/>
      <c r="N2" s="721"/>
      <c r="O2" s="721"/>
      <c r="P2" s="721"/>
      <c r="Q2" s="721"/>
      <c r="R2" s="721"/>
      <c r="S2" s="721"/>
      <c r="AC2" s="618"/>
      <c r="AL2" s="905"/>
      <c r="AM2" s="905"/>
      <c r="AN2" s="905"/>
      <c r="AO2" s="916"/>
      <c r="AP2" s="916"/>
    </row>
    <row r="3" spans="1:42" s="165" customFormat="1" ht="12" hidden="1" customHeight="1">
      <c r="B3" s="614"/>
      <c r="E3" s="614"/>
      <c r="G3" s="167"/>
      <c r="H3" s="167"/>
      <c r="I3" s="167"/>
      <c r="J3" s="167"/>
      <c r="K3" s="167"/>
      <c r="L3" s="167"/>
      <c r="M3" s="167"/>
      <c r="N3" s="167"/>
      <c r="O3" s="167"/>
      <c r="P3" s="167"/>
      <c r="Q3" s="130"/>
      <c r="R3" s="130"/>
      <c r="S3" s="167"/>
      <c r="T3" s="113"/>
      <c r="U3" s="113"/>
      <c r="V3" s="113"/>
      <c r="W3" s="113"/>
      <c r="X3" s="113"/>
      <c r="Y3" s="113"/>
      <c r="Z3" s="113"/>
      <c r="AC3" s="169"/>
      <c r="AL3" s="944"/>
      <c r="AM3" s="944"/>
      <c r="AN3" s="944"/>
      <c r="AO3" s="945"/>
      <c r="AP3" s="945"/>
    </row>
    <row r="4" spans="1:42" s="165" customFormat="1" ht="12" hidden="1" customHeight="1">
      <c r="B4" s="614"/>
      <c r="E4" s="614"/>
      <c r="G4" s="167"/>
      <c r="H4" s="167"/>
      <c r="I4" s="167"/>
      <c r="J4" s="167"/>
      <c r="K4" s="167"/>
      <c r="L4" s="167"/>
      <c r="M4" s="167"/>
      <c r="N4" s="167"/>
      <c r="O4" s="167"/>
      <c r="P4" s="167"/>
      <c r="Q4" s="130"/>
      <c r="R4" s="130"/>
      <c r="S4" s="167"/>
      <c r="T4" s="113"/>
      <c r="U4" s="113"/>
      <c r="V4" s="113"/>
      <c r="W4" s="113"/>
      <c r="X4" s="113"/>
      <c r="Y4" s="113"/>
      <c r="Z4" s="113"/>
      <c r="AC4" s="169"/>
      <c r="AL4" s="944"/>
      <c r="AM4" s="944"/>
      <c r="AN4" s="944"/>
      <c r="AO4" s="945"/>
      <c r="AP4" s="945"/>
    </row>
    <row r="5" spans="1:42" s="717" customFormat="1" ht="12" hidden="1" customHeight="1">
      <c r="A5" s="614"/>
      <c r="B5" s="614"/>
      <c r="C5" s="614"/>
      <c r="D5" s="614"/>
      <c r="E5" s="623" t="s">
        <v>16</v>
      </c>
      <c r="G5" s="722"/>
      <c r="H5" s="722"/>
      <c r="I5" s="722"/>
      <c r="J5" s="722"/>
      <c r="K5" s="722"/>
      <c r="L5" s="722"/>
      <c r="M5" s="722"/>
      <c r="N5" s="722"/>
      <c r="O5" s="722"/>
      <c r="P5" s="722"/>
      <c r="Q5" s="722"/>
      <c r="R5" s="722"/>
      <c r="S5" s="722"/>
      <c r="AA5" s="623">
        <v>3</v>
      </c>
      <c r="AB5" s="623">
        <v>8.1300000000000008</v>
      </c>
      <c r="AC5" s="629">
        <v>70.13</v>
      </c>
      <c r="AD5" s="623">
        <v>14.38</v>
      </c>
      <c r="AE5" s="623">
        <v>15</v>
      </c>
      <c r="AF5" s="623">
        <v>15</v>
      </c>
      <c r="AG5" s="623">
        <v>19</v>
      </c>
      <c r="AH5" s="623">
        <v>17.25</v>
      </c>
      <c r="AI5" s="623">
        <v>31.25</v>
      </c>
      <c r="AJ5" s="623">
        <v>3</v>
      </c>
      <c r="AL5" s="905"/>
      <c r="AM5" s="905"/>
      <c r="AN5" s="905"/>
      <c r="AO5" s="916"/>
      <c r="AP5" s="916"/>
    </row>
    <row r="6" spans="1:42" s="165" customFormat="1" ht="12" hidden="1" customHeight="1">
      <c r="B6" s="614"/>
      <c r="E6" s="623"/>
      <c r="G6" s="167"/>
      <c r="H6" s="167"/>
      <c r="I6" s="167"/>
      <c r="J6" s="167"/>
      <c r="K6" s="167"/>
      <c r="L6" s="167"/>
      <c r="M6" s="167"/>
      <c r="N6" s="167"/>
      <c r="O6" s="167"/>
      <c r="P6" s="167"/>
      <c r="Q6" s="130"/>
      <c r="R6" s="130"/>
      <c r="S6" s="167"/>
      <c r="T6" s="113"/>
      <c r="U6" s="113"/>
      <c r="V6" s="113"/>
      <c r="W6" s="113"/>
      <c r="X6" s="113"/>
      <c r="Y6" s="113"/>
      <c r="Z6" s="113"/>
      <c r="AC6" s="169"/>
      <c r="AE6" s="165">
        <f>god-2</f>
        <v>2024</v>
      </c>
      <c r="AF6" s="165">
        <f>god</f>
        <v>2026</v>
      </c>
      <c r="AL6" s="944"/>
      <c r="AM6" s="944"/>
      <c r="AN6" s="944"/>
      <c r="AO6" s="945"/>
      <c r="AP6" s="945"/>
    </row>
    <row r="7" spans="1:42" ht="12" hidden="1" customHeight="1">
      <c r="F7" s="167"/>
      <c r="T7" s="150"/>
      <c r="U7" s="150"/>
      <c r="V7" s="150"/>
      <c r="W7" s="150"/>
      <c r="X7" s="150"/>
      <c r="Y7" s="150"/>
      <c r="Z7" s="150"/>
      <c r="AB7" s="167"/>
      <c r="AD7" s="167"/>
      <c r="AE7" s="150" t="str">
        <f>AE25</f>
        <v>Предложение организации</v>
      </c>
      <c r="AF7" s="150" t="str">
        <f>AF25</f>
        <v>Версия органа регулирования</v>
      </c>
    </row>
    <row r="8" spans="1:42" ht="12" hidden="1" customHeight="1">
      <c r="F8" s="167"/>
      <c r="T8" s="150"/>
      <c r="U8" s="150"/>
      <c r="V8" s="150"/>
      <c r="W8" s="150"/>
      <c r="X8" s="150"/>
      <c r="Y8" s="150"/>
      <c r="Z8" s="150"/>
      <c r="AB8" s="167"/>
      <c r="AD8" s="167"/>
      <c r="AE8" s="150" t="str">
        <f>AE6&amp;AE7</f>
        <v>2024Предложение организации</v>
      </c>
      <c r="AF8" s="150" t="str">
        <f>AF6&amp;AF7</f>
        <v>2026Версия органа регулирования</v>
      </c>
    </row>
    <row r="9" spans="1:42" s="943" customFormat="1" ht="12" hidden="1" customHeight="1">
      <c r="A9" s="890" t="s">
        <v>327</v>
      </c>
      <c r="B9" s="878"/>
      <c r="E9" s="878"/>
      <c r="Q9" s="923"/>
      <c r="R9" s="923"/>
      <c r="T9" s="891"/>
      <c r="U9" s="891"/>
      <c r="V9" s="891"/>
      <c r="W9" s="891"/>
      <c r="X9" s="891"/>
      <c r="Y9" s="891"/>
      <c r="Z9" s="891"/>
      <c r="AE9" s="943">
        <f>god-2</f>
        <v>2024</v>
      </c>
      <c r="AF9" s="943">
        <f>god</f>
        <v>2026</v>
      </c>
      <c r="AL9" s="944"/>
      <c r="AM9" s="944"/>
      <c r="AN9" s="944"/>
      <c r="AO9" s="945"/>
      <c r="AP9" s="945"/>
    </row>
    <row r="10" spans="1:42" s="943" customFormat="1" ht="12" hidden="1" customHeight="1">
      <c r="A10" s="890" t="s">
        <v>328</v>
      </c>
      <c r="B10" s="878"/>
      <c r="E10" s="878"/>
      <c r="Q10" s="923"/>
      <c r="R10" s="923"/>
      <c r="T10" s="891"/>
      <c r="U10" s="891"/>
      <c r="V10" s="891"/>
      <c r="W10" s="891"/>
      <c r="X10" s="891"/>
      <c r="Y10" s="891"/>
      <c r="Z10" s="891"/>
      <c r="AE10" s="943" t="str">
        <f>AE25</f>
        <v>Предложение организации</v>
      </c>
      <c r="AF10" s="943" t="str">
        <f>AF25</f>
        <v>Версия органа регулирования</v>
      </c>
      <c r="AL10" s="944"/>
      <c r="AM10" s="944"/>
      <c r="AN10" s="944"/>
      <c r="AO10" s="945"/>
      <c r="AP10" s="945"/>
    </row>
    <row r="11" spans="1:42" s="943" customFormat="1" ht="12" hidden="1" customHeight="1">
      <c r="A11" s="890" t="s">
        <v>1571</v>
      </c>
      <c r="B11" s="878"/>
      <c r="E11" s="878"/>
      <c r="G11" s="946"/>
      <c r="H11" s="946"/>
      <c r="I11" s="946"/>
      <c r="J11" s="946"/>
      <c r="K11" s="946"/>
      <c r="L11" s="946"/>
      <c r="M11" s="946"/>
      <c r="N11" s="946"/>
      <c r="O11" s="946"/>
      <c r="P11" s="946"/>
      <c r="Q11" s="925"/>
      <c r="R11" s="925"/>
      <c r="S11" s="946"/>
      <c r="T11" s="891"/>
      <c r="U11" s="891"/>
      <c r="V11" s="891"/>
      <c r="W11" s="891"/>
      <c r="X11" s="891"/>
      <c r="Y11" s="891"/>
      <c r="Z11" s="891"/>
      <c r="AC11" s="947"/>
      <c r="AG11" s="943" t="str">
        <f>AG24</f>
        <v>Указание на подтверждающие документы / URL-ссылка на копии подтверждающих документов</v>
      </c>
      <c r="AH11" s="943" t="str">
        <f>AH24</f>
        <v>Ссылка на правовую норму (основание для принятия показателя в расчет тарифа)</v>
      </c>
      <c r="AI11" s="943"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944"/>
      <c r="AM11" s="944"/>
      <c r="AN11" s="944"/>
      <c r="AO11" s="945"/>
      <c r="AP11" s="945"/>
    </row>
    <row r="12" spans="1:42" s="943" customFormat="1" ht="12" hidden="1" customHeight="1">
      <c r="A12" s="890" t="s">
        <v>1572</v>
      </c>
      <c r="B12" s="878"/>
      <c r="E12" s="878"/>
      <c r="G12" s="946"/>
      <c r="H12" s="946"/>
      <c r="I12" s="946"/>
      <c r="J12" s="946"/>
      <c r="K12" s="946"/>
      <c r="L12" s="946"/>
      <c r="M12" s="946"/>
      <c r="N12" s="946"/>
      <c r="O12" s="946"/>
      <c r="P12" s="946"/>
      <c r="Q12" s="925"/>
      <c r="R12" s="925"/>
      <c r="S12" s="946"/>
      <c r="T12" s="891"/>
      <c r="U12" s="891"/>
      <c r="V12" s="891"/>
      <c r="W12" s="891"/>
      <c r="X12" s="891"/>
      <c r="Y12" s="891"/>
      <c r="Z12" s="891"/>
      <c r="AC12" s="947" t="s">
        <v>277</v>
      </c>
      <c r="AL12" s="944"/>
      <c r="AM12" s="944"/>
      <c r="AN12" s="944"/>
      <c r="AO12" s="945"/>
      <c r="AP12" s="945"/>
    </row>
    <row r="13" spans="1:42" s="165" customFormat="1" ht="12" hidden="1" customHeight="1">
      <c r="B13" s="614"/>
      <c r="E13" s="623"/>
      <c r="G13" s="167"/>
      <c r="H13" s="167"/>
      <c r="I13" s="167"/>
      <c r="J13" s="167"/>
      <c r="K13" s="167"/>
      <c r="L13" s="167"/>
      <c r="M13" s="167"/>
      <c r="N13" s="167"/>
      <c r="O13" s="167"/>
      <c r="P13" s="167"/>
      <c r="Q13" s="130"/>
      <c r="R13" s="130"/>
      <c r="S13" s="167"/>
      <c r="T13" s="113"/>
      <c r="U13" s="113"/>
      <c r="V13" s="113"/>
      <c r="W13" s="113"/>
      <c r="X13" s="113"/>
      <c r="Y13" s="113"/>
      <c r="Z13" s="113"/>
      <c r="AC13" s="169"/>
      <c r="AL13" s="944"/>
      <c r="AM13" s="944"/>
      <c r="AN13" s="944"/>
      <c r="AO13" s="945"/>
      <c r="AP13" s="945"/>
    </row>
    <row r="14" spans="1:42" s="165" customFormat="1" ht="12" hidden="1" customHeight="1">
      <c r="B14" s="614"/>
      <c r="E14" s="623"/>
      <c r="G14" s="167"/>
      <c r="H14" s="167"/>
      <c r="I14" s="167"/>
      <c r="J14" s="167"/>
      <c r="K14" s="167"/>
      <c r="L14" s="167"/>
      <c r="M14" s="167"/>
      <c r="N14" s="167"/>
      <c r="O14" s="167"/>
      <c r="P14" s="167"/>
      <c r="Q14" s="130"/>
      <c r="R14" s="130"/>
      <c r="S14" s="167"/>
      <c r="T14" s="113"/>
      <c r="U14" s="113"/>
      <c r="V14" s="113"/>
      <c r="W14" s="113"/>
      <c r="X14" s="113"/>
      <c r="Y14" s="113"/>
      <c r="Z14" s="113"/>
      <c r="AC14" s="169"/>
      <c r="AL14" s="944"/>
      <c r="AM14" s="944"/>
      <c r="AN14" s="944"/>
      <c r="AO14" s="945"/>
      <c r="AP14" s="945"/>
    </row>
    <row r="15" spans="1:42" s="165" customFormat="1" ht="12" hidden="1" customHeight="1">
      <c r="B15" s="614"/>
      <c r="E15" s="623"/>
      <c r="G15" s="167"/>
      <c r="H15" s="167"/>
      <c r="I15" s="167"/>
      <c r="J15" s="167"/>
      <c r="K15" s="167"/>
      <c r="L15" s="167"/>
      <c r="M15" s="167"/>
      <c r="N15" s="167"/>
      <c r="O15" s="167"/>
      <c r="P15" s="167"/>
      <c r="Q15" s="130"/>
      <c r="R15" s="130"/>
      <c r="S15" s="167"/>
      <c r="T15" s="113"/>
      <c r="U15" s="113"/>
      <c r="V15" s="113"/>
      <c r="W15" s="113"/>
      <c r="X15" s="113"/>
      <c r="Y15" s="113"/>
      <c r="Z15" s="113"/>
      <c r="AC15" s="169"/>
      <c r="AL15" s="944"/>
      <c r="AM15" s="944"/>
      <c r="AN15" s="944"/>
      <c r="AO15" s="945"/>
      <c r="AP15" s="945"/>
    </row>
    <row r="16" spans="1:42" s="165" customFormat="1" ht="12" hidden="1" customHeight="1">
      <c r="B16" s="614"/>
      <c r="E16" s="623"/>
      <c r="G16" s="167"/>
      <c r="H16" s="167"/>
      <c r="I16" s="167"/>
      <c r="J16" s="167"/>
      <c r="K16" s="167"/>
      <c r="L16" s="167"/>
      <c r="M16" s="167"/>
      <c r="N16" s="167"/>
      <c r="O16" s="167"/>
      <c r="P16" s="167"/>
      <c r="Q16" s="130"/>
      <c r="R16" s="130"/>
      <c r="S16" s="167"/>
      <c r="T16" s="113"/>
      <c r="U16" s="113"/>
      <c r="V16" s="113"/>
      <c r="W16" s="113"/>
      <c r="X16" s="113"/>
      <c r="Y16" s="113"/>
      <c r="Z16" s="113"/>
      <c r="AC16" s="169"/>
      <c r="AL16" s="944"/>
      <c r="AM16" s="944"/>
      <c r="AN16" s="944"/>
      <c r="AO16" s="945"/>
      <c r="AP16" s="945"/>
    </row>
    <row r="17" spans="1:42" s="165" customFormat="1" ht="12" hidden="1" customHeight="1">
      <c r="B17" s="614"/>
      <c r="E17" s="623"/>
      <c r="G17" s="167"/>
      <c r="H17" s="167"/>
      <c r="I17" s="167"/>
      <c r="J17" s="167"/>
      <c r="K17" s="167"/>
      <c r="L17" s="167"/>
      <c r="M17" s="167"/>
      <c r="N17" s="167"/>
      <c r="O17" s="167"/>
      <c r="P17" s="167"/>
      <c r="Q17" s="130"/>
      <c r="R17" s="130"/>
      <c r="S17" s="167"/>
      <c r="T17" s="113"/>
      <c r="U17" s="113"/>
      <c r="V17" s="113"/>
      <c r="W17" s="113"/>
      <c r="X17" s="113"/>
      <c r="Y17" s="113"/>
      <c r="Z17" s="113"/>
      <c r="AC17" s="169"/>
      <c r="AL17" s="944"/>
      <c r="AM17" s="944"/>
      <c r="AN17" s="944"/>
      <c r="AO17" s="945"/>
      <c r="AP17" s="945"/>
    </row>
    <row r="18" spans="1:42" s="165" customFormat="1" ht="12" hidden="1" customHeight="1">
      <c r="B18" s="614"/>
      <c r="E18" s="623"/>
      <c r="G18" s="167"/>
      <c r="H18" s="167"/>
      <c r="I18" s="167"/>
      <c r="J18" s="167"/>
      <c r="K18" s="167"/>
      <c r="L18" s="167"/>
      <c r="M18" s="167"/>
      <c r="N18" s="167"/>
      <c r="O18" s="167"/>
      <c r="P18" s="167"/>
      <c r="Q18" s="130"/>
      <c r="R18" s="130"/>
      <c r="S18" s="167"/>
      <c r="T18" s="113"/>
      <c r="U18" s="113"/>
      <c r="V18" s="113"/>
      <c r="W18" s="113"/>
      <c r="X18" s="113"/>
      <c r="Y18" s="113"/>
      <c r="Z18" s="113"/>
      <c r="AC18" s="169"/>
      <c r="AL18" s="944"/>
      <c r="AM18" s="944"/>
      <c r="AN18" s="944"/>
      <c r="AO18" s="945"/>
      <c r="AP18" s="945"/>
    </row>
    <row r="19" spans="1:42" s="165" customFormat="1" ht="12" hidden="1" customHeight="1">
      <c r="B19" s="614"/>
      <c r="E19" s="623"/>
      <c r="G19" s="167"/>
      <c r="H19" s="167"/>
      <c r="I19" s="167"/>
      <c r="J19" s="167"/>
      <c r="K19" s="167"/>
      <c r="L19" s="167"/>
      <c r="M19" s="167"/>
      <c r="N19" s="167"/>
      <c r="O19" s="167"/>
      <c r="P19" s="167"/>
      <c r="Q19" s="130"/>
      <c r="R19" s="130"/>
      <c r="S19" s="167"/>
      <c r="T19" s="113"/>
      <c r="U19" s="113"/>
      <c r="V19" s="113"/>
      <c r="W19" s="113"/>
      <c r="X19" s="113"/>
      <c r="Y19" s="113"/>
      <c r="Z19" s="113"/>
      <c r="AC19" s="169"/>
      <c r="AL19" s="944"/>
      <c r="AM19" s="944"/>
      <c r="AN19" s="944"/>
      <c r="AO19" s="945"/>
      <c r="AP19" s="945"/>
    </row>
    <row r="20" spans="1:42" s="165" customFormat="1" ht="12" hidden="1" customHeight="1">
      <c r="B20" s="614"/>
      <c r="E20" s="623"/>
      <c r="G20" s="167"/>
      <c r="H20" s="167"/>
      <c r="I20" s="167"/>
      <c r="J20" s="167"/>
      <c r="K20" s="167"/>
      <c r="L20" s="167"/>
      <c r="M20" s="167"/>
      <c r="N20" s="167"/>
      <c r="O20" s="167"/>
      <c r="P20" s="167"/>
      <c r="Q20" s="130"/>
      <c r="R20" s="130"/>
      <c r="S20" s="167"/>
      <c r="T20" s="113"/>
      <c r="U20" s="113"/>
      <c r="V20" s="113"/>
      <c r="W20" s="113"/>
      <c r="X20" s="113"/>
      <c r="Y20" s="113"/>
      <c r="Z20" s="113"/>
      <c r="AC20" s="169"/>
      <c r="AL20" s="944"/>
      <c r="AM20" s="944"/>
      <c r="AN20" s="944"/>
      <c r="AO20" s="945"/>
      <c r="AP20" s="945"/>
    </row>
    <row r="21" spans="1:42" ht="14.65" customHeight="1">
      <c r="E21" s="623">
        <v>15</v>
      </c>
      <c r="AA21" s="646"/>
      <c r="AB21" s="167"/>
      <c r="AC21" s="315" t="str">
        <f>tpl_title</f>
        <v>Кемеровская область / 2026 / АО "СУЭК-Кузбасс" (ИНН:4212024138, КПП:421201001) / ДПР: 2024-2028</v>
      </c>
      <c r="AD21" s="167"/>
    </row>
    <row r="22" spans="1:42" s="1018" customFormat="1" ht="33.200000000000003" customHeight="1">
      <c r="A22" s="120"/>
      <c r="B22" s="614"/>
      <c r="C22" s="120"/>
      <c r="D22" s="120"/>
      <c r="E22" s="623">
        <v>34</v>
      </c>
      <c r="F22" s="120"/>
      <c r="Q22" s="130"/>
      <c r="R22" s="130"/>
      <c r="T22" s="116"/>
      <c r="U22" s="116"/>
      <c r="V22" s="116"/>
      <c r="W22" s="116"/>
      <c r="X22" s="116"/>
      <c r="Y22" s="116"/>
      <c r="Z22" s="116"/>
      <c r="AB22" s="1528" t="s">
        <v>67</v>
      </c>
      <c r="AC22" s="1528"/>
      <c r="AD22" s="1528"/>
      <c r="AE22" s="1528"/>
      <c r="AF22" s="1528"/>
      <c r="AG22" s="1528"/>
      <c r="AH22" s="1528"/>
      <c r="AI22" s="1528"/>
      <c r="AL22" s="920"/>
      <c r="AM22" s="920"/>
      <c r="AN22" s="920"/>
      <c r="AO22" s="921"/>
      <c r="AP22" s="921"/>
    </row>
    <row r="23" spans="1:42" s="1018" customFormat="1" ht="9.9499999999999993" customHeight="1">
      <c r="A23" s="120"/>
      <c r="B23" s="614"/>
      <c r="C23" s="120"/>
      <c r="D23" s="120"/>
      <c r="E23" s="623">
        <v>10.199999999999999</v>
      </c>
      <c r="F23" s="120"/>
      <c r="Q23" s="130"/>
      <c r="R23" s="130"/>
      <c r="T23" s="116"/>
      <c r="U23" s="116"/>
      <c r="V23" s="116"/>
      <c r="W23" s="116"/>
      <c r="X23" s="116"/>
      <c r="Y23" s="116"/>
      <c r="Z23" s="116"/>
      <c r="AB23" s="168"/>
      <c r="AC23" s="168"/>
      <c r="AD23" s="168"/>
      <c r="AE23" s="168"/>
      <c r="AF23" s="168"/>
      <c r="AG23" s="168"/>
      <c r="AH23" s="168"/>
      <c r="AI23" s="168"/>
      <c r="AL23" s="920"/>
      <c r="AM23" s="920"/>
      <c r="AN23" s="920"/>
      <c r="AO23" s="921"/>
      <c r="AP23" s="921"/>
    </row>
    <row r="24" spans="1:42" s="166" customFormat="1" ht="24.2" customHeight="1">
      <c r="A24" s="169"/>
      <c r="B24" s="618"/>
      <c r="C24" s="169"/>
      <c r="D24" s="169"/>
      <c r="E24" s="629">
        <v>24.8</v>
      </c>
      <c r="F24" s="169"/>
      <c r="Q24" s="723"/>
      <c r="R24" s="723"/>
      <c r="T24" s="109"/>
      <c r="U24" s="109"/>
      <c r="V24" s="109"/>
      <c r="W24" s="109"/>
      <c r="X24" s="109"/>
      <c r="Y24" s="109"/>
      <c r="Z24" s="109"/>
      <c r="AB24" s="1529" t="s">
        <v>288</v>
      </c>
      <c r="AC24" s="1496" t="s">
        <v>330</v>
      </c>
      <c r="AD24" s="1496" t="s">
        <v>331</v>
      </c>
      <c r="AE24" s="1009" t="str">
        <f>god&amp;" год"</f>
        <v>2026 год</v>
      </c>
      <c r="AF24" s="96" t="str">
        <f>god&amp;" год"</f>
        <v>2026 год</v>
      </c>
      <c r="AG24" s="1493" t="s">
        <v>1090</v>
      </c>
      <c r="AH24" s="1493" t="s">
        <v>486</v>
      </c>
      <c r="AI24" s="1493" t="s">
        <v>1091</v>
      </c>
      <c r="AL24" s="944"/>
      <c r="AM24" s="948"/>
      <c r="AN24" s="948"/>
      <c r="AO24" s="949"/>
      <c r="AP24" s="949"/>
    </row>
    <row r="25" spans="1:42" s="166" customFormat="1" ht="44.65" customHeight="1">
      <c r="A25" s="169"/>
      <c r="B25" s="618"/>
      <c r="C25" s="169"/>
      <c r="D25" s="169"/>
      <c r="E25" s="629">
        <v>45.8</v>
      </c>
      <c r="F25" s="169"/>
      <c r="Q25" s="723"/>
      <c r="R25" s="723"/>
      <c r="T25" s="109"/>
      <c r="U25" s="109"/>
      <c r="V25" s="109"/>
      <c r="W25" s="109"/>
      <c r="X25" s="109"/>
      <c r="Y25" s="109"/>
      <c r="Z25" s="109"/>
      <c r="AB25" s="1530"/>
      <c r="AC25" s="1496"/>
      <c r="AD25" s="1496"/>
      <c r="AE25" s="1010" t="s">
        <v>305</v>
      </c>
      <c r="AF25" s="96" t="s">
        <v>1356</v>
      </c>
      <c r="AG25" s="1493"/>
      <c r="AH25" s="1493"/>
      <c r="AI25" s="1493"/>
      <c r="AL25" s="944"/>
      <c r="AM25" s="948"/>
      <c r="AN25" s="948"/>
      <c r="AO25" s="949"/>
      <c r="AP25" s="949"/>
    </row>
    <row r="26" spans="1:42" s="166" customFormat="1" ht="14.25" hidden="1" customHeight="1">
      <c r="A26" s="169"/>
      <c r="B26" s="618"/>
      <c r="C26" s="169"/>
      <c r="D26" s="169"/>
      <c r="E26" s="629">
        <v>0</v>
      </c>
      <c r="F26" s="169"/>
      <c r="Q26" s="723"/>
      <c r="R26" s="723"/>
      <c r="T26" s="109"/>
      <c r="U26" s="109"/>
      <c r="V26" s="109"/>
      <c r="W26" s="109"/>
      <c r="X26" s="109"/>
      <c r="Y26" s="109"/>
      <c r="Z26" s="109"/>
      <c r="AB26" s="544"/>
      <c r="AC26" s="544"/>
      <c r="AD26" s="544"/>
      <c r="AE26" s="109"/>
      <c r="AF26" s="109"/>
      <c r="AG26" s="169"/>
      <c r="AH26" s="169"/>
      <c r="AI26" s="169"/>
      <c r="AL26" s="944"/>
      <c r="AM26" s="948"/>
      <c r="AN26" s="948"/>
      <c r="AO26" s="949"/>
      <c r="AP26" s="949"/>
    </row>
    <row r="27" spans="1:42" s="157" customFormat="1" ht="16.7" hidden="1" customHeight="1">
      <c r="E27" s="623">
        <v>17.100000000000001</v>
      </c>
      <c r="F27" s="714">
        <f>X27</f>
        <v>0</v>
      </c>
      <c r="G27" s="566" t="str">
        <f>INDEX('Общие сведения'!$AK$169:$AK$202,MATCH($F27,'Общие сведения'!$Z$169:$Z$202,0))</f>
        <v>одноставочный</v>
      </c>
      <c r="I27" s="150" t="str">
        <f>INDEX('Общие сведения'!$AE$169:$AE$202,MATCH($F27,'Общие сведения'!$Z$169:$Z$202,0))</f>
        <v>Теплоснабжение</v>
      </c>
      <c r="K27" s="150" t="str">
        <f>INDEX('Общие сведения'!$AL$169:$AL$202,MATCH($F27,'Общие сведения'!$Z$169:$Z$202,0))</f>
        <v>Производство теплоносителя</v>
      </c>
      <c r="T27" s="634" t="b">
        <f t="shared" ref="T27:T74" si="0">AND(F27&gt;0,OR(ISBLANK(Y27),Y27&gt;0))</f>
        <v>0</v>
      </c>
      <c r="V27" s="113" t="s">
        <v>228</v>
      </c>
      <c r="X27" s="1526">
        <v>0</v>
      </c>
      <c r="Z27" s="1403"/>
      <c r="AB27" s="252" t="str">
        <f>INDEX('Общие сведения'!$AG$169:$AG$202,MATCH($F27,'Общие сведения'!$Z$169:$Z$202,0))</f>
        <v>Тариф 0 (Теплоснабжение) - Тарифы на теплоноситель</v>
      </c>
      <c r="AC27" s="253"/>
      <c r="AD27" s="253"/>
      <c r="AE27" s="253"/>
      <c r="AF27" s="253"/>
      <c r="AG27" s="253"/>
      <c r="AH27" s="253"/>
      <c r="AI27" s="253"/>
      <c r="AL27" s="912"/>
      <c r="AM27" s="912"/>
      <c r="AN27" s="912"/>
      <c r="AO27" s="915"/>
      <c r="AP27" s="915"/>
    </row>
    <row r="28" spans="1:42" s="157" customFormat="1" ht="16.7" hidden="1" customHeight="1">
      <c r="E28" s="623">
        <v>17.100000000000001</v>
      </c>
      <c r="F28" s="714">
        <f t="shared" ref="F28:F50" ca="1" si="1">OFFSET(G28,-1,-1)</f>
        <v>0</v>
      </c>
      <c r="T28" s="634" t="b">
        <f t="shared" ca="1" si="0"/>
        <v>0</v>
      </c>
      <c r="X28" s="1403"/>
      <c r="Z28" s="1403"/>
      <c r="AB28" s="444">
        <v>1</v>
      </c>
      <c r="AC28" s="778" t="s">
        <v>1573</v>
      </c>
      <c r="AD28" s="779"/>
      <c r="AE28" s="779"/>
      <c r="AF28" s="779"/>
      <c r="AG28" s="779"/>
      <c r="AH28" s="779"/>
      <c r="AI28" s="779"/>
      <c r="AL28" s="912"/>
      <c r="AM28" s="912"/>
      <c r="AN28" s="912"/>
      <c r="AO28" s="915"/>
      <c r="AP28" s="915"/>
    </row>
    <row r="29" spans="1:42" s="157" customFormat="1" ht="39" hidden="1" customHeight="1">
      <c r="E29" s="623">
        <v>40</v>
      </c>
      <c r="F29" s="714">
        <f t="shared" ca="1" si="1"/>
        <v>0</v>
      </c>
      <c r="T29" s="634" t="b">
        <f t="shared" ca="1" si="0"/>
        <v>0</v>
      </c>
      <c r="X29" s="1403"/>
      <c r="Z29" s="1403"/>
      <c r="AB29" s="444" t="s">
        <v>339</v>
      </c>
      <c r="AC29" s="223" t="s">
        <v>1574</v>
      </c>
      <c r="AD29" s="93" t="s">
        <v>1204</v>
      </c>
      <c r="AE29" s="11"/>
      <c r="AF29" s="11"/>
      <c r="AG29" s="80"/>
      <c r="AH29" s="80"/>
      <c r="AI29" s="80"/>
      <c r="AL29" s="912" t="s">
        <v>1575</v>
      </c>
      <c r="AM29" s="912"/>
      <c r="AN29" s="912"/>
      <c r="AO29" s="915"/>
      <c r="AP29" s="915"/>
    </row>
    <row r="30" spans="1:42" s="157" customFormat="1" ht="39" hidden="1" customHeight="1">
      <c r="E30" s="623">
        <v>40</v>
      </c>
      <c r="F30" s="714">
        <f t="shared" ca="1" si="1"/>
        <v>0</v>
      </c>
      <c r="T30" s="634" t="b">
        <f t="shared" ca="1" si="0"/>
        <v>0</v>
      </c>
      <c r="X30" s="1403"/>
      <c r="Z30" s="1403"/>
      <c r="AB30" s="444" t="s">
        <v>503</v>
      </c>
      <c r="AC30" s="223" t="s">
        <v>1576</v>
      </c>
      <c r="AD30" s="93" t="s">
        <v>356</v>
      </c>
      <c r="AE30" s="11"/>
      <c r="AF30" s="11"/>
      <c r="AG30" s="80"/>
      <c r="AH30" s="80"/>
      <c r="AI30" s="80"/>
      <c r="AL30" s="912" t="s">
        <v>1577</v>
      </c>
      <c r="AM30" s="912"/>
      <c r="AN30" s="912"/>
      <c r="AO30" s="915"/>
      <c r="AP30" s="915"/>
    </row>
    <row r="31" spans="1:42" s="157" customFormat="1" ht="34.15" hidden="1" customHeight="1">
      <c r="E31" s="623">
        <v>35</v>
      </c>
      <c r="F31" s="714">
        <f t="shared" ca="1" si="1"/>
        <v>0</v>
      </c>
      <c r="T31" s="634" t="b">
        <f t="shared" ca="1" si="0"/>
        <v>0</v>
      </c>
      <c r="X31" s="1403"/>
      <c r="Z31" s="1403"/>
      <c r="AB31" s="444" t="s">
        <v>749</v>
      </c>
      <c r="AC31" s="223" t="s">
        <v>1578</v>
      </c>
      <c r="AD31" s="93" t="s">
        <v>1548</v>
      </c>
      <c r="AE31" s="11">
        <f>IFERROR(AE29/AE30,0)</f>
        <v>0</v>
      </c>
      <c r="AF31" s="11">
        <f>IFERROR(AF29/AF30,0)</f>
        <v>0</v>
      </c>
      <c r="AG31" s="80"/>
      <c r="AH31" s="80"/>
      <c r="AI31" s="80"/>
      <c r="AL31" s="912" t="s">
        <v>1579</v>
      </c>
      <c r="AM31" s="912"/>
      <c r="AN31" s="912"/>
      <c r="AO31" s="915"/>
      <c r="AP31" s="915"/>
    </row>
    <row r="32" spans="1:42" s="157" customFormat="1" ht="34.15" hidden="1" customHeight="1">
      <c r="E32" s="623">
        <v>35</v>
      </c>
      <c r="F32" s="714">
        <f t="shared" ca="1" si="1"/>
        <v>0</v>
      </c>
      <c r="T32" s="634" t="b">
        <f t="shared" ca="1" si="0"/>
        <v>0</v>
      </c>
      <c r="X32" s="1403"/>
      <c r="Z32" s="1403"/>
      <c r="AB32" s="444" t="s">
        <v>753</v>
      </c>
      <c r="AC32" s="223" t="s">
        <v>1580</v>
      </c>
      <c r="AD32" s="93"/>
      <c r="AE32" s="81"/>
      <c r="AF32" s="81"/>
      <c r="AG32" s="80"/>
      <c r="AH32" s="80"/>
      <c r="AI32" s="80"/>
      <c r="AL32" s="912" t="s">
        <v>1581</v>
      </c>
      <c r="AM32" s="912"/>
      <c r="AN32" s="912"/>
      <c r="AO32" s="915"/>
      <c r="AP32" s="915"/>
    </row>
    <row r="33" spans="5:42" s="157" customFormat="1" ht="34.15" hidden="1" customHeight="1">
      <c r="E33" s="623">
        <v>35</v>
      </c>
      <c r="F33" s="714">
        <f t="shared" ca="1" si="1"/>
        <v>0</v>
      </c>
      <c r="T33" s="634" t="b">
        <f t="shared" ca="1" si="0"/>
        <v>0</v>
      </c>
      <c r="X33" s="1403"/>
      <c r="Z33" s="1403"/>
      <c r="AB33" s="444" t="s">
        <v>860</v>
      </c>
      <c r="AC33" s="780" t="s">
        <v>1582</v>
      </c>
      <c r="AD33" s="781" t="s">
        <v>1548</v>
      </c>
      <c r="AE33" s="12">
        <f>AE31*AE32</f>
        <v>0</v>
      </c>
      <c r="AF33" s="12">
        <f>AF31*AF32</f>
        <v>0</v>
      </c>
      <c r="AG33" s="82"/>
      <c r="AH33" s="82"/>
      <c r="AI33" s="82"/>
      <c r="AL33" s="912" t="s">
        <v>1583</v>
      </c>
      <c r="AM33" s="912"/>
      <c r="AN33" s="912"/>
      <c r="AO33" s="915"/>
      <c r="AP33" s="915"/>
    </row>
    <row r="34" spans="5:42" s="157" customFormat="1" ht="16.7" hidden="1" customHeight="1">
      <c r="E34" s="623">
        <v>17.100000000000001</v>
      </c>
      <c r="F34" s="714">
        <f t="shared" ca="1" si="1"/>
        <v>0</v>
      </c>
      <c r="T34" s="634" t="b">
        <f t="shared" ca="1" si="0"/>
        <v>0</v>
      </c>
      <c r="X34" s="1403"/>
      <c r="Z34" s="1403"/>
      <c r="AB34" s="444" t="s">
        <v>863</v>
      </c>
      <c r="AC34" s="780" t="s">
        <v>1584</v>
      </c>
      <c r="AD34" s="781" t="s">
        <v>388</v>
      </c>
      <c r="AE34" s="12"/>
      <c r="AF34" s="12"/>
      <c r="AG34" s="82"/>
      <c r="AH34" s="82"/>
      <c r="AI34" s="82"/>
      <c r="AL34" s="912" t="s">
        <v>1585</v>
      </c>
      <c r="AM34" s="912"/>
      <c r="AN34" s="912"/>
      <c r="AO34" s="915"/>
      <c r="AP34" s="915"/>
    </row>
    <row r="35" spans="5:42" s="157" customFormat="1" ht="39" hidden="1" customHeight="1">
      <c r="E35" s="623">
        <v>40</v>
      </c>
      <c r="F35" s="714">
        <f t="shared" ca="1" si="1"/>
        <v>0</v>
      </c>
      <c r="T35" s="634" t="b">
        <f t="shared" ca="1" si="0"/>
        <v>0</v>
      </c>
      <c r="X35" s="1403"/>
      <c r="Z35" s="1403"/>
      <c r="AB35" s="444" t="s">
        <v>866</v>
      </c>
      <c r="AC35" s="780" t="s">
        <v>1586</v>
      </c>
      <c r="AD35" s="781" t="s">
        <v>356</v>
      </c>
      <c r="AE35" s="12"/>
      <c r="AF35" s="12"/>
      <c r="AG35" s="82"/>
      <c r="AH35" s="82"/>
      <c r="AI35" s="82"/>
      <c r="AL35" s="912" t="s">
        <v>1587</v>
      </c>
      <c r="AM35" s="912"/>
      <c r="AN35" s="912"/>
      <c r="AO35" s="915"/>
      <c r="AP35" s="915"/>
    </row>
    <row r="36" spans="5:42" s="157" customFormat="1" ht="16.7" hidden="1" customHeight="1">
      <c r="E36" s="623">
        <v>17.100000000000001</v>
      </c>
      <c r="F36" s="714">
        <f t="shared" ca="1" si="1"/>
        <v>0</v>
      </c>
      <c r="T36" s="634" t="b">
        <f t="shared" ca="1" si="0"/>
        <v>0</v>
      </c>
      <c r="X36" s="1403"/>
      <c r="Z36" s="1403"/>
      <c r="AB36" s="444" t="s">
        <v>869</v>
      </c>
      <c r="AC36" s="780" t="s">
        <v>1588</v>
      </c>
      <c r="AD36" s="781" t="s">
        <v>1204</v>
      </c>
      <c r="AE36" s="12">
        <f>AE33*AE35*(1+AE34)</f>
        <v>0</v>
      </c>
      <c r="AF36" s="12">
        <f>AF33*AF35*(1+AF34)</f>
        <v>0</v>
      </c>
      <c r="AG36" s="82"/>
      <c r="AH36" s="82"/>
      <c r="AI36" s="82"/>
      <c r="AL36" s="912" t="s">
        <v>1211</v>
      </c>
      <c r="AM36" s="912"/>
      <c r="AN36" s="912"/>
      <c r="AO36" s="915"/>
      <c r="AP36" s="915"/>
    </row>
    <row r="37" spans="5:42" s="157" customFormat="1" ht="16.7" hidden="1" customHeight="1">
      <c r="E37" s="623">
        <v>17.100000000000001</v>
      </c>
      <c r="F37" s="714">
        <f t="shared" ca="1" si="1"/>
        <v>0</v>
      </c>
      <c r="T37" s="634" t="b">
        <f t="shared" ca="1" si="0"/>
        <v>0</v>
      </c>
      <c r="X37" s="1403"/>
      <c r="Z37" s="1403"/>
      <c r="AB37" s="867">
        <v>2</v>
      </c>
      <c r="AC37" s="778" t="s">
        <v>1589</v>
      </c>
      <c r="AD37" s="779"/>
      <c r="AE37" s="795"/>
      <c r="AF37" s="795"/>
      <c r="AG37" s="778"/>
      <c r="AH37" s="778"/>
      <c r="AI37" s="778"/>
      <c r="AL37" s="912"/>
      <c r="AM37" s="912"/>
      <c r="AN37" s="912"/>
      <c r="AO37" s="915"/>
      <c r="AP37" s="915"/>
    </row>
    <row r="38" spans="5:42" s="157" customFormat="1" ht="39" hidden="1" customHeight="1">
      <c r="E38" s="623">
        <v>40</v>
      </c>
      <c r="F38" s="714">
        <f t="shared" ca="1" si="1"/>
        <v>0</v>
      </c>
      <c r="T38" s="634" t="b">
        <f t="shared" ca="1" si="0"/>
        <v>0</v>
      </c>
      <c r="X38" s="1403"/>
      <c r="Z38" s="1403"/>
      <c r="AB38" s="222" t="s">
        <v>346</v>
      </c>
      <c r="AC38" s="785" t="s">
        <v>1590</v>
      </c>
      <c r="AD38" s="93" t="s">
        <v>1204</v>
      </c>
      <c r="AE38" s="40">
        <f>SUM(AE39:AE40)</f>
        <v>0</v>
      </c>
      <c r="AF38" s="40">
        <f>SUM(AF39:AF40)</f>
        <v>0</v>
      </c>
      <c r="AG38" s="82"/>
      <c r="AH38" s="82"/>
      <c r="AI38" s="82"/>
      <c r="AL38" s="912" t="s">
        <v>1591</v>
      </c>
      <c r="AM38" s="912"/>
      <c r="AN38" s="912"/>
      <c r="AO38" s="915"/>
      <c r="AP38" s="915"/>
    </row>
    <row r="39" spans="5:42" s="157" customFormat="1" ht="16.5" hidden="1" customHeight="1">
      <c r="E39" s="623">
        <v>17</v>
      </c>
      <c r="F39" s="714">
        <f t="shared" ca="1" si="1"/>
        <v>0</v>
      </c>
      <c r="T39" s="634" t="b">
        <f t="shared" ca="1" si="0"/>
        <v>0</v>
      </c>
      <c r="W39" s="113" t="s">
        <v>170</v>
      </c>
      <c r="X39" s="1403"/>
      <c r="Y39" s="113">
        <v>0</v>
      </c>
      <c r="Z39" s="1403"/>
      <c r="AA39" s="709" t="s">
        <v>157</v>
      </c>
      <c r="AB39" s="222" t="str">
        <f>"2.1."&amp;Y39</f>
        <v>2.1.0</v>
      </c>
      <c r="AC39" s="83"/>
      <c r="AD39" s="93" t="s">
        <v>1204</v>
      </c>
      <c r="AE39" s="40"/>
      <c r="AF39" s="40"/>
      <c r="AG39" s="82"/>
      <c r="AH39" s="82"/>
      <c r="AI39" s="82"/>
      <c r="AL39" s="912" t="s">
        <v>1591</v>
      </c>
      <c r="AM39" s="912" t="s">
        <v>1592</v>
      </c>
      <c r="AN39" s="912">
        <f>AC39</f>
        <v>0</v>
      </c>
      <c r="AO39" s="915"/>
      <c r="AP39" s="915" t="b">
        <v>1</v>
      </c>
    </row>
    <row r="40" spans="5:42" s="157" customFormat="1" ht="16.5" hidden="1" customHeight="1">
      <c r="E40" s="623">
        <v>17</v>
      </c>
      <c r="F40" s="714">
        <f t="shared" ca="1" si="1"/>
        <v>0</v>
      </c>
      <c r="T40" s="634" t="b">
        <f t="shared" ca="1" si="0"/>
        <v>0</v>
      </c>
      <c r="W40" s="774" t="s">
        <v>764</v>
      </c>
      <c r="X40" s="1403"/>
      <c r="Z40" s="1403"/>
      <c r="AB40" s="236"/>
      <c r="AC40" s="562" t="s">
        <v>172</v>
      </c>
      <c r="AD40" s="237"/>
      <c r="AE40" s="237"/>
      <c r="AF40" s="237"/>
      <c r="AG40" s="237"/>
      <c r="AH40" s="237"/>
      <c r="AI40" s="237"/>
      <c r="AL40" s="912" t="str">
        <f>IF(AND(ISNUMBER(VALUE(TRIM(SUBSTITUTE(AB40,".","")))),TRIM(SUBSTITUTE(AB40,".",""))&lt;&gt;""),"P"&amp;SUBSTITUTE(AB40,".",""),"")</f>
        <v/>
      </c>
      <c r="AM40" s="912"/>
      <c r="AN40" s="912"/>
      <c r="AO40" s="915" t="s">
        <v>1592</v>
      </c>
      <c r="AP40" s="915"/>
    </row>
    <row r="41" spans="5:42" s="157" customFormat="1" ht="39" hidden="1" customHeight="1">
      <c r="E41" s="623">
        <v>40</v>
      </c>
      <c r="F41" s="714">
        <f t="shared" ca="1" si="1"/>
        <v>0</v>
      </c>
      <c r="T41" s="634" t="b">
        <f t="shared" ca="1" si="0"/>
        <v>0</v>
      </c>
      <c r="X41" s="1403"/>
      <c r="Z41" s="1403"/>
      <c r="AB41" s="222" t="s">
        <v>373</v>
      </c>
      <c r="AC41" s="785" t="s">
        <v>1593</v>
      </c>
      <c r="AD41" s="93" t="s">
        <v>491</v>
      </c>
      <c r="AE41" s="40">
        <f>SUM(AE42:AE43)</f>
        <v>0</v>
      </c>
      <c r="AF41" s="40">
        <f>SUM(AF42:AF43)</f>
        <v>0</v>
      </c>
      <c r="AG41" s="82"/>
      <c r="AH41" s="82"/>
      <c r="AI41" s="82"/>
      <c r="AL41" s="912" t="s">
        <v>1562</v>
      </c>
      <c r="AM41" s="912"/>
      <c r="AN41" s="912"/>
      <c r="AO41" s="915"/>
      <c r="AP41" s="915"/>
    </row>
    <row r="42" spans="5:42" s="157" customFormat="1" ht="16.7" hidden="1" customHeight="1">
      <c r="E42" s="623">
        <v>17.100000000000001</v>
      </c>
      <c r="F42" s="714">
        <f t="shared" ca="1" si="1"/>
        <v>0</v>
      </c>
      <c r="T42" s="634" t="b">
        <f t="shared" ca="1" si="0"/>
        <v>0</v>
      </c>
      <c r="W42" s="113" t="s">
        <v>170</v>
      </c>
      <c r="X42" s="1403"/>
      <c r="Y42" s="113">
        <v>0</v>
      </c>
      <c r="Z42" s="1403"/>
      <c r="AA42" s="709" t="s">
        <v>157</v>
      </c>
      <c r="AB42" s="222" t="str">
        <f>"2.2."&amp;Y42</f>
        <v>2.2.0</v>
      </c>
      <c r="AC42" s="83"/>
      <c r="AD42" s="93" t="s">
        <v>491</v>
      </c>
      <c r="AE42" s="40"/>
      <c r="AF42" s="40"/>
      <c r="AG42" s="82"/>
      <c r="AH42" s="82"/>
      <c r="AI42" s="82"/>
      <c r="AL42" s="912" t="s">
        <v>1562</v>
      </c>
      <c r="AM42" s="912" t="s">
        <v>1594</v>
      </c>
      <c r="AN42" s="912">
        <f>AC42</f>
        <v>0</v>
      </c>
      <c r="AO42" s="915"/>
      <c r="AP42" s="915" t="b">
        <v>1</v>
      </c>
    </row>
    <row r="43" spans="5:42" s="157" customFormat="1" ht="16.5" hidden="1" customHeight="1">
      <c r="E43" s="623">
        <v>17</v>
      </c>
      <c r="F43" s="714">
        <f t="shared" ca="1" si="1"/>
        <v>0</v>
      </c>
      <c r="T43" s="634" t="b">
        <f t="shared" ca="1" si="0"/>
        <v>0</v>
      </c>
      <c r="W43" s="774" t="s">
        <v>775</v>
      </c>
      <c r="X43" s="1403"/>
      <c r="Z43" s="1403"/>
      <c r="AB43" s="236"/>
      <c r="AC43" s="562" t="s">
        <v>172</v>
      </c>
      <c r="AD43" s="237"/>
      <c r="AE43" s="237"/>
      <c r="AF43" s="237"/>
      <c r="AG43" s="237"/>
      <c r="AH43" s="237"/>
      <c r="AI43" s="237"/>
      <c r="AL43" s="912" t="str">
        <f>IF(AND(ISNUMBER(VALUE(TRIM(SUBSTITUTE(AB43,".","")))),TRIM(SUBSTITUTE(AB43,".",""))&lt;&gt;""),"P"&amp;SUBSTITUTE(AB43,".",""),"")</f>
        <v/>
      </c>
      <c r="AM43" s="912"/>
      <c r="AN43" s="912"/>
      <c r="AO43" s="915" t="s">
        <v>1594</v>
      </c>
      <c r="AP43" s="915"/>
    </row>
    <row r="44" spans="5:42" s="157" customFormat="1" ht="34.15" hidden="1" customHeight="1">
      <c r="E44" s="623">
        <v>35</v>
      </c>
      <c r="F44" s="714">
        <f t="shared" ca="1" si="1"/>
        <v>0</v>
      </c>
      <c r="T44" s="634" t="b">
        <f t="shared" ca="1" si="0"/>
        <v>0</v>
      </c>
      <c r="X44" s="1403"/>
      <c r="Z44" s="1403"/>
      <c r="AB44" s="867" t="s">
        <v>377</v>
      </c>
      <c r="AC44" s="786" t="s">
        <v>1595</v>
      </c>
      <c r="AD44" s="783" t="s">
        <v>1204</v>
      </c>
      <c r="AE44" s="11"/>
      <c r="AF44" s="11"/>
      <c r="AG44" s="80"/>
      <c r="AH44" s="80"/>
      <c r="AI44" s="80"/>
      <c r="AL44" s="912" t="s">
        <v>1596</v>
      </c>
      <c r="AM44" s="912"/>
      <c r="AN44" s="912"/>
      <c r="AO44" s="915"/>
      <c r="AP44" s="915"/>
    </row>
    <row r="45" spans="5:42" s="157" customFormat="1" ht="39" hidden="1" customHeight="1">
      <c r="E45" s="623">
        <v>40</v>
      </c>
      <c r="F45" s="714">
        <f t="shared" ca="1" si="1"/>
        <v>0</v>
      </c>
      <c r="T45" s="634" t="b">
        <f t="shared" ca="1" si="0"/>
        <v>0</v>
      </c>
      <c r="X45" s="1403"/>
      <c r="Z45" s="1403"/>
      <c r="AB45" s="222" t="s">
        <v>381</v>
      </c>
      <c r="AC45" s="223" t="s">
        <v>1597</v>
      </c>
      <c r="AD45" s="93"/>
      <c r="AE45" s="14"/>
      <c r="AF45" s="11"/>
      <c r="AG45" s="80"/>
      <c r="AH45" s="80"/>
      <c r="AI45" s="80"/>
      <c r="AL45" s="912" t="s">
        <v>1598</v>
      </c>
      <c r="AM45" s="912"/>
      <c r="AN45" s="912"/>
      <c r="AO45" s="915"/>
      <c r="AP45" s="915"/>
    </row>
    <row r="46" spans="5:42" s="157" customFormat="1" ht="34.15" hidden="1" customHeight="1">
      <c r="E46" s="623">
        <v>35</v>
      </c>
      <c r="F46" s="714">
        <f t="shared" ca="1" si="1"/>
        <v>0</v>
      </c>
      <c r="T46" s="634" t="b">
        <f t="shared" ca="1" si="0"/>
        <v>0</v>
      </c>
      <c r="X46" s="1403"/>
      <c r="Z46" s="1403"/>
      <c r="AB46" s="222" t="s">
        <v>1363</v>
      </c>
      <c r="AC46" s="223" t="s">
        <v>1599</v>
      </c>
      <c r="AD46" s="93" t="s">
        <v>1446</v>
      </c>
      <c r="AE46" s="14">
        <f>IFERROR(AE38/AE41*AE45,0)</f>
        <v>0</v>
      </c>
      <c r="AF46" s="14">
        <f>IFERROR(AF38/AF41*AF45,0)</f>
        <v>0</v>
      </c>
      <c r="AG46" s="80"/>
      <c r="AH46" s="80"/>
      <c r="AI46" s="80"/>
      <c r="AL46" s="912" t="s">
        <v>1600</v>
      </c>
      <c r="AM46" s="912"/>
      <c r="AN46" s="912"/>
      <c r="AO46" s="915"/>
      <c r="AP46" s="915"/>
    </row>
    <row r="47" spans="5:42" s="157" customFormat="1" ht="16.5" hidden="1" customHeight="1">
      <c r="E47" s="623">
        <v>17</v>
      </c>
      <c r="F47" s="714">
        <f t="shared" ca="1" si="1"/>
        <v>0</v>
      </c>
      <c r="T47" s="634" t="b">
        <f t="shared" ca="1" si="0"/>
        <v>0</v>
      </c>
      <c r="X47" s="1403"/>
      <c r="Z47" s="1403"/>
      <c r="AB47" s="222" t="s">
        <v>1601</v>
      </c>
      <c r="AC47" s="223" t="s">
        <v>1584</v>
      </c>
      <c r="AD47" s="93" t="s">
        <v>388</v>
      </c>
      <c r="AE47" s="14"/>
      <c r="AF47" s="11"/>
      <c r="AG47" s="80"/>
      <c r="AH47" s="80"/>
      <c r="AI47" s="80"/>
      <c r="AL47" s="912" t="s">
        <v>1602</v>
      </c>
      <c r="AM47" s="912"/>
      <c r="AN47" s="912"/>
      <c r="AO47" s="915"/>
      <c r="AP47" s="915"/>
    </row>
    <row r="48" spans="5:42" s="157" customFormat="1" ht="34.15" hidden="1" customHeight="1">
      <c r="E48" s="623">
        <v>35</v>
      </c>
      <c r="F48" s="714">
        <f t="shared" ca="1" si="1"/>
        <v>0</v>
      </c>
      <c r="T48" s="634" t="b">
        <f t="shared" ca="1" si="0"/>
        <v>0</v>
      </c>
      <c r="X48" s="1403"/>
      <c r="Z48" s="1403"/>
      <c r="AB48" s="222" t="s">
        <v>1603</v>
      </c>
      <c r="AC48" s="223" t="s">
        <v>1604</v>
      </c>
      <c r="AD48" s="93" t="s">
        <v>491</v>
      </c>
      <c r="AE48" s="84"/>
      <c r="AF48" s="12"/>
      <c r="AG48" s="80"/>
      <c r="AH48" s="80"/>
      <c r="AI48" s="80"/>
      <c r="AL48" s="912" t="s">
        <v>1605</v>
      </c>
      <c r="AM48" s="912"/>
      <c r="AN48" s="912"/>
      <c r="AO48" s="915"/>
      <c r="AP48" s="915"/>
    </row>
    <row r="49" spans="1:42" s="157" customFormat="1" ht="16.5" hidden="1" customHeight="1">
      <c r="E49" s="623">
        <v>17</v>
      </c>
      <c r="F49" s="714">
        <f t="shared" ca="1" si="1"/>
        <v>0</v>
      </c>
      <c r="T49" s="634" t="b">
        <f t="shared" ca="1" si="0"/>
        <v>0</v>
      </c>
      <c r="X49" s="1403"/>
      <c r="Z49" s="1403"/>
      <c r="AB49" s="222" t="s">
        <v>1606</v>
      </c>
      <c r="AC49" s="223" t="s">
        <v>1607</v>
      </c>
      <c r="AD49" s="93" t="s">
        <v>1204</v>
      </c>
      <c r="AE49" s="11">
        <f>AE46*AE48*(1+AE47)</f>
        <v>0</v>
      </c>
      <c r="AF49" s="11">
        <f>AF46*AF48*(1+AF47)</f>
        <v>0</v>
      </c>
      <c r="AG49" s="80"/>
      <c r="AH49" s="80"/>
      <c r="AI49" s="80"/>
      <c r="AL49" s="912" t="s">
        <v>1608</v>
      </c>
      <c r="AM49" s="912"/>
      <c r="AN49" s="912"/>
      <c r="AO49" s="915"/>
      <c r="AP49" s="915"/>
    </row>
    <row r="50" spans="1:42" ht="17.25" hidden="1" customHeight="1">
      <c r="E50" s="623">
        <v>0</v>
      </c>
      <c r="F50" s="714">
        <f t="shared" ca="1" si="1"/>
        <v>0</v>
      </c>
      <c r="T50" s="634" t="b">
        <f t="shared" ca="1" si="0"/>
        <v>0</v>
      </c>
      <c r="X50" s="1405"/>
      <c r="Z50" s="1405"/>
    </row>
    <row r="51" spans="1:42" s="1229" customFormat="1" ht="16.5" customHeight="1">
      <c r="A51" s="157"/>
      <c r="B51" s="157"/>
      <c r="C51" s="157"/>
      <c r="D51" s="157"/>
      <c r="E51" s="623">
        <v>17.100000000000001</v>
      </c>
      <c r="F51" s="714" t="str">
        <f>X51</f>
        <v>1</v>
      </c>
      <c r="G51" s="566" t="str">
        <f>INDEX('Общие сведения'!$AK$169:$AK$202,MATCH($F51,'Общие сведения'!$Z$169:$Z$202,0))</f>
        <v>одноставочный</v>
      </c>
      <c r="H51" s="157"/>
      <c r="I51" s="150" t="str">
        <f>INDEX('Общие сведения'!$AE$169:$AE$202,MATCH($F51,'Общие сведения'!$Z$169:$Z$202,0))</f>
        <v>Теплоснабжение</v>
      </c>
      <c r="J51" s="157"/>
      <c r="K51" s="150" t="str">
        <f>INDEX('Общие сведения'!$AL$169:$AL$202,MATCH($F51,'Общие сведения'!$Z$169:$Z$202,0))</f>
        <v>Производство теплоносителя</v>
      </c>
      <c r="L51" s="157"/>
      <c r="M51" s="157"/>
      <c r="N51" s="157"/>
      <c r="O51" s="157"/>
      <c r="P51" s="157"/>
      <c r="Q51" s="157"/>
      <c r="R51" s="157"/>
      <c r="S51" s="157"/>
      <c r="T51" s="634" t="b">
        <f t="shared" si="0"/>
        <v>1</v>
      </c>
      <c r="U51" s="157"/>
      <c r="V51" s="113" t="str">
        <f>'Удельные расходы (МСА)'!$AB$41</f>
        <v>Тариф 1 (Теплоснабжение) - Тарифы на теплоноситель (Не определено)</v>
      </c>
      <c r="W51" s="157"/>
      <c r="X51" s="1526" t="s">
        <v>247</v>
      </c>
      <c r="Y51" s="157"/>
      <c r="Z51" s="1403"/>
      <c r="AA51" s="157"/>
      <c r="AB51" s="252" t="str">
        <f>IF(ISBLANK('Удельные расходы (МСА)'!$AB$41),"",'Удельные расходы (МСА)'!$AB$41)</f>
        <v>Тариф 1 (Теплоснабжение) - Тарифы на теплоноситель (Не определено)</v>
      </c>
      <c r="AC51" s="253"/>
      <c r="AD51" s="253"/>
      <c r="AE51" s="253"/>
      <c r="AF51" s="253"/>
      <c r="AG51" s="253"/>
      <c r="AH51" s="253"/>
      <c r="AI51" s="253"/>
      <c r="AJ51" s="157"/>
      <c r="AK51" s="157"/>
      <c r="AL51" s="912"/>
      <c r="AM51" s="912"/>
      <c r="AN51" s="912"/>
      <c r="AO51" s="915"/>
      <c r="AP51" s="915"/>
    </row>
    <row r="52" spans="1:42" s="1230" customFormat="1" ht="16.5" customHeight="1">
      <c r="A52" s="157"/>
      <c r="B52" s="157"/>
      <c r="C52" s="157"/>
      <c r="D52" s="157"/>
      <c r="E52" s="623">
        <v>17.100000000000001</v>
      </c>
      <c r="F52" s="714" t="str">
        <f t="shared" ref="F52:F74" ca="1" si="2">OFFSET(G52,-1,-1)</f>
        <v>1</v>
      </c>
      <c r="G52" s="157"/>
      <c r="H52" s="157"/>
      <c r="I52" s="157"/>
      <c r="J52" s="157"/>
      <c r="K52" s="157"/>
      <c r="L52" s="157"/>
      <c r="M52" s="157"/>
      <c r="N52" s="157"/>
      <c r="O52" s="157"/>
      <c r="P52" s="157"/>
      <c r="Q52" s="157"/>
      <c r="R52" s="157"/>
      <c r="S52" s="157"/>
      <c r="T52" s="634" t="b">
        <f t="shared" ca="1" si="0"/>
        <v>1</v>
      </c>
      <c r="U52" s="157"/>
      <c r="V52" s="157"/>
      <c r="W52" s="157"/>
      <c r="X52" s="1403"/>
      <c r="Y52" s="157"/>
      <c r="Z52" s="1403"/>
      <c r="AA52" s="157"/>
      <c r="AB52" s="444">
        <v>1</v>
      </c>
      <c r="AC52" s="778" t="s">
        <v>1573</v>
      </c>
      <c r="AD52" s="779"/>
      <c r="AE52" s="779"/>
      <c r="AF52" s="779"/>
      <c r="AG52" s="779"/>
      <c r="AH52" s="779"/>
      <c r="AI52" s="779"/>
      <c r="AJ52" s="157"/>
      <c r="AK52" s="157"/>
      <c r="AL52" s="912"/>
      <c r="AM52" s="912"/>
      <c r="AN52" s="912"/>
      <c r="AO52" s="915"/>
      <c r="AP52" s="915"/>
    </row>
    <row r="53" spans="1:42" s="1231" customFormat="1" ht="39" customHeight="1">
      <c r="A53" s="157"/>
      <c r="B53" s="157"/>
      <c r="C53" s="157"/>
      <c r="D53" s="157"/>
      <c r="E53" s="623">
        <v>40</v>
      </c>
      <c r="F53" s="714" t="str">
        <f t="shared" ca="1" si="2"/>
        <v>1</v>
      </c>
      <c r="G53" s="157"/>
      <c r="H53" s="157"/>
      <c r="I53" s="157"/>
      <c r="J53" s="157"/>
      <c r="K53" s="157"/>
      <c r="L53" s="157"/>
      <c r="M53" s="157"/>
      <c r="N53" s="157"/>
      <c r="O53" s="157"/>
      <c r="P53" s="157"/>
      <c r="Q53" s="157"/>
      <c r="R53" s="157"/>
      <c r="S53" s="157"/>
      <c r="T53" s="634" t="b">
        <f t="shared" ca="1" si="0"/>
        <v>1</v>
      </c>
      <c r="U53" s="157"/>
      <c r="V53" s="157"/>
      <c r="W53" s="157"/>
      <c r="X53" s="1403"/>
      <c r="Y53" s="157"/>
      <c r="Z53" s="1403"/>
      <c r="AA53" s="157"/>
      <c r="AB53" s="444" t="s">
        <v>339</v>
      </c>
      <c r="AC53" s="223" t="s">
        <v>1574</v>
      </c>
      <c r="AD53" s="93" t="s">
        <v>1204</v>
      </c>
      <c r="AE53" s="1079"/>
      <c r="AF53" s="1079"/>
      <c r="AG53" s="1216"/>
      <c r="AH53" s="1216"/>
      <c r="AI53" s="1216"/>
      <c r="AJ53" s="157"/>
      <c r="AK53" s="157"/>
      <c r="AL53" s="912" t="s">
        <v>1575</v>
      </c>
      <c r="AM53" s="912"/>
      <c r="AN53" s="912"/>
      <c r="AO53" s="915"/>
      <c r="AP53" s="915"/>
    </row>
    <row r="54" spans="1:42" s="1232" customFormat="1" ht="39" customHeight="1">
      <c r="A54" s="157"/>
      <c r="B54" s="157"/>
      <c r="C54" s="157"/>
      <c r="D54" s="157"/>
      <c r="E54" s="623">
        <v>40</v>
      </c>
      <c r="F54" s="714" t="str">
        <f t="shared" ca="1" si="2"/>
        <v>1</v>
      </c>
      <c r="G54" s="157"/>
      <c r="H54" s="157"/>
      <c r="I54" s="157"/>
      <c r="J54" s="157"/>
      <c r="K54" s="157"/>
      <c r="L54" s="157"/>
      <c r="M54" s="157"/>
      <c r="N54" s="157"/>
      <c r="O54" s="157"/>
      <c r="P54" s="157"/>
      <c r="Q54" s="157"/>
      <c r="R54" s="157"/>
      <c r="S54" s="157"/>
      <c r="T54" s="634" t="b">
        <f t="shared" ca="1" si="0"/>
        <v>1</v>
      </c>
      <c r="U54" s="157"/>
      <c r="V54" s="157"/>
      <c r="W54" s="157"/>
      <c r="X54" s="1403"/>
      <c r="Y54" s="157"/>
      <c r="Z54" s="1403"/>
      <c r="AA54" s="157"/>
      <c r="AB54" s="444" t="s">
        <v>503</v>
      </c>
      <c r="AC54" s="223" t="s">
        <v>1576</v>
      </c>
      <c r="AD54" s="93" t="s">
        <v>356</v>
      </c>
      <c r="AE54" s="1079"/>
      <c r="AF54" s="1079"/>
      <c r="AG54" s="1216"/>
      <c r="AH54" s="1216"/>
      <c r="AI54" s="1216"/>
      <c r="AJ54" s="157"/>
      <c r="AK54" s="157"/>
      <c r="AL54" s="912" t="s">
        <v>1577</v>
      </c>
      <c r="AM54" s="912"/>
      <c r="AN54" s="912"/>
      <c r="AO54" s="915"/>
      <c r="AP54" s="915"/>
    </row>
    <row r="55" spans="1:42" s="1233" customFormat="1" ht="33.75" customHeight="1">
      <c r="A55" s="157"/>
      <c r="B55" s="157"/>
      <c r="C55" s="157"/>
      <c r="D55" s="157"/>
      <c r="E55" s="623">
        <v>35</v>
      </c>
      <c r="F55" s="714" t="str">
        <f t="shared" ca="1" si="2"/>
        <v>1</v>
      </c>
      <c r="G55" s="157"/>
      <c r="H55" s="157"/>
      <c r="I55" s="157"/>
      <c r="J55" s="157"/>
      <c r="K55" s="157"/>
      <c r="L55" s="157"/>
      <c r="M55" s="157"/>
      <c r="N55" s="157"/>
      <c r="O55" s="157"/>
      <c r="P55" s="157"/>
      <c r="Q55" s="157"/>
      <c r="R55" s="157"/>
      <c r="S55" s="157"/>
      <c r="T55" s="634" t="b">
        <f t="shared" ca="1" si="0"/>
        <v>1</v>
      </c>
      <c r="U55" s="157"/>
      <c r="V55" s="157"/>
      <c r="W55" s="157"/>
      <c r="X55" s="1403"/>
      <c r="Y55" s="157"/>
      <c r="Z55" s="1403"/>
      <c r="AA55" s="157"/>
      <c r="AB55" s="444" t="s">
        <v>749</v>
      </c>
      <c r="AC55" s="223" t="s">
        <v>1578</v>
      </c>
      <c r="AD55" s="93" t="s">
        <v>1548</v>
      </c>
      <c r="AE55" s="1079">
        <f>IFERROR(AE53/AE54,0)</f>
        <v>0</v>
      </c>
      <c r="AF55" s="1079">
        <f>IFERROR(AF53/AF54,0)</f>
        <v>0</v>
      </c>
      <c r="AG55" s="1216"/>
      <c r="AH55" s="1216"/>
      <c r="AI55" s="1216"/>
      <c r="AJ55" s="157"/>
      <c r="AK55" s="157"/>
      <c r="AL55" s="912" t="s">
        <v>1579</v>
      </c>
      <c r="AM55" s="912"/>
      <c r="AN55" s="912"/>
      <c r="AO55" s="915"/>
      <c r="AP55" s="915"/>
    </row>
    <row r="56" spans="1:42" s="1234" customFormat="1" ht="33.75" customHeight="1">
      <c r="A56" s="157"/>
      <c r="B56" s="157"/>
      <c r="C56" s="157"/>
      <c r="D56" s="157"/>
      <c r="E56" s="623">
        <v>35</v>
      </c>
      <c r="F56" s="714" t="str">
        <f t="shared" ca="1" si="2"/>
        <v>1</v>
      </c>
      <c r="G56" s="157"/>
      <c r="H56" s="157"/>
      <c r="I56" s="157"/>
      <c r="J56" s="157"/>
      <c r="K56" s="157"/>
      <c r="L56" s="157"/>
      <c r="M56" s="157"/>
      <c r="N56" s="157"/>
      <c r="O56" s="157"/>
      <c r="P56" s="157"/>
      <c r="Q56" s="157"/>
      <c r="R56" s="157"/>
      <c r="S56" s="157"/>
      <c r="T56" s="634" t="b">
        <f t="shared" ca="1" si="0"/>
        <v>1</v>
      </c>
      <c r="U56" s="157"/>
      <c r="V56" s="157"/>
      <c r="W56" s="157"/>
      <c r="X56" s="1403"/>
      <c r="Y56" s="157"/>
      <c r="Z56" s="1403"/>
      <c r="AA56" s="157"/>
      <c r="AB56" s="444" t="s">
        <v>753</v>
      </c>
      <c r="AC56" s="223" t="s">
        <v>1580</v>
      </c>
      <c r="AD56" s="93"/>
      <c r="AE56" s="1220"/>
      <c r="AF56" s="1220"/>
      <c r="AG56" s="1216"/>
      <c r="AH56" s="1216"/>
      <c r="AI56" s="1216"/>
      <c r="AJ56" s="157"/>
      <c r="AK56" s="157"/>
      <c r="AL56" s="912" t="s">
        <v>1581</v>
      </c>
      <c r="AM56" s="912"/>
      <c r="AN56" s="912"/>
      <c r="AO56" s="915"/>
      <c r="AP56" s="915"/>
    </row>
    <row r="57" spans="1:42" s="1235" customFormat="1" ht="33.75" customHeight="1">
      <c r="A57" s="157"/>
      <c r="B57" s="157"/>
      <c r="C57" s="157"/>
      <c r="D57" s="157"/>
      <c r="E57" s="623">
        <v>35</v>
      </c>
      <c r="F57" s="714" t="str">
        <f t="shared" ca="1" si="2"/>
        <v>1</v>
      </c>
      <c r="G57" s="157"/>
      <c r="H57" s="157"/>
      <c r="I57" s="157"/>
      <c r="J57" s="157"/>
      <c r="K57" s="157"/>
      <c r="L57" s="157"/>
      <c r="M57" s="157"/>
      <c r="N57" s="157"/>
      <c r="O57" s="157"/>
      <c r="P57" s="157"/>
      <c r="Q57" s="157"/>
      <c r="R57" s="157"/>
      <c r="S57" s="157"/>
      <c r="T57" s="634" t="b">
        <f t="shared" ca="1" si="0"/>
        <v>1</v>
      </c>
      <c r="U57" s="157"/>
      <c r="V57" s="157"/>
      <c r="W57" s="157"/>
      <c r="X57" s="1403"/>
      <c r="Y57" s="157"/>
      <c r="Z57" s="1403"/>
      <c r="AA57" s="157"/>
      <c r="AB57" s="444" t="s">
        <v>860</v>
      </c>
      <c r="AC57" s="780" t="s">
        <v>1582</v>
      </c>
      <c r="AD57" s="781" t="s">
        <v>1548</v>
      </c>
      <c r="AE57" s="1082">
        <f>AE55*AE56</f>
        <v>0</v>
      </c>
      <c r="AF57" s="1082">
        <f>AF55*AF56</f>
        <v>0</v>
      </c>
      <c r="AG57" s="1222"/>
      <c r="AH57" s="1222"/>
      <c r="AI57" s="1222"/>
      <c r="AJ57" s="157"/>
      <c r="AK57" s="157"/>
      <c r="AL57" s="912" t="s">
        <v>1583</v>
      </c>
      <c r="AM57" s="912"/>
      <c r="AN57" s="912"/>
      <c r="AO57" s="915"/>
      <c r="AP57" s="915"/>
    </row>
    <row r="58" spans="1:42" s="1236" customFormat="1" ht="16.5" customHeight="1">
      <c r="A58" s="157"/>
      <c r="B58" s="157"/>
      <c r="C58" s="157"/>
      <c r="D58" s="157"/>
      <c r="E58" s="623">
        <v>17.100000000000001</v>
      </c>
      <c r="F58" s="714" t="str">
        <f t="shared" ca="1" si="2"/>
        <v>1</v>
      </c>
      <c r="G58" s="157"/>
      <c r="H58" s="157"/>
      <c r="I58" s="157"/>
      <c r="J58" s="157"/>
      <c r="K58" s="157"/>
      <c r="L58" s="157"/>
      <c r="M58" s="157"/>
      <c r="N58" s="157"/>
      <c r="O58" s="157"/>
      <c r="P58" s="157"/>
      <c r="Q58" s="157"/>
      <c r="R58" s="157"/>
      <c r="S58" s="157"/>
      <c r="T58" s="634" t="b">
        <f t="shared" ca="1" si="0"/>
        <v>1</v>
      </c>
      <c r="U58" s="157"/>
      <c r="V58" s="157"/>
      <c r="W58" s="157"/>
      <c r="X58" s="1403"/>
      <c r="Y58" s="157"/>
      <c r="Z58" s="1403"/>
      <c r="AA58" s="157"/>
      <c r="AB58" s="444" t="s">
        <v>863</v>
      </c>
      <c r="AC58" s="780" t="s">
        <v>1584</v>
      </c>
      <c r="AD58" s="781" t="s">
        <v>388</v>
      </c>
      <c r="AE58" s="1082"/>
      <c r="AF58" s="1082"/>
      <c r="AG58" s="1222"/>
      <c r="AH58" s="1222"/>
      <c r="AI58" s="1222"/>
      <c r="AJ58" s="157"/>
      <c r="AK58" s="157"/>
      <c r="AL58" s="912" t="s">
        <v>1585</v>
      </c>
      <c r="AM58" s="912"/>
      <c r="AN58" s="912"/>
      <c r="AO58" s="915"/>
      <c r="AP58" s="915"/>
    </row>
    <row r="59" spans="1:42" s="1237" customFormat="1" ht="39" customHeight="1">
      <c r="A59" s="157"/>
      <c r="B59" s="157"/>
      <c r="C59" s="157"/>
      <c r="D59" s="157"/>
      <c r="E59" s="623">
        <v>40</v>
      </c>
      <c r="F59" s="714" t="str">
        <f t="shared" ca="1" si="2"/>
        <v>1</v>
      </c>
      <c r="G59" s="157"/>
      <c r="H59" s="157"/>
      <c r="I59" s="157"/>
      <c r="J59" s="157"/>
      <c r="K59" s="157"/>
      <c r="L59" s="157"/>
      <c r="M59" s="157"/>
      <c r="N59" s="157"/>
      <c r="O59" s="157"/>
      <c r="P59" s="157"/>
      <c r="Q59" s="157"/>
      <c r="R59" s="157"/>
      <c r="S59" s="157"/>
      <c r="T59" s="634" t="b">
        <f t="shared" ca="1" si="0"/>
        <v>1</v>
      </c>
      <c r="U59" s="157"/>
      <c r="V59" s="157"/>
      <c r="W59" s="157"/>
      <c r="X59" s="1403"/>
      <c r="Y59" s="157"/>
      <c r="Z59" s="1403"/>
      <c r="AA59" s="157"/>
      <c r="AB59" s="444" t="s">
        <v>866</v>
      </c>
      <c r="AC59" s="780" t="s">
        <v>1586</v>
      </c>
      <c r="AD59" s="781" t="s">
        <v>356</v>
      </c>
      <c r="AE59" s="1082"/>
      <c r="AF59" s="1082"/>
      <c r="AG59" s="1222"/>
      <c r="AH59" s="1222"/>
      <c r="AI59" s="1222"/>
      <c r="AJ59" s="157"/>
      <c r="AK59" s="157"/>
      <c r="AL59" s="912" t="s">
        <v>1587</v>
      </c>
      <c r="AM59" s="912"/>
      <c r="AN59" s="912"/>
      <c r="AO59" s="915"/>
      <c r="AP59" s="915"/>
    </row>
    <row r="60" spans="1:42" s="1238" customFormat="1" ht="16.5" customHeight="1">
      <c r="A60" s="157"/>
      <c r="B60" s="157"/>
      <c r="C60" s="157"/>
      <c r="D60" s="157"/>
      <c r="E60" s="623">
        <v>17.100000000000001</v>
      </c>
      <c r="F60" s="714" t="str">
        <f t="shared" ca="1" si="2"/>
        <v>1</v>
      </c>
      <c r="G60" s="157"/>
      <c r="H60" s="157"/>
      <c r="I60" s="157"/>
      <c r="J60" s="157"/>
      <c r="K60" s="157"/>
      <c r="L60" s="157"/>
      <c r="M60" s="157"/>
      <c r="N60" s="157"/>
      <c r="O60" s="157"/>
      <c r="P60" s="157"/>
      <c r="Q60" s="157"/>
      <c r="R60" s="157"/>
      <c r="S60" s="157"/>
      <c r="T60" s="634" t="b">
        <f t="shared" ca="1" si="0"/>
        <v>1</v>
      </c>
      <c r="U60" s="157"/>
      <c r="V60" s="157"/>
      <c r="W60" s="157"/>
      <c r="X60" s="1403"/>
      <c r="Y60" s="157"/>
      <c r="Z60" s="1403"/>
      <c r="AA60" s="157"/>
      <c r="AB60" s="444" t="s">
        <v>869</v>
      </c>
      <c r="AC60" s="780" t="s">
        <v>1588</v>
      </c>
      <c r="AD60" s="781" t="s">
        <v>1204</v>
      </c>
      <c r="AE60" s="1082">
        <f>AE57*AE59*(1+AE58)</f>
        <v>0</v>
      </c>
      <c r="AF60" s="1082">
        <f>AF57*AF59*(1+AF58)</f>
        <v>0</v>
      </c>
      <c r="AG60" s="1222"/>
      <c r="AH60" s="1222"/>
      <c r="AI60" s="1222"/>
      <c r="AJ60" s="157"/>
      <c r="AK60" s="157"/>
      <c r="AL60" s="912" t="s">
        <v>1211</v>
      </c>
      <c r="AM60" s="912"/>
      <c r="AN60" s="912"/>
      <c r="AO60" s="915"/>
      <c r="AP60" s="915"/>
    </row>
    <row r="61" spans="1:42" s="1239" customFormat="1" ht="16.5" customHeight="1">
      <c r="A61" s="157"/>
      <c r="B61" s="157"/>
      <c r="C61" s="157"/>
      <c r="D61" s="157"/>
      <c r="E61" s="623">
        <v>17.100000000000001</v>
      </c>
      <c r="F61" s="714" t="str">
        <f t="shared" ca="1" si="2"/>
        <v>1</v>
      </c>
      <c r="G61" s="157"/>
      <c r="H61" s="157"/>
      <c r="I61" s="157"/>
      <c r="J61" s="157"/>
      <c r="K61" s="157"/>
      <c r="L61" s="157"/>
      <c r="M61" s="157"/>
      <c r="N61" s="157"/>
      <c r="O61" s="157"/>
      <c r="P61" s="157"/>
      <c r="Q61" s="157"/>
      <c r="R61" s="157"/>
      <c r="S61" s="157"/>
      <c r="T61" s="634" t="b">
        <f t="shared" ca="1" si="0"/>
        <v>1</v>
      </c>
      <c r="U61" s="157"/>
      <c r="V61" s="157"/>
      <c r="W61" s="157"/>
      <c r="X61" s="1403"/>
      <c r="Y61" s="157"/>
      <c r="Z61" s="1403"/>
      <c r="AA61" s="157"/>
      <c r="AB61" s="867">
        <v>2</v>
      </c>
      <c r="AC61" s="778" t="s">
        <v>1589</v>
      </c>
      <c r="AD61" s="779"/>
      <c r="AE61" s="795"/>
      <c r="AF61" s="795"/>
      <c r="AG61" s="778"/>
      <c r="AH61" s="778"/>
      <c r="AI61" s="778"/>
      <c r="AJ61" s="157"/>
      <c r="AK61" s="157"/>
      <c r="AL61" s="912"/>
      <c r="AM61" s="912"/>
      <c r="AN61" s="912"/>
      <c r="AO61" s="915"/>
      <c r="AP61" s="915"/>
    </row>
    <row r="62" spans="1:42" s="1240" customFormat="1" ht="39" customHeight="1">
      <c r="A62" s="157"/>
      <c r="B62" s="157"/>
      <c r="C62" s="157"/>
      <c r="D62" s="157"/>
      <c r="E62" s="623">
        <v>40</v>
      </c>
      <c r="F62" s="714" t="str">
        <f t="shared" ca="1" si="2"/>
        <v>1</v>
      </c>
      <c r="G62" s="157"/>
      <c r="H62" s="157"/>
      <c r="I62" s="157"/>
      <c r="J62" s="157"/>
      <c r="K62" s="157"/>
      <c r="L62" s="157"/>
      <c r="M62" s="157"/>
      <c r="N62" s="157"/>
      <c r="O62" s="157"/>
      <c r="P62" s="157"/>
      <c r="Q62" s="157"/>
      <c r="R62" s="157"/>
      <c r="S62" s="157"/>
      <c r="T62" s="634" t="b">
        <f t="shared" ca="1" si="0"/>
        <v>1</v>
      </c>
      <c r="U62" s="157"/>
      <c r="V62" s="157"/>
      <c r="W62" s="157"/>
      <c r="X62" s="1403"/>
      <c r="Y62" s="157"/>
      <c r="Z62" s="1403"/>
      <c r="AA62" s="157"/>
      <c r="AB62" s="222" t="s">
        <v>346</v>
      </c>
      <c r="AC62" s="785" t="s">
        <v>1590</v>
      </c>
      <c r="AD62" s="93" t="s">
        <v>1204</v>
      </c>
      <c r="AE62" s="1142">
        <f>SUM(AE63:AE64)</f>
        <v>0</v>
      </c>
      <c r="AF62" s="1142">
        <f>SUM(AF63:AF64)</f>
        <v>0</v>
      </c>
      <c r="AG62" s="1222"/>
      <c r="AH62" s="1222"/>
      <c r="AI62" s="1222"/>
      <c r="AJ62" s="157"/>
      <c r="AK62" s="157"/>
      <c r="AL62" s="912" t="s">
        <v>1591</v>
      </c>
      <c r="AM62" s="912"/>
      <c r="AN62" s="912"/>
      <c r="AO62" s="915"/>
      <c r="AP62" s="915"/>
    </row>
    <row r="63" spans="1:42" s="1241" customFormat="1" ht="16.5" hidden="1" customHeight="1">
      <c r="A63" s="157"/>
      <c r="B63" s="157"/>
      <c r="C63" s="157"/>
      <c r="D63" s="157"/>
      <c r="E63" s="623">
        <v>17</v>
      </c>
      <c r="F63" s="714" t="str">
        <f t="shared" ca="1" si="2"/>
        <v>1</v>
      </c>
      <c r="G63" s="157"/>
      <c r="H63" s="157"/>
      <c r="I63" s="157"/>
      <c r="J63" s="157"/>
      <c r="K63" s="157"/>
      <c r="L63" s="157"/>
      <c r="M63" s="157"/>
      <c r="N63" s="157"/>
      <c r="O63" s="157"/>
      <c r="P63" s="157"/>
      <c r="Q63" s="157"/>
      <c r="R63" s="157"/>
      <c r="S63" s="157"/>
      <c r="T63" s="634" t="b">
        <f t="shared" ca="1" si="0"/>
        <v>0</v>
      </c>
      <c r="U63" s="157"/>
      <c r="V63" s="157"/>
      <c r="W63" s="113" t="s">
        <v>170</v>
      </c>
      <c r="X63" s="1403"/>
      <c r="Y63" s="113">
        <v>0</v>
      </c>
      <c r="Z63" s="1403"/>
      <c r="AA63" s="709" t="s">
        <v>157</v>
      </c>
      <c r="AB63" s="222" t="str">
        <f>"2.1."&amp;Y63</f>
        <v>2.1.0</v>
      </c>
      <c r="AC63" s="83"/>
      <c r="AD63" s="93" t="s">
        <v>1204</v>
      </c>
      <c r="AE63" s="40"/>
      <c r="AF63" s="40"/>
      <c r="AG63" s="82"/>
      <c r="AH63" s="82"/>
      <c r="AI63" s="82"/>
      <c r="AJ63" s="157"/>
      <c r="AK63" s="157"/>
      <c r="AL63" s="912" t="s">
        <v>1591</v>
      </c>
      <c r="AM63" s="912" t="s">
        <v>1592</v>
      </c>
      <c r="AN63" s="912">
        <f>AC63</f>
        <v>0</v>
      </c>
      <c r="AO63" s="915"/>
      <c r="AP63" s="915" t="b">
        <v>1</v>
      </c>
    </row>
    <row r="64" spans="1:42" s="1242" customFormat="1" ht="16.5" customHeight="1">
      <c r="A64" s="157"/>
      <c r="B64" s="157"/>
      <c r="C64" s="157"/>
      <c r="D64" s="157"/>
      <c r="E64" s="623">
        <v>17</v>
      </c>
      <c r="F64" s="714" t="str">
        <f t="shared" ca="1" si="2"/>
        <v>1</v>
      </c>
      <c r="G64" s="157"/>
      <c r="H64" s="157"/>
      <c r="I64" s="157"/>
      <c r="J64" s="157"/>
      <c r="K64" s="157"/>
      <c r="L64" s="157"/>
      <c r="M64" s="157"/>
      <c r="N64" s="157"/>
      <c r="O64" s="157"/>
      <c r="P64" s="157"/>
      <c r="Q64" s="157"/>
      <c r="R64" s="157"/>
      <c r="S64" s="157"/>
      <c r="T64" s="634" t="b">
        <f t="shared" ca="1" si="0"/>
        <v>1</v>
      </c>
      <c r="U64" s="157"/>
      <c r="V64" s="157"/>
      <c r="W64" s="774" t="s">
        <v>764</v>
      </c>
      <c r="X64" s="1403"/>
      <c r="Y64" s="157"/>
      <c r="Z64" s="1403"/>
      <c r="AA64" s="157"/>
      <c r="AB64" s="236"/>
      <c r="AC64" s="562" t="s">
        <v>172</v>
      </c>
      <c r="AD64" s="237"/>
      <c r="AE64" s="237"/>
      <c r="AF64" s="237"/>
      <c r="AG64" s="237"/>
      <c r="AH64" s="237"/>
      <c r="AI64" s="237"/>
      <c r="AJ64" s="157"/>
      <c r="AK64" s="157"/>
      <c r="AL64" s="912" t="str">
        <f>IF(AND(ISNUMBER(VALUE(TRIM(SUBSTITUTE(AB64,".","")))),TRIM(SUBSTITUTE(AB64,".",""))&lt;&gt;""),"P"&amp;SUBSTITUTE(AB64,".",""),"")</f>
        <v/>
      </c>
      <c r="AM64" s="912"/>
      <c r="AN64" s="912"/>
      <c r="AO64" s="915" t="s">
        <v>1592</v>
      </c>
      <c r="AP64" s="915"/>
    </row>
    <row r="65" spans="1:42" s="1243" customFormat="1" ht="39" customHeight="1">
      <c r="A65" s="157"/>
      <c r="B65" s="157"/>
      <c r="C65" s="157"/>
      <c r="D65" s="157"/>
      <c r="E65" s="623">
        <v>40</v>
      </c>
      <c r="F65" s="714" t="str">
        <f t="shared" ca="1" si="2"/>
        <v>1</v>
      </c>
      <c r="G65" s="157"/>
      <c r="H65" s="157"/>
      <c r="I65" s="157"/>
      <c r="J65" s="157"/>
      <c r="K65" s="157"/>
      <c r="L65" s="157"/>
      <c r="M65" s="157"/>
      <c r="N65" s="157"/>
      <c r="O65" s="157"/>
      <c r="P65" s="157"/>
      <c r="Q65" s="157"/>
      <c r="R65" s="157"/>
      <c r="S65" s="157"/>
      <c r="T65" s="634" t="b">
        <f t="shared" ca="1" si="0"/>
        <v>1</v>
      </c>
      <c r="U65" s="157"/>
      <c r="V65" s="157"/>
      <c r="W65" s="157"/>
      <c r="X65" s="1403"/>
      <c r="Y65" s="157"/>
      <c r="Z65" s="1403"/>
      <c r="AA65" s="157"/>
      <c r="AB65" s="222" t="s">
        <v>373</v>
      </c>
      <c r="AC65" s="785" t="s">
        <v>1593</v>
      </c>
      <c r="AD65" s="93" t="s">
        <v>491</v>
      </c>
      <c r="AE65" s="1142">
        <f>SUM(AE66:AE67)</f>
        <v>0</v>
      </c>
      <c r="AF65" s="1142">
        <f>SUM(AF66:AF67)</f>
        <v>0</v>
      </c>
      <c r="AG65" s="1222"/>
      <c r="AH65" s="1222"/>
      <c r="AI65" s="1222"/>
      <c r="AJ65" s="157"/>
      <c r="AK65" s="157"/>
      <c r="AL65" s="912" t="s">
        <v>1562</v>
      </c>
      <c r="AM65" s="912"/>
      <c r="AN65" s="912"/>
      <c r="AO65" s="915"/>
      <c r="AP65" s="915"/>
    </row>
    <row r="66" spans="1:42" s="1244" customFormat="1" ht="16.5" hidden="1" customHeight="1">
      <c r="A66" s="157"/>
      <c r="B66" s="157"/>
      <c r="C66" s="157"/>
      <c r="D66" s="157"/>
      <c r="E66" s="623">
        <v>17.100000000000001</v>
      </c>
      <c r="F66" s="714" t="str">
        <f t="shared" ca="1" si="2"/>
        <v>1</v>
      </c>
      <c r="G66" s="157"/>
      <c r="H66" s="157"/>
      <c r="I66" s="157"/>
      <c r="J66" s="157"/>
      <c r="K66" s="157"/>
      <c r="L66" s="157"/>
      <c r="M66" s="157"/>
      <c r="N66" s="157"/>
      <c r="O66" s="157"/>
      <c r="P66" s="157"/>
      <c r="Q66" s="157"/>
      <c r="R66" s="157"/>
      <c r="S66" s="157"/>
      <c r="T66" s="634" t="b">
        <f t="shared" ca="1" si="0"/>
        <v>0</v>
      </c>
      <c r="U66" s="157"/>
      <c r="V66" s="157"/>
      <c r="W66" s="113" t="s">
        <v>170</v>
      </c>
      <c r="X66" s="1403"/>
      <c r="Y66" s="113">
        <v>0</v>
      </c>
      <c r="Z66" s="1403"/>
      <c r="AA66" s="709" t="s">
        <v>157</v>
      </c>
      <c r="AB66" s="222" t="str">
        <f>"2.2."&amp;Y66</f>
        <v>2.2.0</v>
      </c>
      <c r="AC66" s="83"/>
      <c r="AD66" s="93" t="s">
        <v>491</v>
      </c>
      <c r="AE66" s="40"/>
      <c r="AF66" s="40"/>
      <c r="AG66" s="82"/>
      <c r="AH66" s="82"/>
      <c r="AI66" s="82"/>
      <c r="AJ66" s="157"/>
      <c r="AK66" s="157"/>
      <c r="AL66" s="912" t="s">
        <v>1562</v>
      </c>
      <c r="AM66" s="912" t="s">
        <v>1594</v>
      </c>
      <c r="AN66" s="912">
        <f>AC66</f>
        <v>0</v>
      </c>
      <c r="AO66" s="915"/>
      <c r="AP66" s="915" t="b">
        <v>1</v>
      </c>
    </row>
    <row r="67" spans="1:42" s="1245" customFormat="1" ht="16.5" customHeight="1">
      <c r="A67" s="157"/>
      <c r="B67" s="157"/>
      <c r="C67" s="157"/>
      <c r="D67" s="157"/>
      <c r="E67" s="623">
        <v>17</v>
      </c>
      <c r="F67" s="714" t="str">
        <f t="shared" ca="1" si="2"/>
        <v>1</v>
      </c>
      <c r="G67" s="157"/>
      <c r="H67" s="157"/>
      <c r="I67" s="157"/>
      <c r="J67" s="157"/>
      <c r="K67" s="157"/>
      <c r="L67" s="157"/>
      <c r="M67" s="157"/>
      <c r="N67" s="157"/>
      <c r="O67" s="157"/>
      <c r="P67" s="157"/>
      <c r="Q67" s="157"/>
      <c r="R67" s="157"/>
      <c r="S67" s="157"/>
      <c r="T67" s="634" t="b">
        <f t="shared" ca="1" si="0"/>
        <v>1</v>
      </c>
      <c r="U67" s="157"/>
      <c r="V67" s="157"/>
      <c r="W67" s="774" t="s">
        <v>775</v>
      </c>
      <c r="X67" s="1403"/>
      <c r="Y67" s="157"/>
      <c r="Z67" s="1403"/>
      <c r="AA67" s="157"/>
      <c r="AB67" s="236"/>
      <c r="AC67" s="562" t="s">
        <v>172</v>
      </c>
      <c r="AD67" s="237"/>
      <c r="AE67" s="237"/>
      <c r="AF67" s="237"/>
      <c r="AG67" s="237"/>
      <c r="AH67" s="237"/>
      <c r="AI67" s="237"/>
      <c r="AJ67" s="157"/>
      <c r="AK67" s="157"/>
      <c r="AL67" s="912" t="str">
        <f>IF(AND(ISNUMBER(VALUE(TRIM(SUBSTITUTE(AB67,".","")))),TRIM(SUBSTITUTE(AB67,".",""))&lt;&gt;""),"P"&amp;SUBSTITUTE(AB67,".",""),"")</f>
        <v/>
      </c>
      <c r="AM67" s="912"/>
      <c r="AN67" s="912"/>
      <c r="AO67" s="915" t="s">
        <v>1594</v>
      </c>
      <c r="AP67" s="915"/>
    </row>
    <row r="68" spans="1:42" s="1246" customFormat="1" ht="33.75" customHeight="1">
      <c r="A68" s="157"/>
      <c r="B68" s="157"/>
      <c r="C68" s="157"/>
      <c r="D68" s="157"/>
      <c r="E68" s="623">
        <v>35</v>
      </c>
      <c r="F68" s="714" t="str">
        <f t="shared" ca="1" si="2"/>
        <v>1</v>
      </c>
      <c r="G68" s="157"/>
      <c r="H68" s="157"/>
      <c r="I68" s="157"/>
      <c r="J68" s="157"/>
      <c r="K68" s="157"/>
      <c r="L68" s="157"/>
      <c r="M68" s="157"/>
      <c r="N68" s="157"/>
      <c r="O68" s="157"/>
      <c r="P68" s="157"/>
      <c r="Q68" s="157"/>
      <c r="R68" s="157"/>
      <c r="S68" s="157"/>
      <c r="T68" s="634" t="b">
        <f t="shared" ca="1" si="0"/>
        <v>1</v>
      </c>
      <c r="U68" s="157"/>
      <c r="V68" s="157"/>
      <c r="W68" s="157"/>
      <c r="X68" s="1403"/>
      <c r="Y68" s="157"/>
      <c r="Z68" s="1403"/>
      <c r="AA68" s="157"/>
      <c r="AB68" s="867" t="s">
        <v>377</v>
      </c>
      <c r="AC68" s="786" t="s">
        <v>1595</v>
      </c>
      <c r="AD68" s="783" t="s">
        <v>1204</v>
      </c>
      <c r="AE68" s="1079"/>
      <c r="AF68" s="1079"/>
      <c r="AG68" s="1216"/>
      <c r="AH68" s="1216"/>
      <c r="AI68" s="1216"/>
      <c r="AJ68" s="157"/>
      <c r="AK68" s="157"/>
      <c r="AL68" s="912" t="s">
        <v>1596</v>
      </c>
      <c r="AM68" s="912"/>
      <c r="AN68" s="912"/>
      <c r="AO68" s="915"/>
      <c r="AP68" s="915"/>
    </row>
    <row r="69" spans="1:42" s="1247" customFormat="1" ht="39" customHeight="1">
      <c r="A69" s="157"/>
      <c r="B69" s="157"/>
      <c r="C69" s="157"/>
      <c r="D69" s="157"/>
      <c r="E69" s="623">
        <v>40</v>
      </c>
      <c r="F69" s="714" t="str">
        <f t="shared" ca="1" si="2"/>
        <v>1</v>
      </c>
      <c r="G69" s="157"/>
      <c r="H69" s="157"/>
      <c r="I69" s="157"/>
      <c r="J69" s="157"/>
      <c r="K69" s="157"/>
      <c r="L69" s="157"/>
      <c r="M69" s="157"/>
      <c r="N69" s="157"/>
      <c r="O69" s="157"/>
      <c r="P69" s="157"/>
      <c r="Q69" s="157"/>
      <c r="R69" s="157"/>
      <c r="S69" s="157"/>
      <c r="T69" s="634" t="b">
        <f t="shared" ca="1" si="0"/>
        <v>1</v>
      </c>
      <c r="U69" s="157"/>
      <c r="V69" s="157"/>
      <c r="W69" s="157"/>
      <c r="X69" s="1403"/>
      <c r="Y69" s="157"/>
      <c r="Z69" s="1403"/>
      <c r="AA69" s="157"/>
      <c r="AB69" s="222" t="s">
        <v>381</v>
      </c>
      <c r="AC69" s="223" t="s">
        <v>1597</v>
      </c>
      <c r="AD69" s="93"/>
      <c r="AE69" s="1088"/>
      <c r="AF69" s="1079"/>
      <c r="AG69" s="1216"/>
      <c r="AH69" s="1216"/>
      <c r="AI69" s="1216"/>
      <c r="AJ69" s="157"/>
      <c r="AK69" s="157"/>
      <c r="AL69" s="912" t="s">
        <v>1598</v>
      </c>
      <c r="AM69" s="912"/>
      <c r="AN69" s="912"/>
      <c r="AO69" s="915"/>
      <c r="AP69" s="915"/>
    </row>
    <row r="70" spans="1:42" s="1248" customFormat="1" ht="33.75" customHeight="1">
      <c r="A70" s="157"/>
      <c r="B70" s="157"/>
      <c r="C70" s="157"/>
      <c r="D70" s="157"/>
      <c r="E70" s="623">
        <v>35</v>
      </c>
      <c r="F70" s="714" t="str">
        <f t="shared" ca="1" si="2"/>
        <v>1</v>
      </c>
      <c r="G70" s="157"/>
      <c r="H70" s="157"/>
      <c r="I70" s="157"/>
      <c r="J70" s="157"/>
      <c r="K70" s="157"/>
      <c r="L70" s="157"/>
      <c r="M70" s="157"/>
      <c r="N70" s="157"/>
      <c r="O70" s="157"/>
      <c r="P70" s="157"/>
      <c r="Q70" s="157"/>
      <c r="R70" s="157"/>
      <c r="S70" s="157"/>
      <c r="T70" s="634" t="b">
        <f t="shared" ca="1" si="0"/>
        <v>1</v>
      </c>
      <c r="U70" s="157"/>
      <c r="V70" s="157"/>
      <c r="W70" s="157"/>
      <c r="X70" s="1403"/>
      <c r="Y70" s="157"/>
      <c r="Z70" s="1403"/>
      <c r="AA70" s="157"/>
      <c r="AB70" s="222" t="s">
        <v>1363</v>
      </c>
      <c r="AC70" s="223" t="s">
        <v>1599</v>
      </c>
      <c r="AD70" s="93" t="s">
        <v>1446</v>
      </c>
      <c r="AE70" s="1088">
        <f>IFERROR(AE62/AE65*AE69,0)</f>
        <v>0</v>
      </c>
      <c r="AF70" s="1088">
        <f>IFERROR(AF62/AF65*AF69,0)</f>
        <v>0</v>
      </c>
      <c r="AG70" s="1216"/>
      <c r="AH70" s="1216"/>
      <c r="AI70" s="1216"/>
      <c r="AJ70" s="157"/>
      <c r="AK70" s="157"/>
      <c r="AL70" s="912" t="s">
        <v>1600</v>
      </c>
      <c r="AM70" s="912"/>
      <c r="AN70" s="912"/>
      <c r="AO70" s="915"/>
      <c r="AP70" s="915"/>
    </row>
    <row r="71" spans="1:42" s="1249" customFormat="1" ht="16.5" customHeight="1">
      <c r="A71" s="157"/>
      <c r="B71" s="157"/>
      <c r="C71" s="157"/>
      <c r="D71" s="157"/>
      <c r="E71" s="623">
        <v>17</v>
      </c>
      <c r="F71" s="714" t="str">
        <f t="shared" ca="1" si="2"/>
        <v>1</v>
      </c>
      <c r="G71" s="157"/>
      <c r="H71" s="157"/>
      <c r="I71" s="157"/>
      <c r="J71" s="157"/>
      <c r="K71" s="157"/>
      <c r="L71" s="157"/>
      <c r="M71" s="157"/>
      <c r="N71" s="157"/>
      <c r="O71" s="157"/>
      <c r="P71" s="157"/>
      <c r="Q71" s="157"/>
      <c r="R71" s="157"/>
      <c r="S71" s="157"/>
      <c r="T71" s="634" t="b">
        <f t="shared" ca="1" si="0"/>
        <v>1</v>
      </c>
      <c r="U71" s="157"/>
      <c r="V71" s="157"/>
      <c r="W71" s="157"/>
      <c r="X71" s="1403"/>
      <c r="Y71" s="157"/>
      <c r="Z71" s="1403"/>
      <c r="AA71" s="157"/>
      <c r="AB71" s="222" t="s">
        <v>1601</v>
      </c>
      <c r="AC71" s="223" t="s">
        <v>1584</v>
      </c>
      <c r="AD71" s="93" t="s">
        <v>388</v>
      </c>
      <c r="AE71" s="1088"/>
      <c r="AF71" s="1079"/>
      <c r="AG71" s="1216"/>
      <c r="AH71" s="1216"/>
      <c r="AI71" s="1216"/>
      <c r="AJ71" s="157"/>
      <c r="AK71" s="157"/>
      <c r="AL71" s="912" t="s">
        <v>1602</v>
      </c>
      <c r="AM71" s="912"/>
      <c r="AN71" s="912"/>
      <c r="AO71" s="915"/>
      <c r="AP71" s="915"/>
    </row>
    <row r="72" spans="1:42" s="1250" customFormat="1" ht="33.75" customHeight="1">
      <c r="A72" s="157"/>
      <c r="B72" s="157"/>
      <c r="C72" s="157"/>
      <c r="D72" s="157"/>
      <c r="E72" s="623">
        <v>35</v>
      </c>
      <c r="F72" s="714" t="str">
        <f t="shared" ca="1" si="2"/>
        <v>1</v>
      </c>
      <c r="G72" s="157"/>
      <c r="H72" s="157"/>
      <c r="I72" s="157"/>
      <c r="J72" s="157"/>
      <c r="K72" s="157"/>
      <c r="L72" s="157"/>
      <c r="M72" s="157"/>
      <c r="N72" s="157"/>
      <c r="O72" s="157"/>
      <c r="P72" s="157"/>
      <c r="Q72" s="157"/>
      <c r="R72" s="157"/>
      <c r="S72" s="157"/>
      <c r="T72" s="634" t="b">
        <f t="shared" ca="1" si="0"/>
        <v>1</v>
      </c>
      <c r="U72" s="157"/>
      <c r="V72" s="157"/>
      <c r="W72" s="157"/>
      <c r="X72" s="1403"/>
      <c r="Y72" s="157"/>
      <c r="Z72" s="1403"/>
      <c r="AA72" s="157"/>
      <c r="AB72" s="222" t="s">
        <v>1603</v>
      </c>
      <c r="AC72" s="223" t="s">
        <v>1604</v>
      </c>
      <c r="AD72" s="93" t="s">
        <v>491</v>
      </c>
      <c r="AE72" s="1251"/>
      <c r="AF72" s="1082"/>
      <c r="AG72" s="1216"/>
      <c r="AH72" s="1216"/>
      <c r="AI72" s="1216"/>
      <c r="AJ72" s="157"/>
      <c r="AK72" s="157"/>
      <c r="AL72" s="912" t="s">
        <v>1605</v>
      </c>
      <c r="AM72" s="912"/>
      <c r="AN72" s="912"/>
      <c r="AO72" s="915"/>
      <c r="AP72" s="915"/>
    </row>
    <row r="73" spans="1:42" s="1252" customFormat="1" ht="16.5" customHeight="1">
      <c r="A73" s="157"/>
      <c r="B73" s="157"/>
      <c r="C73" s="157"/>
      <c r="D73" s="157"/>
      <c r="E73" s="623">
        <v>17</v>
      </c>
      <c r="F73" s="714" t="str">
        <f t="shared" ca="1" si="2"/>
        <v>1</v>
      </c>
      <c r="G73" s="157"/>
      <c r="H73" s="157"/>
      <c r="I73" s="157"/>
      <c r="J73" s="157"/>
      <c r="K73" s="157"/>
      <c r="L73" s="157"/>
      <c r="M73" s="157"/>
      <c r="N73" s="157"/>
      <c r="O73" s="157"/>
      <c r="P73" s="157"/>
      <c r="Q73" s="157"/>
      <c r="R73" s="157"/>
      <c r="S73" s="157"/>
      <c r="T73" s="634" t="b">
        <f t="shared" ca="1" si="0"/>
        <v>1</v>
      </c>
      <c r="U73" s="157"/>
      <c r="V73" s="157"/>
      <c r="W73" s="157"/>
      <c r="X73" s="1403"/>
      <c r="Y73" s="157"/>
      <c r="Z73" s="1403"/>
      <c r="AA73" s="157"/>
      <c r="AB73" s="222" t="s">
        <v>1606</v>
      </c>
      <c r="AC73" s="223" t="s">
        <v>1607</v>
      </c>
      <c r="AD73" s="93" t="s">
        <v>1204</v>
      </c>
      <c r="AE73" s="1079">
        <f>AE70*AE72*(1+AE71)</f>
        <v>0</v>
      </c>
      <c r="AF73" s="1079">
        <f>AF70*AF72*(1+AF71)</f>
        <v>0</v>
      </c>
      <c r="AG73" s="1216"/>
      <c r="AH73" s="1216"/>
      <c r="AI73" s="1216"/>
      <c r="AJ73" s="157"/>
      <c r="AK73" s="157"/>
      <c r="AL73" s="912" t="s">
        <v>1608</v>
      </c>
      <c r="AM73" s="912"/>
      <c r="AN73" s="912"/>
      <c r="AO73" s="915"/>
      <c r="AP73" s="915"/>
    </row>
    <row r="74" spans="1:42" s="1057" customFormat="1" ht="17.25" hidden="1" customHeight="1">
      <c r="A74" s="165"/>
      <c r="B74" s="718"/>
      <c r="C74" s="165"/>
      <c r="D74" s="165"/>
      <c r="E74" s="623">
        <v>0</v>
      </c>
      <c r="F74" s="714" t="str">
        <f t="shared" ca="1" si="2"/>
        <v>1</v>
      </c>
      <c r="G74" s="167"/>
      <c r="H74" s="167"/>
      <c r="I74" s="167"/>
      <c r="J74" s="167"/>
      <c r="K74" s="167"/>
      <c r="L74" s="167"/>
      <c r="M74" s="167"/>
      <c r="N74" s="167"/>
      <c r="O74" s="167"/>
      <c r="P74" s="167"/>
      <c r="Q74" s="130"/>
      <c r="R74" s="130"/>
      <c r="S74" s="167"/>
      <c r="T74" s="634" t="b">
        <f t="shared" ca="1" si="0"/>
        <v>1</v>
      </c>
      <c r="U74" s="1012"/>
      <c r="V74" s="1012"/>
      <c r="W74" s="1012"/>
      <c r="X74" s="1405"/>
      <c r="Y74" s="1012"/>
      <c r="Z74" s="1405"/>
      <c r="AA74" s="167"/>
      <c r="AB74" s="165"/>
      <c r="AC74" s="166"/>
      <c r="AD74" s="165"/>
      <c r="AE74" s="167"/>
      <c r="AF74" s="167"/>
      <c r="AG74" s="167"/>
      <c r="AH74" s="167"/>
      <c r="AI74" s="167"/>
      <c r="AJ74" s="167"/>
      <c r="AK74" s="167"/>
      <c r="AL74" s="944"/>
      <c r="AM74" s="944"/>
      <c r="AN74" s="944"/>
      <c r="AO74" s="945"/>
      <c r="AP74" s="945"/>
    </row>
    <row r="75" spans="1:42" ht="9.9499999999999993" customHeight="1">
      <c r="E75" s="623">
        <v>10.199999999999999</v>
      </c>
      <c r="U75" s="116" t="s">
        <v>172</v>
      </c>
      <c r="V75" s="109" t="s">
        <v>1609</v>
      </c>
    </row>
    <row r="76" spans="1:42" ht="11.25" hidden="1" customHeight="1">
      <c r="E76" s="623">
        <v>0</v>
      </c>
    </row>
    <row r="77" spans="1:42" ht="14.65" customHeight="1">
      <c r="E77" s="623">
        <v>15</v>
      </c>
      <c r="AB77" s="1531" t="s">
        <v>557</v>
      </c>
      <c r="AC77" s="1532"/>
      <c r="AD77" s="1532"/>
      <c r="AE77" s="1532"/>
      <c r="AF77" s="1532"/>
      <c r="AG77" s="1532"/>
      <c r="AH77" s="1532"/>
      <c r="AI77" s="1533"/>
    </row>
    <row r="78" spans="1:42" ht="14.65" customHeight="1">
      <c r="E78" s="623">
        <v>15</v>
      </c>
      <c r="AA78" s="713"/>
      <c r="AB78" s="1534"/>
      <c r="AC78" s="1535"/>
      <c r="AD78" s="1535"/>
      <c r="AE78" s="1535"/>
      <c r="AF78" s="1535"/>
      <c r="AG78" s="1535"/>
      <c r="AH78" s="1535"/>
      <c r="AI78" s="1536"/>
    </row>
    <row r="79" spans="1:42" ht="14.65" hidden="1" customHeight="1">
      <c r="E79" s="623">
        <v>15</v>
      </c>
      <c r="T79" s="634" t="b">
        <f>ROW(W79)&gt;ROW(W$79)</f>
        <v>0</v>
      </c>
      <c r="W79" s="113" t="s">
        <v>170</v>
      </c>
      <c r="AA79" s="709" t="s">
        <v>157</v>
      </c>
      <c r="AB79" s="1537"/>
      <c r="AC79" s="1538"/>
      <c r="AD79" s="1538"/>
      <c r="AE79" s="1538"/>
      <c r="AF79" s="1538"/>
      <c r="AG79" s="1538"/>
      <c r="AH79" s="1538"/>
      <c r="AI79" s="1539"/>
    </row>
    <row r="80" spans="1:42" ht="14.65" customHeight="1">
      <c r="E80" s="623">
        <v>15</v>
      </c>
      <c r="W80" s="109" t="s">
        <v>832</v>
      </c>
      <c r="AA80" s="150"/>
      <c r="AB80" s="1420" t="s">
        <v>558</v>
      </c>
      <c r="AC80" s="1421"/>
      <c r="AD80" s="768"/>
      <c r="AE80" s="299"/>
      <c r="AF80" s="299"/>
      <c r="AG80" s="299"/>
      <c r="AH80" s="299"/>
      <c r="AI80" s="271"/>
    </row>
  </sheetData>
  <sheetProtection formatColumns="0" formatRows="0" insertRows="0" deleteColumns="0" deleteRows="0" sort="0" autoFilter="0"/>
  <mergeCells count="15">
    <mergeCell ref="AB80:AC80"/>
    <mergeCell ref="AB22:AI22"/>
    <mergeCell ref="AB24:AB25"/>
    <mergeCell ref="AC24:AC25"/>
    <mergeCell ref="AD24:AD25"/>
    <mergeCell ref="AG24:AG25"/>
    <mergeCell ref="AH24:AH25"/>
    <mergeCell ref="AI24:AI25"/>
    <mergeCell ref="X27:X50"/>
    <mergeCell ref="Z27:Z50"/>
    <mergeCell ref="AB77:AI77"/>
    <mergeCell ref="AB78:AI78"/>
    <mergeCell ref="AB79:AI79"/>
    <mergeCell ref="X51:X74"/>
    <mergeCell ref="Z51:Z74"/>
  </mergeCells>
  <dataValidations count="1">
    <dataValidation type="decimal" allowBlank="1" showErrorMessage="1" errorTitle="Ошибка" error="Допускается ввод только действительных чисел!" sqref="AG40:AI40 AE43:AI43 AE38:AF41 AE62 AF62 AE63 AF63 AE64 AF64 AG64 AH64 AI64 AE65 AF65 AE67 AF67 AG67 AH67 AI67">
      <formula1>-9.99999999999999E+23</formula1>
      <formula2>9.99999999999999E+23</formula2>
    </dataValidation>
  </dataValidation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pageSetUpPr fitToPage="1"/>
  </sheetPr>
  <dimension ref="A1:GP86"/>
  <sheetViews>
    <sheetView showGridLines="0" workbookViewId="0">
      <pane xSplit="30" ySplit="25" topLeftCell="AE26" activePane="bottomRight" state="frozen"/>
      <selection pane="topRight" activeCell="AE1" sqref="AE1"/>
      <selection pane="bottomLeft" activeCell="A26" sqref="A26"/>
      <selection pane="bottomRight" activeCell="AA21" sqref="AA21"/>
    </sheetView>
  </sheetViews>
  <sheetFormatPr defaultColWidth="9.140625" defaultRowHeight="11.25" customHeight="1"/>
  <cols>
    <col min="1" max="1" width="3.5703125" style="165" hidden="1" customWidth="1"/>
    <col min="2" max="2" width="8.5703125" style="718" hidden="1" customWidth="1"/>
    <col min="3" max="4" width="3.5703125" style="165" hidden="1" customWidth="1"/>
    <col min="5" max="5" width="8.42578125" style="717" hidden="1" customWidth="1"/>
    <col min="6" max="6" width="3.5703125" style="165" hidden="1" customWidth="1"/>
    <col min="7" max="16" width="3.5703125" style="167" hidden="1" customWidth="1"/>
    <col min="17" max="17" width="3.5703125" style="130" hidden="1" customWidth="1"/>
    <col min="18" max="18" width="22.85546875" style="130" hidden="1" customWidth="1"/>
    <col min="19" max="19" width="3.5703125" style="167" hidden="1" customWidth="1"/>
    <col min="20" max="20" width="8.28515625" style="1012" hidden="1" customWidth="1"/>
    <col min="21" max="21" width="6" style="1012" hidden="1" customWidth="1"/>
    <col min="22" max="23" width="6.28515625" style="1012" hidden="1" customWidth="1"/>
    <col min="24" max="25" width="5.7109375" style="1012" hidden="1" customWidth="1"/>
    <col min="26" max="26" width="5.42578125" style="1012" hidden="1" customWidth="1"/>
    <col min="27" max="27" width="3" style="167" customWidth="1"/>
    <col min="28" max="28" width="8.140625" style="165" customWidth="1"/>
    <col min="29" max="29" width="70.140625" style="166" customWidth="1"/>
    <col min="30" max="30" width="14.42578125" style="165" customWidth="1"/>
    <col min="31" max="31" width="12.5703125" style="167" customWidth="1"/>
    <col min="32" max="40" width="12.5703125" style="167" hidden="1" customWidth="1"/>
    <col min="41" max="41" width="12.5703125" style="167" customWidth="1"/>
    <col min="42" max="50" width="12.5703125" style="167" hidden="1" customWidth="1"/>
    <col min="51" max="51" width="19" style="167" customWidth="1"/>
    <col min="52" max="52" width="17.28515625" style="167" customWidth="1"/>
    <col min="53" max="53" width="31.28515625" style="167" customWidth="1"/>
    <col min="54" max="54" width="3" style="167" customWidth="1"/>
    <col min="55" max="55" width="9.140625" style="167" hidden="1"/>
    <col min="56" max="58" width="9.140625" style="944" hidden="1"/>
    <col min="59" max="60" width="9.140625" style="945" hidden="1"/>
    <col min="61" max="198" width="9.140625" style="167" hidden="1"/>
  </cols>
  <sheetData>
    <row r="1" spans="1:60" s="1012" customFormat="1" ht="12" hidden="1" customHeight="1">
      <c r="B1" s="614"/>
      <c r="E1" s="614"/>
      <c r="F1" s="634" t="s">
        <v>77</v>
      </c>
      <c r="G1" s="150"/>
      <c r="H1" s="150"/>
      <c r="I1" s="150"/>
      <c r="J1" s="150"/>
      <c r="K1" s="150"/>
      <c r="L1" s="150"/>
      <c r="M1" s="150"/>
      <c r="N1" s="150"/>
      <c r="O1" s="150"/>
      <c r="P1" s="150"/>
      <c r="Q1" s="566"/>
      <c r="R1" s="566"/>
      <c r="S1" s="150"/>
      <c r="T1" s="634" t="s">
        <v>78</v>
      </c>
      <c r="U1" s="634" t="s">
        <v>83</v>
      </c>
      <c r="V1" s="634" t="s">
        <v>79</v>
      </c>
      <c r="W1" s="634" t="s">
        <v>80</v>
      </c>
      <c r="X1" s="634" t="s">
        <v>81</v>
      </c>
      <c r="Y1" s="735" t="s">
        <v>274</v>
      </c>
      <c r="Z1" s="634" t="s">
        <v>85</v>
      </c>
      <c r="AA1" s="735" t="s">
        <v>82</v>
      </c>
      <c r="AB1" s="735" t="s">
        <v>84</v>
      </c>
      <c r="AC1" s="735" t="s">
        <v>84</v>
      </c>
      <c r="BD1" s="912" t="s">
        <v>275</v>
      </c>
      <c r="BE1" s="912" t="s">
        <v>276</v>
      </c>
      <c r="BF1" s="912" t="s">
        <v>277</v>
      </c>
      <c r="BG1" s="915" t="s">
        <v>280</v>
      </c>
      <c r="BH1" s="915" t="s">
        <v>281</v>
      </c>
    </row>
    <row r="2" spans="1:60" s="718" customFormat="1" ht="12" hidden="1" customHeight="1">
      <c r="B2" s="703" t="s">
        <v>15</v>
      </c>
      <c r="G2" s="721"/>
      <c r="H2" s="721"/>
      <c r="I2" s="721"/>
      <c r="J2" s="721"/>
      <c r="K2" s="721"/>
      <c r="L2" s="721"/>
      <c r="M2" s="721"/>
      <c r="N2" s="721"/>
      <c r="O2" s="721"/>
      <c r="P2" s="721"/>
      <c r="Q2" s="721"/>
      <c r="R2" s="721"/>
      <c r="S2" s="721"/>
      <c r="AC2" s="618"/>
      <c r="AE2" s="635" t="b">
        <f t="shared" ref="AE2:AX2" si="0">AE6&lt;=last_year_vis</f>
        <v>1</v>
      </c>
      <c r="AF2" s="635" t="b">
        <f t="shared" si="0"/>
        <v>0</v>
      </c>
      <c r="AG2" s="635" t="b">
        <f t="shared" si="0"/>
        <v>0</v>
      </c>
      <c r="AH2" s="635" t="b">
        <f t="shared" si="0"/>
        <v>0</v>
      </c>
      <c r="AI2" s="635" t="b">
        <f t="shared" si="0"/>
        <v>0</v>
      </c>
      <c r="AJ2" s="635" t="b">
        <f t="shared" si="0"/>
        <v>0</v>
      </c>
      <c r="AK2" s="635" t="b">
        <f t="shared" si="0"/>
        <v>0</v>
      </c>
      <c r="AL2" s="635" t="b">
        <f t="shared" si="0"/>
        <v>0</v>
      </c>
      <c r="AM2" s="635" t="b">
        <f t="shared" si="0"/>
        <v>0</v>
      </c>
      <c r="AN2" s="635" t="b">
        <f t="shared" si="0"/>
        <v>0</v>
      </c>
      <c r="AO2" s="635" t="b">
        <f t="shared" si="0"/>
        <v>1</v>
      </c>
      <c r="AP2" s="635" t="b">
        <f t="shared" si="0"/>
        <v>0</v>
      </c>
      <c r="AQ2" s="635" t="b">
        <f t="shared" si="0"/>
        <v>0</v>
      </c>
      <c r="AR2" s="635" t="b">
        <f t="shared" si="0"/>
        <v>0</v>
      </c>
      <c r="AS2" s="635" t="b">
        <f t="shared" si="0"/>
        <v>0</v>
      </c>
      <c r="AT2" s="635" t="b">
        <f t="shared" si="0"/>
        <v>0</v>
      </c>
      <c r="AU2" s="635" t="b">
        <f t="shared" si="0"/>
        <v>0</v>
      </c>
      <c r="AV2" s="635" t="b">
        <f t="shared" si="0"/>
        <v>0</v>
      </c>
      <c r="AW2" s="635" t="b">
        <f t="shared" si="0"/>
        <v>0</v>
      </c>
      <c r="AX2" s="635" t="b">
        <f t="shared" si="0"/>
        <v>0</v>
      </c>
      <c r="BD2" s="905"/>
      <c r="BE2" s="905"/>
      <c r="BF2" s="905"/>
      <c r="BG2" s="916"/>
      <c r="BH2" s="916"/>
    </row>
    <row r="3" spans="1:60" s="165" customFormat="1" ht="12" hidden="1" customHeight="1">
      <c r="B3" s="614"/>
      <c r="E3" s="614"/>
      <c r="G3" s="167"/>
      <c r="H3" s="167"/>
      <c r="I3" s="167"/>
      <c r="J3" s="167"/>
      <c r="K3" s="167"/>
      <c r="L3" s="167"/>
      <c r="M3" s="167"/>
      <c r="N3" s="167"/>
      <c r="O3" s="167"/>
      <c r="P3" s="167"/>
      <c r="Q3" s="130"/>
      <c r="R3" s="130"/>
      <c r="S3" s="167"/>
      <c r="T3" s="113"/>
      <c r="U3" s="113"/>
      <c r="V3" s="113"/>
      <c r="W3" s="113"/>
      <c r="X3" s="113"/>
      <c r="Y3" s="113"/>
      <c r="Z3" s="113"/>
      <c r="AC3" s="169"/>
      <c r="BD3" s="944"/>
      <c r="BE3" s="944"/>
      <c r="BF3" s="944"/>
      <c r="BG3" s="945"/>
      <c r="BH3" s="945"/>
    </row>
    <row r="4" spans="1:60" s="165" customFormat="1" ht="12" hidden="1" customHeight="1">
      <c r="B4" s="614"/>
      <c r="E4" s="614"/>
      <c r="G4" s="167"/>
      <c r="H4" s="167"/>
      <c r="I4" s="167"/>
      <c r="J4" s="167"/>
      <c r="K4" s="167"/>
      <c r="L4" s="167"/>
      <c r="M4" s="167"/>
      <c r="N4" s="167"/>
      <c r="O4" s="167"/>
      <c r="P4" s="167"/>
      <c r="Q4" s="130"/>
      <c r="R4" s="130"/>
      <c r="S4" s="167"/>
      <c r="T4" s="113"/>
      <c r="U4" s="113"/>
      <c r="V4" s="113"/>
      <c r="W4" s="113"/>
      <c r="X4" s="113"/>
      <c r="Y4" s="113"/>
      <c r="Z4" s="113"/>
      <c r="AC4" s="169"/>
      <c r="BD4" s="944"/>
      <c r="BE4" s="944"/>
      <c r="BF4" s="944"/>
      <c r="BG4" s="945"/>
      <c r="BH4" s="945"/>
    </row>
    <row r="5" spans="1:60" s="717" customFormat="1" ht="12" hidden="1" customHeight="1">
      <c r="A5" s="614"/>
      <c r="B5" s="614"/>
      <c r="C5" s="614"/>
      <c r="D5" s="614"/>
      <c r="E5" s="623" t="s">
        <v>16</v>
      </c>
      <c r="G5" s="722"/>
      <c r="H5" s="722"/>
      <c r="I5" s="722"/>
      <c r="J5" s="722"/>
      <c r="K5" s="722"/>
      <c r="L5" s="722"/>
      <c r="M5" s="722"/>
      <c r="N5" s="722"/>
      <c r="O5" s="722"/>
      <c r="P5" s="722"/>
      <c r="Q5" s="722"/>
      <c r="R5" s="722"/>
      <c r="S5" s="722"/>
      <c r="AA5" s="623">
        <v>3</v>
      </c>
      <c r="AB5" s="623">
        <v>8.1300000000000008</v>
      </c>
      <c r="AC5" s="629">
        <v>70.13</v>
      </c>
      <c r="AD5" s="623">
        <v>14.38</v>
      </c>
      <c r="AE5" s="623">
        <v>12.63</v>
      </c>
      <c r="AF5" s="623">
        <v>12.63</v>
      </c>
      <c r="AG5" s="623">
        <v>12.63</v>
      </c>
      <c r="AH5" s="623">
        <v>12.63</v>
      </c>
      <c r="AI5" s="623">
        <v>12.63</v>
      </c>
      <c r="AJ5" s="623">
        <v>12.63</v>
      </c>
      <c r="AK5" s="623">
        <v>12.63</v>
      </c>
      <c r="AL5" s="623">
        <v>12.63</v>
      </c>
      <c r="AM5" s="623">
        <v>12.63</v>
      </c>
      <c r="AN5" s="623">
        <v>12.63</v>
      </c>
      <c r="AO5" s="623">
        <v>12.63</v>
      </c>
      <c r="AP5" s="623">
        <v>12.63</v>
      </c>
      <c r="AQ5" s="623">
        <v>12.63</v>
      </c>
      <c r="AR5" s="623">
        <v>12.63</v>
      </c>
      <c r="AS5" s="623">
        <v>12.63</v>
      </c>
      <c r="AT5" s="623">
        <v>12.63</v>
      </c>
      <c r="AU5" s="623">
        <v>12.63</v>
      </c>
      <c r="AV5" s="623">
        <v>12.63</v>
      </c>
      <c r="AW5" s="623">
        <v>12.63</v>
      </c>
      <c r="AX5" s="623">
        <v>12.63</v>
      </c>
      <c r="AY5" s="623">
        <v>19</v>
      </c>
      <c r="AZ5" s="623">
        <v>17.25</v>
      </c>
      <c r="BA5" s="623">
        <v>31.25</v>
      </c>
      <c r="BB5" s="623">
        <v>3</v>
      </c>
      <c r="BD5" s="905"/>
      <c r="BE5" s="905"/>
      <c r="BF5" s="905"/>
      <c r="BG5" s="916"/>
      <c r="BH5" s="916"/>
    </row>
    <row r="6" spans="1:60" s="165" customFormat="1" ht="12" hidden="1" customHeight="1">
      <c r="B6" s="614"/>
      <c r="E6" s="623"/>
      <c r="G6" s="167"/>
      <c r="H6" s="167"/>
      <c r="I6" s="167"/>
      <c r="J6" s="167"/>
      <c r="K6" s="167"/>
      <c r="L6" s="167"/>
      <c r="M6" s="167"/>
      <c r="N6" s="167"/>
      <c r="O6" s="167"/>
      <c r="P6" s="167"/>
      <c r="Q6" s="130"/>
      <c r="R6" s="130"/>
      <c r="S6" s="167"/>
      <c r="T6" s="113"/>
      <c r="U6" s="113"/>
      <c r="V6" s="113"/>
      <c r="W6" s="113"/>
      <c r="X6" s="113"/>
      <c r="Y6" s="113"/>
      <c r="Z6" s="113"/>
      <c r="AC6" s="169"/>
      <c r="AE6" s="113">
        <f>god</f>
        <v>2026</v>
      </c>
      <c r="AF6" s="113">
        <f>god+1</f>
        <v>2027</v>
      </c>
      <c r="AG6" s="113">
        <f>god+2</f>
        <v>2028</v>
      </c>
      <c r="AH6" s="113">
        <f>god+3</f>
        <v>2029</v>
      </c>
      <c r="AI6" s="113">
        <f>god+4</f>
        <v>2030</v>
      </c>
      <c r="AJ6" s="113">
        <f>god+5</f>
        <v>2031</v>
      </c>
      <c r="AK6" s="113">
        <f>god+6</f>
        <v>2032</v>
      </c>
      <c r="AL6" s="113">
        <f>god+7</f>
        <v>2033</v>
      </c>
      <c r="AM6" s="113">
        <f>god+8</f>
        <v>2034</v>
      </c>
      <c r="AN6" s="113">
        <f>god+9</f>
        <v>2035</v>
      </c>
      <c r="AO6" s="113">
        <f>god</f>
        <v>2026</v>
      </c>
      <c r="AP6" s="113">
        <f>god+1</f>
        <v>2027</v>
      </c>
      <c r="AQ6" s="113">
        <f>god+2</f>
        <v>2028</v>
      </c>
      <c r="AR6" s="113">
        <f>god+3</f>
        <v>2029</v>
      </c>
      <c r="AS6" s="113">
        <f>god+4</f>
        <v>2030</v>
      </c>
      <c r="AT6" s="113">
        <f>god+5</f>
        <v>2031</v>
      </c>
      <c r="AU6" s="113">
        <f>god+6</f>
        <v>2032</v>
      </c>
      <c r="AV6" s="113">
        <f>god+7</f>
        <v>2033</v>
      </c>
      <c r="AW6" s="113">
        <f>god+8</f>
        <v>2034</v>
      </c>
      <c r="AX6" s="113">
        <f>god+9</f>
        <v>2035</v>
      </c>
      <c r="BD6" s="944"/>
      <c r="BE6" s="944"/>
      <c r="BF6" s="944"/>
      <c r="BG6" s="945"/>
      <c r="BH6" s="945"/>
    </row>
    <row r="7" spans="1:60" ht="12" hidden="1" customHeight="1">
      <c r="F7" s="167"/>
      <c r="T7" s="150"/>
      <c r="U7" s="150"/>
      <c r="V7" s="150"/>
      <c r="W7" s="150"/>
      <c r="X7" s="150"/>
      <c r="Y7" s="150"/>
      <c r="Z7" s="150"/>
      <c r="AB7" s="167"/>
      <c r="AD7" s="167"/>
      <c r="AE7" s="150" t="str">
        <f t="shared" ref="AE7:AN7" si="1">$AE$25</f>
        <v>Предложение организации</v>
      </c>
      <c r="AF7" s="150" t="str">
        <f t="shared" si="1"/>
        <v>Предложение организации</v>
      </c>
      <c r="AG7" s="150" t="str">
        <f t="shared" si="1"/>
        <v>Предложение организации</v>
      </c>
      <c r="AH7" s="150" t="str">
        <f t="shared" si="1"/>
        <v>Предложение организации</v>
      </c>
      <c r="AI7" s="150" t="str">
        <f t="shared" si="1"/>
        <v>Предложение организации</v>
      </c>
      <c r="AJ7" s="150" t="str">
        <f t="shared" si="1"/>
        <v>Предложение организации</v>
      </c>
      <c r="AK7" s="150" t="str">
        <f t="shared" si="1"/>
        <v>Предложение организации</v>
      </c>
      <c r="AL7" s="150" t="str">
        <f t="shared" si="1"/>
        <v>Предложение организации</v>
      </c>
      <c r="AM7" s="150" t="str">
        <f t="shared" si="1"/>
        <v>Предложение организации</v>
      </c>
      <c r="AN7" s="150" t="str">
        <f t="shared" si="1"/>
        <v>Предложение организации</v>
      </c>
      <c r="AO7" s="150" t="str">
        <f t="shared" ref="AO7:AX7" si="2">$AO$25</f>
        <v>Принято органом регулирования</v>
      </c>
      <c r="AP7" s="150" t="str">
        <f t="shared" si="2"/>
        <v>Принято органом регулирования</v>
      </c>
      <c r="AQ7" s="150" t="str">
        <f t="shared" si="2"/>
        <v>Принято органом регулирования</v>
      </c>
      <c r="AR7" s="150" t="str">
        <f t="shared" si="2"/>
        <v>Принято органом регулирования</v>
      </c>
      <c r="AS7" s="150" t="str">
        <f t="shared" si="2"/>
        <v>Принято органом регулирования</v>
      </c>
      <c r="AT7" s="150" t="str">
        <f t="shared" si="2"/>
        <v>Принято органом регулирования</v>
      </c>
      <c r="AU7" s="150" t="str">
        <f t="shared" si="2"/>
        <v>Принято органом регулирования</v>
      </c>
      <c r="AV7" s="150" t="str">
        <f t="shared" si="2"/>
        <v>Принято органом регулирования</v>
      </c>
      <c r="AW7" s="150" t="str">
        <f t="shared" si="2"/>
        <v>Принято органом регулирования</v>
      </c>
      <c r="AX7" s="150" t="str">
        <f t="shared" si="2"/>
        <v>Принято органом регулирования</v>
      </c>
    </row>
    <row r="8" spans="1:60" ht="12" hidden="1" customHeight="1">
      <c r="F8" s="167"/>
      <c r="T8" s="150"/>
      <c r="U8" s="150"/>
      <c r="V8" s="150"/>
      <c r="W8" s="150"/>
      <c r="X8" s="150"/>
      <c r="Y8" s="150"/>
      <c r="Z8" s="150"/>
      <c r="AB8" s="167"/>
      <c r="AD8" s="167"/>
      <c r="AE8" s="150" t="str">
        <f t="shared" ref="AE8:AX8" si="3">AE6&amp;AE7</f>
        <v>2026Предложение организации</v>
      </c>
      <c r="AF8" s="150" t="str">
        <f t="shared" si="3"/>
        <v>2027Предложение организации</v>
      </c>
      <c r="AG8" s="150" t="str">
        <f t="shared" si="3"/>
        <v>2028Предложение организации</v>
      </c>
      <c r="AH8" s="150" t="str">
        <f t="shared" si="3"/>
        <v>2029Предложение организации</v>
      </c>
      <c r="AI8" s="150" t="str">
        <f t="shared" si="3"/>
        <v>2030Предложение организации</v>
      </c>
      <c r="AJ8" s="150" t="str">
        <f t="shared" si="3"/>
        <v>2031Предложение организации</v>
      </c>
      <c r="AK8" s="150" t="str">
        <f t="shared" si="3"/>
        <v>2032Предложение организации</v>
      </c>
      <c r="AL8" s="150" t="str">
        <f t="shared" si="3"/>
        <v>2033Предложение организации</v>
      </c>
      <c r="AM8" s="150" t="str">
        <f t="shared" si="3"/>
        <v>2034Предложение организации</v>
      </c>
      <c r="AN8" s="150" t="str">
        <f t="shared" si="3"/>
        <v>2035Предложение организации</v>
      </c>
      <c r="AO8" s="150" t="str">
        <f t="shared" si="3"/>
        <v>2026Принято органом регулирования</v>
      </c>
      <c r="AP8" s="150" t="str">
        <f t="shared" si="3"/>
        <v>2027Принято органом регулирования</v>
      </c>
      <c r="AQ8" s="150" t="str">
        <f t="shared" si="3"/>
        <v>2028Принято органом регулирования</v>
      </c>
      <c r="AR8" s="150" t="str">
        <f t="shared" si="3"/>
        <v>2029Принято органом регулирования</v>
      </c>
      <c r="AS8" s="150" t="str">
        <f t="shared" si="3"/>
        <v>2030Принято органом регулирования</v>
      </c>
      <c r="AT8" s="150" t="str">
        <f t="shared" si="3"/>
        <v>2031Принято органом регулирования</v>
      </c>
      <c r="AU8" s="150" t="str">
        <f t="shared" si="3"/>
        <v>2032Принято органом регулирования</v>
      </c>
      <c r="AV8" s="150" t="str">
        <f t="shared" si="3"/>
        <v>2033Принято органом регулирования</v>
      </c>
      <c r="AW8" s="150" t="str">
        <f t="shared" si="3"/>
        <v>2034Принято органом регулирования</v>
      </c>
      <c r="AX8" s="150" t="str">
        <f t="shared" si="3"/>
        <v>2035Принято органом регулирования</v>
      </c>
    </row>
    <row r="9" spans="1:60" s="943" customFormat="1" ht="12" hidden="1" customHeight="1">
      <c r="A9" s="890" t="s">
        <v>327</v>
      </c>
      <c r="B9" s="878"/>
      <c r="E9" s="878"/>
      <c r="Q9" s="923"/>
      <c r="R9" s="923"/>
      <c r="T9" s="891"/>
      <c r="U9" s="891"/>
      <c r="V9" s="891"/>
      <c r="W9" s="891"/>
      <c r="X9" s="891"/>
      <c r="Y9" s="891"/>
      <c r="Z9" s="891"/>
      <c r="AE9" s="943">
        <f>god</f>
        <v>2026</v>
      </c>
      <c r="AF9" s="943">
        <f>god+1</f>
        <v>2027</v>
      </c>
      <c r="AG9" s="943">
        <f>god+2</f>
        <v>2028</v>
      </c>
      <c r="AH9" s="943">
        <f>god+3</f>
        <v>2029</v>
      </c>
      <c r="AI9" s="943">
        <f>god+4</f>
        <v>2030</v>
      </c>
      <c r="AJ9" s="943">
        <f>god+5</f>
        <v>2031</v>
      </c>
      <c r="AK9" s="943">
        <f>god+6</f>
        <v>2032</v>
      </c>
      <c r="AL9" s="943">
        <f>god+7</f>
        <v>2033</v>
      </c>
      <c r="AM9" s="943">
        <f>god+8</f>
        <v>2034</v>
      </c>
      <c r="AN9" s="943">
        <f>god+9</f>
        <v>2035</v>
      </c>
      <c r="AO9" s="943">
        <f>god</f>
        <v>2026</v>
      </c>
      <c r="AP9" s="943">
        <f>god+1</f>
        <v>2027</v>
      </c>
      <c r="AQ9" s="943">
        <f>god+2</f>
        <v>2028</v>
      </c>
      <c r="AR9" s="943">
        <f>god+3</f>
        <v>2029</v>
      </c>
      <c r="AS9" s="943">
        <f>god+4</f>
        <v>2030</v>
      </c>
      <c r="AT9" s="943">
        <f>god+5</f>
        <v>2031</v>
      </c>
      <c r="AU9" s="943">
        <f>god+6</f>
        <v>2032</v>
      </c>
      <c r="AV9" s="943">
        <f>god+7</f>
        <v>2033</v>
      </c>
      <c r="AW9" s="943">
        <f>god+8</f>
        <v>2034</v>
      </c>
      <c r="AX9" s="943">
        <f>god+9</f>
        <v>2035</v>
      </c>
      <c r="BD9" s="944"/>
      <c r="BE9" s="944"/>
      <c r="BF9" s="944"/>
      <c r="BG9" s="945"/>
      <c r="BH9" s="945"/>
    </row>
    <row r="10" spans="1:60" s="943" customFormat="1" ht="12" hidden="1" customHeight="1">
      <c r="A10" s="890" t="s">
        <v>328</v>
      </c>
      <c r="B10" s="878"/>
      <c r="E10" s="878"/>
      <c r="Q10" s="923"/>
      <c r="R10" s="923"/>
      <c r="T10" s="891"/>
      <c r="U10" s="891"/>
      <c r="V10" s="891"/>
      <c r="W10" s="891"/>
      <c r="X10" s="891"/>
      <c r="Y10" s="891"/>
      <c r="Z10" s="891"/>
      <c r="AE10" s="943" t="str">
        <f t="shared" ref="AE10:AX10" si="4">AE25</f>
        <v>Предложение организации</v>
      </c>
      <c r="AF10" s="943" t="str">
        <f t="shared" si="4"/>
        <v>Предложение организации</v>
      </c>
      <c r="AG10" s="943" t="str">
        <f t="shared" si="4"/>
        <v>Предложение организации</v>
      </c>
      <c r="AH10" s="943" t="str">
        <f t="shared" si="4"/>
        <v>Предложение организации</v>
      </c>
      <c r="AI10" s="943" t="str">
        <f t="shared" si="4"/>
        <v>Предложение организации</v>
      </c>
      <c r="AJ10" s="943" t="str">
        <f t="shared" si="4"/>
        <v>Предложение организации</v>
      </c>
      <c r="AK10" s="943" t="str">
        <f t="shared" si="4"/>
        <v>Предложение организации</v>
      </c>
      <c r="AL10" s="943" t="str">
        <f t="shared" si="4"/>
        <v>Предложение организации</v>
      </c>
      <c r="AM10" s="943" t="str">
        <f t="shared" si="4"/>
        <v>Предложение организации</v>
      </c>
      <c r="AN10" s="943" t="str">
        <f t="shared" si="4"/>
        <v>Предложение организации</v>
      </c>
      <c r="AO10" s="943" t="str">
        <f t="shared" si="4"/>
        <v>Принято органом регулирования</v>
      </c>
      <c r="AP10" s="943" t="str">
        <f t="shared" si="4"/>
        <v>Принято органом регулирования</v>
      </c>
      <c r="AQ10" s="943" t="str">
        <f t="shared" si="4"/>
        <v>Принято органом регулирования</v>
      </c>
      <c r="AR10" s="943" t="str">
        <f t="shared" si="4"/>
        <v>Принято органом регулирования</v>
      </c>
      <c r="AS10" s="943" t="str">
        <f t="shared" si="4"/>
        <v>Принято органом регулирования</v>
      </c>
      <c r="AT10" s="943" t="str">
        <f t="shared" si="4"/>
        <v>Принято органом регулирования</v>
      </c>
      <c r="AU10" s="943" t="str">
        <f t="shared" si="4"/>
        <v>Принято органом регулирования</v>
      </c>
      <c r="AV10" s="943" t="str">
        <f t="shared" si="4"/>
        <v>Принято органом регулирования</v>
      </c>
      <c r="AW10" s="943" t="str">
        <f t="shared" si="4"/>
        <v>Принято органом регулирования</v>
      </c>
      <c r="AX10" s="943" t="str">
        <f t="shared" si="4"/>
        <v>Принято органом регулирования</v>
      </c>
      <c r="BD10" s="944"/>
      <c r="BE10" s="944"/>
      <c r="BF10" s="944"/>
      <c r="BG10" s="945"/>
      <c r="BH10" s="945"/>
    </row>
    <row r="11" spans="1:60" s="943" customFormat="1" ht="12" hidden="1" customHeight="1">
      <c r="A11" s="890" t="s">
        <v>329</v>
      </c>
      <c r="B11" s="878"/>
      <c r="E11" s="878"/>
      <c r="G11" s="946"/>
      <c r="H11" s="946"/>
      <c r="I11" s="946"/>
      <c r="J11" s="946"/>
      <c r="K11" s="946"/>
      <c r="L11" s="946"/>
      <c r="M11" s="946"/>
      <c r="N11" s="946"/>
      <c r="O11" s="946"/>
      <c r="P11" s="946"/>
      <c r="Q11" s="925"/>
      <c r="R11" s="925"/>
      <c r="S11" s="946"/>
      <c r="T11" s="891"/>
      <c r="U11" s="891"/>
      <c r="V11" s="891"/>
      <c r="W11" s="891"/>
      <c r="X11" s="891"/>
      <c r="Y11" s="891"/>
      <c r="Z11" s="891"/>
      <c r="AC11" s="947"/>
      <c r="AY11" s="943" t="str">
        <f>AY24</f>
        <v>Указание на подтверждающие документы / URL-ссылка на копии подтверждающих документов</v>
      </c>
      <c r="AZ11" s="943" t="str">
        <f>AZ24</f>
        <v>Ссылка на правовую норму (основание для принятия показателя в расчет тарифа)</v>
      </c>
      <c r="BA11" s="943" t="str">
        <f>BA24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D11" s="944"/>
      <c r="BE11" s="944"/>
      <c r="BF11" s="944"/>
      <c r="BG11" s="945"/>
      <c r="BH11" s="945"/>
    </row>
    <row r="12" spans="1:60" s="943" customFormat="1" ht="12" hidden="1" customHeight="1">
      <c r="A12" s="890" t="s">
        <v>286</v>
      </c>
      <c r="B12" s="878"/>
      <c r="E12" s="878"/>
      <c r="G12" s="946"/>
      <c r="H12" s="946"/>
      <c r="I12" s="946"/>
      <c r="J12" s="946"/>
      <c r="K12" s="946"/>
      <c r="L12" s="946"/>
      <c r="M12" s="946"/>
      <c r="N12" s="946"/>
      <c r="O12" s="946"/>
      <c r="P12" s="946"/>
      <c r="Q12" s="925"/>
      <c r="R12" s="925"/>
      <c r="S12" s="946"/>
      <c r="T12" s="891"/>
      <c r="U12" s="891"/>
      <c r="V12" s="891"/>
      <c r="W12" s="891"/>
      <c r="X12" s="891"/>
      <c r="Y12" s="891"/>
      <c r="Z12" s="891"/>
      <c r="AC12" s="947" t="s">
        <v>277</v>
      </c>
      <c r="BD12" s="944"/>
      <c r="BE12" s="944"/>
      <c r="BF12" s="944"/>
      <c r="BG12" s="945"/>
      <c r="BH12" s="945"/>
    </row>
    <row r="13" spans="1:60" s="165" customFormat="1" ht="12" hidden="1" customHeight="1">
      <c r="B13" s="614"/>
      <c r="E13" s="623"/>
      <c r="G13" s="167"/>
      <c r="H13" s="167"/>
      <c r="I13" s="167"/>
      <c r="J13" s="167"/>
      <c r="K13" s="167"/>
      <c r="L13" s="167"/>
      <c r="M13" s="167"/>
      <c r="N13" s="167"/>
      <c r="O13" s="167"/>
      <c r="P13" s="167"/>
      <c r="Q13" s="130"/>
      <c r="R13" s="130"/>
      <c r="S13" s="167"/>
      <c r="T13" s="113"/>
      <c r="U13" s="113"/>
      <c r="V13" s="113"/>
      <c r="W13" s="113"/>
      <c r="X13" s="113"/>
      <c r="Y13" s="113"/>
      <c r="Z13" s="113"/>
      <c r="AC13" s="169"/>
      <c r="BD13" s="944"/>
      <c r="BE13" s="944"/>
      <c r="BF13" s="944"/>
      <c r="BG13" s="945"/>
      <c r="BH13" s="945"/>
    </row>
    <row r="14" spans="1:60" s="165" customFormat="1" ht="12" hidden="1" customHeight="1">
      <c r="B14" s="614"/>
      <c r="E14" s="623"/>
      <c r="G14" s="167"/>
      <c r="H14" s="167"/>
      <c r="I14" s="167"/>
      <c r="J14" s="167"/>
      <c r="K14" s="167"/>
      <c r="L14" s="167"/>
      <c r="M14" s="167"/>
      <c r="N14" s="167"/>
      <c r="O14" s="167"/>
      <c r="P14" s="167"/>
      <c r="Q14" s="130"/>
      <c r="R14" s="130"/>
      <c r="S14" s="167"/>
      <c r="T14" s="113"/>
      <c r="U14" s="113"/>
      <c r="V14" s="113"/>
      <c r="W14" s="113"/>
      <c r="X14" s="113"/>
      <c r="Y14" s="113"/>
      <c r="Z14" s="113"/>
      <c r="AC14" s="169"/>
      <c r="AE14" s="113"/>
      <c r="AF14" s="113"/>
      <c r="AG14" s="113"/>
      <c r="AH14" s="113"/>
      <c r="AI14" s="113"/>
      <c r="AJ14" s="113"/>
      <c r="AK14" s="113"/>
      <c r="AL14" s="113"/>
      <c r="AM14" s="113"/>
      <c r="AN14" s="113"/>
      <c r="AO14" s="113"/>
      <c r="AP14" s="113"/>
      <c r="AQ14" s="113"/>
      <c r="AR14" s="113"/>
      <c r="AS14" s="113"/>
      <c r="AT14" s="113"/>
      <c r="AU14" s="113"/>
      <c r="AV14" s="113"/>
      <c r="AW14" s="113"/>
      <c r="AX14" s="113"/>
      <c r="BD14" s="944"/>
      <c r="BE14" s="944"/>
      <c r="BF14" s="944"/>
      <c r="BG14" s="945"/>
      <c r="BH14" s="945"/>
    </row>
    <row r="15" spans="1:60" s="165" customFormat="1" ht="12" hidden="1" customHeight="1">
      <c r="B15" s="614"/>
      <c r="E15" s="623"/>
      <c r="G15" s="167"/>
      <c r="H15" s="167"/>
      <c r="I15" s="167"/>
      <c r="J15" s="167"/>
      <c r="K15" s="167"/>
      <c r="L15" s="167"/>
      <c r="M15" s="167"/>
      <c r="N15" s="167"/>
      <c r="O15" s="167"/>
      <c r="P15" s="167"/>
      <c r="Q15" s="130"/>
      <c r="R15" s="130"/>
      <c r="S15" s="167"/>
      <c r="T15" s="113"/>
      <c r="U15" s="113"/>
      <c r="V15" s="113"/>
      <c r="W15" s="113"/>
      <c r="X15" s="113"/>
      <c r="Y15" s="113"/>
      <c r="Z15" s="113"/>
      <c r="AC15" s="169"/>
      <c r="AE15" s="113"/>
      <c r="AF15" s="113"/>
      <c r="AG15" s="113"/>
      <c r="AH15" s="113"/>
      <c r="AI15" s="113"/>
      <c r="AJ15" s="113"/>
      <c r="AK15" s="113"/>
      <c r="AL15" s="113"/>
      <c r="AM15" s="113"/>
      <c r="AN15" s="113"/>
      <c r="AO15" s="113"/>
      <c r="AP15" s="113"/>
      <c r="AQ15" s="113"/>
      <c r="AR15" s="113"/>
      <c r="AS15" s="113"/>
      <c r="AT15" s="113"/>
      <c r="AU15" s="113"/>
      <c r="AV15" s="113"/>
      <c r="AW15" s="113"/>
      <c r="AX15" s="113"/>
      <c r="BD15" s="944"/>
      <c r="BE15" s="944"/>
      <c r="BF15" s="944"/>
      <c r="BG15" s="945"/>
      <c r="BH15" s="945"/>
    </row>
    <row r="16" spans="1:60" s="165" customFormat="1" ht="12" hidden="1" customHeight="1">
      <c r="B16" s="614"/>
      <c r="E16" s="623"/>
      <c r="G16" s="167"/>
      <c r="H16" s="167"/>
      <c r="I16" s="167"/>
      <c r="J16" s="167"/>
      <c r="K16" s="167"/>
      <c r="L16" s="167"/>
      <c r="M16" s="167"/>
      <c r="N16" s="167"/>
      <c r="O16" s="167"/>
      <c r="P16" s="167"/>
      <c r="Q16" s="130"/>
      <c r="R16" s="130"/>
      <c r="S16" s="167"/>
      <c r="T16" s="113"/>
      <c r="U16" s="113"/>
      <c r="V16" s="113"/>
      <c r="W16" s="113"/>
      <c r="X16" s="113"/>
      <c r="Y16" s="113"/>
      <c r="Z16" s="113"/>
      <c r="AC16" s="169"/>
      <c r="AE16" s="113"/>
      <c r="AF16" s="113"/>
      <c r="AG16" s="113"/>
      <c r="AH16" s="113"/>
      <c r="AI16" s="113"/>
      <c r="AJ16" s="113"/>
      <c r="AK16" s="113"/>
      <c r="AL16" s="113"/>
      <c r="AM16" s="113"/>
      <c r="AN16" s="113"/>
      <c r="AO16" s="113"/>
      <c r="AP16" s="113"/>
      <c r="AQ16" s="113"/>
      <c r="AR16" s="113"/>
      <c r="AS16" s="113"/>
      <c r="AT16" s="113"/>
      <c r="AU16" s="113"/>
      <c r="AV16" s="113"/>
      <c r="AW16" s="113"/>
      <c r="AX16" s="113"/>
      <c r="BD16" s="944"/>
      <c r="BE16" s="944"/>
      <c r="BF16" s="944"/>
      <c r="BG16" s="945"/>
      <c r="BH16" s="945"/>
    </row>
    <row r="17" spans="1:60" s="165" customFormat="1" ht="12" hidden="1" customHeight="1">
      <c r="B17" s="614"/>
      <c r="E17" s="623"/>
      <c r="G17" s="167"/>
      <c r="H17" s="167"/>
      <c r="I17" s="167"/>
      <c r="J17" s="167"/>
      <c r="K17" s="167"/>
      <c r="L17" s="167"/>
      <c r="M17" s="167"/>
      <c r="N17" s="167"/>
      <c r="O17" s="167"/>
      <c r="P17" s="167"/>
      <c r="Q17" s="130"/>
      <c r="R17" s="130"/>
      <c r="S17" s="167"/>
      <c r="T17" s="113"/>
      <c r="U17" s="113"/>
      <c r="V17" s="113"/>
      <c r="W17" s="113"/>
      <c r="X17" s="113"/>
      <c r="Y17" s="113"/>
      <c r="Z17" s="113"/>
      <c r="AC17" s="169"/>
      <c r="BD17" s="944"/>
      <c r="BE17" s="944"/>
      <c r="BF17" s="944"/>
      <c r="BG17" s="945"/>
      <c r="BH17" s="945"/>
    </row>
    <row r="18" spans="1:60" s="165" customFormat="1" ht="12" hidden="1" customHeight="1">
      <c r="B18" s="614"/>
      <c r="E18" s="623"/>
      <c r="G18" s="167"/>
      <c r="H18" s="167"/>
      <c r="I18" s="167"/>
      <c r="J18" s="167"/>
      <c r="K18" s="167"/>
      <c r="L18" s="167"/>
      <c r="M18" s="167"/>
      <c r="N18" s="167"/>
      <c r="O18" s="167"/>
      <c r="P18" s="167"/>
      <c r="Q18" s="130"/>
      <c r="R18" s="130"/>
      <c r="S18" s="167"/>
      <c r="T18" s="113"/>
      <c r="U18" s="113"/>
      <c r="V18" s="113"/>
      <c r="W18" s="113"/>
      <c r="X18" s="113"/>
      <c r="Y18" s="113"/>
      <c r="Z18" s="113"/>
      <c r="AC18" s="169"/>
      <c r="BD18" s="944"/>
      <c r="BE18" s="944"/>
      <c r="BF18" s="944"/>
      <c r="BG18" s="945"/>
      <c r="BH18" s="945"/>
    </row>
    <row r="19" spans="1:60" s="165" customFormat="1" ht="12" hidden="1" customHeight="1">
      <c r="B19" s="614"/>
      <c r="E19" s="623"/>
      <c r="G19" s="167"/>
      <c r="H19" s="167"/>
      <c r="I19" s="167"/>
      <c r="J19" s="167"/>
      <c r="K19" s="167"/>
      <c r="L19" s="167"/>
      <c r="M19" s="167"/>
      <c r="N19" s="167"/>
      <c r="O19" s="167"/>
      <c r="P19" s="167"/>
      <c r="Q19" s="130"/>
      <c r="R19" s="130"/>
      <c r="S19" s="167"/>
      <c r="T19" s="113"/>
      <c r="U19" s="113"/>
      <c r="V19" s="113"/>
      <c r="W19" s="113"/>
      <c r="X19" s="113"/>
      <c r="Y19" s="113"/>
      <c r="Z19" s="113"/>
      <c r="AC19" s="169"/>
      <c r="BD19" s="944"/>
      <c r="BE19" s="944"/>
      <c r="BF19" s="944"/>
      <c r="BG19" s="945"/>
      <c r="BH19" s="945"/>
    </row>
    <row r="20" spans="1:60" s="165" customFormat="1" ht="12" hidden="1" customHeight="1">
      <c r="B20" s="614"/>
      <c r="E20" s="623"/>
      <c r="G20" s="167"/>
      <c r="H20" s="167"/>
      <c r="I20" s="167"/>
      <c r="J20" s="167"/>
      <c r="K20" s="167"/>
      <c r="L20" s="167"/>
      <c r="M20" s="167"/>
      <c r="N20" s="167"/>
      <c r="O20" s="167"/>
      <c r="P20" s="167"/>
      <c r="Q20" s="130"/>
      <c r="R20" s="130"/>
      <c r="S20" s="167"/>
      <c r="T20" s="113"/>
      <c r="U20" s="113"/>
      <c r="V20" s="113"/>
      <c r="W20" s="113"/>
      <c r="X20" s="113"/>
      <c r="Y20" s="113"/>
      <c r="Z20" s="113"/>
      <c r="AC20" s="169"/>
      <c r="BD20" s="944"/>
      <c r="BE20" s="944"/>
      <c r="BF20" s="944"/>
      <c r="BG20" s="945"/>
      <c r="BH20" s="945"/>
    </row>
    <row r="21" spans="1:60" ht="14.65" customHeight="1">
      <c r="E21" s="623">
        <v>15</v>
      </c>
      <c r="AA21" s="646"/>
      <c r="AB21" s="167"/>
      <c r="AC21" s="315" t="str">
        <f>tpl_title</f>
        <v>Кемеровская область / 2026 / АО "СУЭК-Кузбасс" (ИНН:4212024138, КПП:421201001) / ДПР: 2024-2028</v>
      </c>
      <c r="AD21" s="167"/>
    </row>
    <row r="22" spans="1:60" s="1018" customFormat="1" ht="19.5" customHeight="1">
      <c r="A22" s="120"/>
      <c r="B22" s="614"/>
      <c r="C22" s="120"/>
      <c r="D22" s="120"/>
      <c r="E22" s="623">
        <v>20.100000000000001</v>
      </c>
      <c r="F22" s="120"/>
      <c r="Q22" s="130"/>
      <c r="R22" s="130"/>
      <c r="T22" s="116"/>
      <c r="U22" s="116"/>
      <c r="V22" s="116"/>
      <c r="W22" s="116"/>
      <c r="X22" s="116"/>
      <c r="Y22" s="116"/>
      <c r="Z22" s="116"/>
      <c r="AB22" s="306" t="s">
        <v>69</v>
      </c>
      <c r="AC22" s="251"/>
      <c r="AD22" s="251"/>
      <c r="AE22" s="251"/>
      <c r="AF22" s="251"/>
      <c r="AG22" s="251"/>
      <c r="AH22" s="251"/>
      <c r="AI22" s="251"/>
      <c r="AJ22" s="251"/>
      <c r="AK22" s="251"/>
      <c r="AL22" s="251"/>
      <c r="AM22" s="251"/>
      <c r="AN22" s="251"/>
      <c r="AO22" s="251"/>
      <c r="AP22" s="251"/>
      <c r="AQ22" s="251"/>
      <c r="AR22" s="251"/>
      <c r="AS22" s="251"/>
      <c r="AT22" s="251"/>
      <c r="AU22" s="251"/>
      <c r="AV22" s="251"/>
      <c r="AW22" s="251"/>
      <c r="AX22" s="251"/>
      <c r="AY22" s="251"/>
      <c r="AZ22" s="251"/>
      <c r="BA22" s="251"/>
      <c r="BD22" s="920"/>
      <c r="BE22" s="920"/>
      <c r="BF22" s="920"/>
      <c r="BG22" s="921"/>
      <c r="BH22" s="921"/>
    </row>
    <row r="23" spans="1:60" s="1018" customFormat="1" ht="9.9499999999999993" customHeight="1">
      <c r="A23" s="120"/>
      <c r="B23" s="614"/>
      <c r="C23" s="120"/>
      <c r="D23" s="120"/>
      <c r="E23" s="623">
        <v>10.199999999999999</v>
      </c>
      <c r="F23" s="120"/>
      <c r="Q23" s="130"/>
      <c r="R23" s="130"/>
      <c r="T23" s="116"/>
      <c r="U23" s="116"/>
      <c r="V23" s="116"/>
      <c r="W23" s="116"/>
      <c r="X23" s="116"/>
      <c r="Y23" s="116"/>
      <c r="Z23" s="116"/>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D23" s="920"/>
      <c r="BE23" s="920"/>
      <c r="BF23" s="920"/>
      <c r="BG23" s="921"/>
      <c r="BH23" s="921"/>
    </row>
    <row r="24" spans="1:60" s="166" customFormat="1" ht="24.2" customHeight="1">
      <c r="A24" s="169"/>
      <c r="B24" s="618"/>
      <c r="C24" s="169"/>
      <c r="D24" s="169"/>
      <c r="E24" s="629">
        <v>24.8</v>
      </c>
      <c r="F24" s="169"/>
      <c r="Q24" s="723"/>
      <c r="R24" s="723"/>
      <c r="T24" s="109"/>
      <c r="U24" s="109"/>
      <c r="V24" s="109"/>
      <c r="W24" s="109"/>
      <c r="X24" s="109"/>
      <c r="Y24" s="109"/>
      <c r="Z24" s="109"/>
      <c r="AB24" s="1496" t="s">
        <v>288</v>
      </c>
      <c r="AC24" s="1496" t="s">
        <v>330</v>
      </c>
      <c r="AD24" s="1496" t="s">
        <v>331</v>
      </c>
      <c r="AE24" s="1005" t="str">
        <f>first_year&amp;" год"</f>
        <v>2024 год</v>
      </c>
      <c r="AF24" s="1005" t="str">
        <f>first_year+1&amp;" год"</f>
        <v>2025 год</v>
      </c>
      <c r="AG24" s="1005" t="str">
        <f>first_year+2&amp;" год"</f>
        <v>2026 год</v>
      </c>
      <c r="AH24" s="1005" t="str">
        <f>first_year+3&amp;" год"</f>
        <v>2027 год</v>
      </c>
      <c r="AI24" s="1005" t="str">
        <f>first_year+4&amp;" год"</f>
        <v>2028 год</v>
      </c>
      <c r="AJ24" s="1001" t="str">
        <f>first_year+5&amp;" год"</f>
        <v>2029 год</v>
      </c>
      <c r="AK24" s="1001" t="str">
        <f>first_year+6&amp;" год"</f>
        <v>2030 год</v>
      </c>
      <c r="AL24" s="1001" t="str">
        <f>first_year+7&amp;" год"</f>
        <v>2031 год</v>
      </c>
      <c r="AM24" s="1001" t="str">
        <f>first_year+8&amp;" год"</f>
        <v>2032 год</v>
      </c>
      <c r="AN24" s="1001" t="str">
        <f>first_year+9&amp;" год"</f>
        <v>2033 год</v>
      </c>
      <c r="AO24" s="108" t="str">
        <f>first_year&amp;" год"</f>
        <v>2024 год</v>
      </c>
      <c r="AP24" s="108" t="str">
        <f>first_year+1&amp;" год"</f>
        <v>2025 год</v>
      </c>
      <c r="AQ24" s="108" t="str">
        <f>first_year+2&amp;" год"</f>
        <v>2026 год</v>
      </c>
      <c r="AR24" s="108" t="str">
        <f>first_year+3&amp;" год"</f>
        <v>2027 год</v>
      </c>
      <c r="AS24" s="108" t="str">
        <f>first_year+4&amp;" год"</f>
        <v>2028 год</v>
      </c>
      <c r="AT24" s="108" t="str">
        <f>first_year+5&amp;" год"</f>
        <v>2029 год</v>
      </c>
      <c r="AU24" s="108" t="str">
        <f>first_year+6&amp;" год"</f>
        <v>2030 год</v>
      </c>
      <c r="AV24" s="108" t="str">
        <f>first_year+7&amp;" год"</f>
        <v>2031 год</v>
      </c>
      <c r="AW24" s="108" t="str">
        <f>first_year+8&amp;" год"</f>
        <v>2032 год</v>
      </c>
      <c r="AX24" s="112" t="str">
        <f>first_year+9&amp;" год"</f>
        <v>2033 год</v>
      </c>
      <c r="AY24" s="1493" t="s">
        <v>1090</v>
      </c>
      <c r="AZ24" s="1493" t="s">
        <v>486</v>
      </c>
      <c r="BA24" s="1493" t="s">
        <v>1091</v>
      </c>
      <c r="BD24" s="944"/>
      <c r="BE24" s="948"/>
      <c r="BF24" s="948"/>
      <c r="BG24" s="949"/>
      <c r="BH24" s="949"/>
    </row>
    <row r="25" spans="1:60" s="166" customFormat="1" ht="44.65" customHeight="1">
      <c r="A25" s="169"/>
      <c r="B25" s="618"/>
      <c r="C25" s="169"/>
      <c r="D25" s="169"/>
      <c r="E25" s="629">
        <v>45.8</v>
      </c>
      <c r="F25" s="169"/>
      <c r="Q25" s="723"/>
      <c r="R25" s="723"/>
      <c r="T25" s="109"/>
      <c r="U25" s="109"/>
      <c r="V25" s="109"/>
      <c r="W25" s="109"/>
      <c r="X25" s="109"/>
      <c r="Y25" s="109"/>
      <c r="Z25" s="109"/>
      <c r="AB25" s="1496"/>
      <c r="AC25" s="1496"/>
      <c r="AD25" s="1496"/>
      <c r="AE25" s="1002" t="s">
        <v>305</v>
      </c>
      <c r="AF25" s="1002" t="s">
        <v>305</v>
      </c>
      <c r="AG25" s="1002" t="s">
        <v>305</v>
      </c>
      <c r="AH25" s="1002" t="s">
        <v>305</v>
      </c>
      <c r="AI25" s="1002" t="s">
        <v>305</v>
      </c>
      <c r="AJ25" s="1002" t="s">
        <v>305</v>
      </c>
      <c r="AK25" s="1002" t="s">
        <v>305</v>
      </c>
      <c r="AL25" s="1002" t="s">
        <v>305</v>
      </c>
      <c r="AM25" s="1002" t="s">
        <v>305</v>
      </c>
      <c r="AN25" s="1002" t="s">
        <v>305</v>
      </c>
      <c r="AO25" s="324" t="s">
        <v>304</v>
      </c>
      <c r="AP25" s="324" t="s">
        <v>304</v>
      </c>
      <c r="AQ25" s="324" t="s">
        <v>304</v>
      </c>
      <c r="AR25" s="324" t="s">
        <v>304</v>
      </c>
      <c r="AS25" s="324" t="s">
        <v>304</v>
      </c>
      <c r="AT25" s="324" t="s">
        <v>304</v>
      </c>
      <c r="AU25" s="324" t="s">
        <v>304</v>
      </c>
      <c r="AV25" s="324" t="s">
        <v>304</v>
      </c>
      <c r="AW25" s="324" t="s">
        <v>304</v>
      </c>
      <c r="AX25" s="107" t="s">
        <v>304</v>
      </c>
      <c r="AY25" s="1493"/>
      <c r="AZ25" s="1493"/>
      <c r="BA25" s="1493"/>
      <c r="BD25" s="944"/>
      <c r="BE25" s="948"/>
      <c r="BF25" s="948"/>
      <c r="BG25" s="949"/>
      <c r="BH25" s="949"/>
    </row>
    <row r="26" spans="1:60" s="166" customFormat="1" ht="14.25" hidden="1" customHeight="1">
      <c r="A26" s="169"/>
      <c r="B26" s="618"/>
      <c r="C26" s="169"/>
      <c r="D26" s="169"/>
      <c r="E26" s="629">
        <v>0</v>
      </c>
      <c r="F26" s="169"/>
      <c r="Q26" s="723"/>
      <c r="R26" s="723"/>
      <c r="T26" s="109"/>
      <c r="U26" s="109"/>
      <c r="V26" s="109"/>
      <c r="W26" s="109"/>
      <c r="X26" s="109"/>
      <c r="Y26" s="109"/>
      <c r="Z26" s="109"/>
      <c r="AB26" s="544"/>
      <c r="AC26" s="544"/>
      <c r="AD26" s="544"/>
      <c r="AE26" s="109"/>
      <c r="AF26" s="109"/>
      <c r="AG26" s="109"/>
      <c r="AH26" s="109"/>
      <c r="AI26" s="109"/>
      <c r="AJ26" s="109"/>
      <c r="AK26" s="109"/>
      <c r="AL26" s="109"/>
      <c r="AM26" s="109"/>
      <c r="AN26" s="109"/>
      <c r="AO26" s="109"/>
      <c r="AP26" s="109"/>
      <c r="AQ26" s="109"/>
      <c r="AR26" s="109"/>
      <c r="AS26" s="109"/>
      <c r="AT26" s="109"/>
      <c r="AU26" s="109"/>
      <c r="AV26" s="109"/>
      <c r="AW26" s="109"/>
      <c r="AX26" s="109"/>
      <c r="AY26" s="169"/>
      <c r="AZ26" s="169"/>
      <c r="BA26" s="169"/>
      <c r="BD26" s="944"/>
      <c r="BE26" s="948"/>
      <c r="BF26" s="948"/>
      <c r="BG26" s="949"/>
      <c r="BH26" s="949"/>
    </row>
    <row r="27" spans="1:60" s="157" customFormat="1" ht="16.7" hidden="1" customHeight="1">
      <c r="E27" s="623">
        <v>17.100000000000001</v>
      </c>
      <c r="F27" s="714">
        <f>X27</f>
        <v>0</v>
      </c>
      <c r="G27" s="566" t="str">
        <f>INDEX('Общие сведения'!$AK$169:$AK$202,MATCH($F27,'Общие сведения'!$Z$169:$Z$202,0))</f>
        <v>одноставочный</v>
      </c>
      <c r="I27" s="150" t="str">
        <f>INDEX('Общие сведения'!$AE$169:$AE$202,MATCH($F27,'Общие сведения'!$Z$169:$Z$202,0))</f>
        <v>Теплоснабжение</v>
      </c>
      <c r="K27" s="150" t="str">
        <f>INDEX('Общие сведения'!$AL$169:$AL$202,MATCH($F27,'Общие сведения'!$Z$169:$Z$202,0))</f>
        <v>Производство теплоносителя</v>
      </c>
      <c r="T27" s="634" t="b">
        <f t="shared" ref="T27:T58" si="5">AND(F27&gt;0,OR(ISBLANK(Y27),Y27&gt;0))</f>
        <v>0</v>
      </c>
      <c r="V27" s="113" t="s">
        <v>228</v>
      </c>
      <c r="X27" s="1526">
        <v>0</v>
      </c>
      <c r="Z27" s="1403"/>
      <c r="AB27" s="252" t="str">
        <f>INDEX('Общие сведения'!$AG$169:$AG$202,MATCH($F27,'Общие сведения'!$Z$169:$Z$202,0))</f>
        <v>Тариф 0 (Теплоснабжение) - Тарифы на теплоноситель</v>
      </c>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53"/>
      <c r="BD27" s="912"/>
      <c r="BE27" s="912"/>
      <c r="BF27" s="912"/>
      <c r="BG27" s="915"/>
      <c r="BH27" s="915"/>
    </row>
    <row r="28" spans="1:60" ht="16.5" hidden="1" customHeight="1">
      <c r="E28" s="623">
        <v>17</v>
      </c>
      <c r="F28" s="714">
        <f t="shared" ref="F28:F53" ca="1" si="6">OFFSET(G28,-1,-1)</f>
        <v>0</v>
      </c>
      <c r="T28" s="634" t="b">
        <f t="shared" ca="1" si="5"/>
        <v>0</v>
      </c>
      <c r="X28" s="1405"/>
      <c r="Z28" s="1405"/>
      <c r="AB28" s="111">
        <v>1</v>
      </c>
      <c r="AC28" s="477" t="s">
        <v>1610</v>
      </c>
      <c r="AD28" s="434" t="s">
        <v>1204</v>
      </c>
      <c r="AE28" s="241">
        <f t="shared" ref="AE28:AX28" si="7">AE29+AE35+AE45</f>
        <v>0</v>
      </c>
      <c r="AF28" s="1121">
        <f t="shared" si="7"/>
        <v>0</v>
      </c>
      <c r="AG28" s="1121">
        <f t="shared" si="7"/>
        <v>0</v>
      </c>
      <c r="AH28" s="40">
        <f t="shared" si="7"/>
        <v>0</v>
      </c>
      <c r="AI28" s="40">
        <f t="shared" si="7"/>
        <v>0</v>
      </c>
      <c r="AJ28" s="40">
        <f t="shared" si="7"/>
        <v>0</v>
      </c>
      <c r="AK28" s="40">
        <f t="shared" si="7"/>
        <v>0</v>
      </c>
      <c r="AL28" s="40">
        <f t="shared" si="7"/>
        <v>0</v>
      </c>
      <c r="AM28" s="40">
        <f t="shared" si="7"/>
        <v>0</v>
      </c>
      <c r="AN28" s="40">
        <f t="shared" si="7"/>
        <v>0</v>
      </c>
      <c r="AO28" s="241">
        <f t="shared" si="7"/>
        <v>0</v>
      </c>
      <c r="AP28" s="1121">
        <f t="shared" si="7"/>
        <v>0</v>
      </c>
      <c r="AQ28" s="1121">
        <f t="shared" si="7"/>
        <v>0</v>
      </c>
      <c r="AR28" s="40">
        <f t="shared" si="7"/>
        <v>0</v>
      </c>
      <c r="AS28" s="40">
        <f t="shared" si="7"/>
        <v>0</v>
      </c>
      <c r="AT28" s="40">
        <f t="shared" si="7"/>
        <v>0</v>
      </c>
      <c r="AU28" s="40">
        <f t="shared" si="7"/>
        <v>0</v>
      </c>
      <c r="AV28" s="40">
        <f t="shared" si="7"/>
        <v>0</v>
      </c>
      <c r="AW28" s="40">
        <f t="shared" si="7"/>
        <v>0</v>
      </c>
      <c r="AX28" s="40">
        <f t="shared" si="7"/>
        <v>0</v>
      </c>
      <c r="AY28" s="22"/>
      <c r="AZ28" s="22"/>
      <c r="BA28" s="22"/>
      <c r="BD28" s="944" t="s">
        <v>1611</v>
      </c>
    </row>
    <row r="29" spans="1:60" ht="16.5" hidden="1" customHeight="1">
      <c r="E29" s="623">
        <v>17</v>
      </c>
      <c r="F29" s="714">
        <f t="shared" ca="1" si="6"/>
        <v>0</v>
      </c>
      <c r="T29" s="634" t="b">
        <f t="shared" ca="1" si="5"/>
        <v>0</v>
      </c>
      <c r="X29" s="1405"/>
      <c r="Z29" s="1405"/>
      <c r="AB29" s="111" t="s">
        <v>339</v>
      </c>
      <c r="AC29" s="784" t="s">
        <v>1612</v>
      </c>
      <c r="AD29" s="434" t="s">
        <v>1204</v>
      </c>
      <c r="AE29" s="241">
        <f t="shared" ref="AE29:AX29" si="8">AE30+AE34</f>
        <v>0</v>
      </c>
      <c r="AF29" s="1121">
        <f t="shared" si="8"/>
        <v>0</v>
      </c>
      <c r="AG29" s="1121">
        <f t="shared" si="8"/>
        <v>0</v>
      </c>
      <c r="AH29" s="40">
        <f t="shared" si="8"/>
        <v>0</v>
      </c>
      <c r="AI29" s="40">
        <f t="shared" si="8"/>
        <v>0</v>
      </c>
      <c r="AJ29" s="40">
        <f t="shared" si="8"/>
        <v>0</v>
      </c>
      <c r="AK29" s="40">
        <f t="shared" si="8"/>
        <v>0</v>
      </c>
      <c r="AL29" s="40">
        <f t="shared" si="8"/>
        <v>0</v>
      </c>
      <c r="AM29" s="40">
        <f t="shared" si="8"/>
        <v>0</v>
      </c>
      <c r="AN29" s="40">
        <f t="shared" si="8"/>
        <v>0</v>
      </c>
      <c r="AO29" s="241">
        <f t="shared" si="8"/>
        <v>0</v>
      </c>
      <c r="AP29" s="1121">
        <f t="shared" si="8"/>
        <v>0</v>
      </c>
      <c r="AQ29" s="1121">
        <f t="shared" si="8"/>
        <v>0</v>
      </c>
      <c r="AR29" s="40">
        <f t="shared" si="8"/>
        <v>0</v>
      </c>
      <c r="AS29" s="40">
        <f t="shared" si="8"/>
        <v>0</v>
      </c>
      <c r="AT29" s="40">
        <f t="shared" si="8"/>
        <v>0</v>
      </c>
      <c r="AU29" s="40">
        <f t="shared" si="8"/>
        <v>0</v>
      </c>
      <c r="AV29" s="40">
        <f t="shared" si="8"/>
        <v>0</v>
      </c>
      <c r="AW29" s="40">
        <f t="shared" si="8"/>
        <v>0</v>
      </c>
      <c r="AX29" s="40">
        <f t="shared" si="8"/>
        <v>0</v>
      </c>
      <c r="AY29" s="22"/>
      <c r="AZ29" s="22"/>
      <c r="BA29" s="22"/>
      <c r="BD29" s="944" t="s">
        <v>1613</v>
      </c>
    </row>
    <row r="30" spans="1:60" ht="16.5" hidden="1" customHeight="1">
      <c r="E30" s="623">
        <v>17</v>
      </c>
      <c r="F30" s="714">
        <f t="shared" ca="1" si="6"/>
        <v>0</v>
      </c>
      <c r="T30" s="634" t="b">
        <f t="shared" ca="1" si="5"/>
        <v>0</v>
      </c>
      <c r="X30" s="1405"/>
      <c r="Z30" s="1405"/>
      <c r="AB30" s="446" t="s">
        <v>970</v>
      </c>
      <c r="AC30" s="436" t="s">
        <v>1614</v>
      </c>
      <c r="AD30" s="771" t="s">
        <v>1204</v>
      </c>
      <c r="AE30" s="241"/>
      <c r="AF30" s="1121"/>
      <c r="AG30" s="1121"/>
      <c r="AH30" s="40"/>
      <c r="AI30" s="40"/>
      <c r="AJ30" s="40"/>
      <c r="AK30" s="40"/>
      <c r="AL30" s="40"/>
      <c r="AM30" s="40"/>
      <c r="AN30" s="40"/>
      <c r="AO30" s="241"/>
      <c r="AP30" s="1121"/>
      <c r="AQ30" s="1121"/>
      <c r="AR30" s="40"/>
      <c r="AS30" s="40"/>
      <c r="AT30" s="40"/>
      <c r="AU30" s="40"/>
      <c r="AV30" s="40"/>
      <c r="AW30" s="40"/>
      <c r="AX30" s="40"/>
      <c r="AY30" s="22"/>
      <c r="AZ30" s="22"/>
      <c r="BA30" s="22"/>
      <c r="BD30" s="944" t="s">
        <v>1615</v>
      </c>
    </row>
    <row r="31" spans="1:60" ht="16.5" hidden="1" customHeight="1">
      <c r="E31" s="623">
        <v>17</v>
      </c>
      <c r="F31" s="714">
        <f t="shared" ca="1" si="6"/>
        <v>0</v>
      </c>
      <c r="T31" s="634" t="b">
        <f t="shared" ca="1" si="5"/>
        <v>0</v>
      </c>
      <c r="X31" s="1405"/>
      <c r="Z31" s="1405"/>
      <c r="AB31" s="446" t="s">
        <v>1616</v>
      </c>
      <c r="AC31" s="455" t="s">
        <v>1617</v>
      </c>
      <c r="AD31" s="771" t="s">
        <v>1204</v>
      </c>
      <c r="AE31" s="241"/>
      <c r="AF31" s="1121"/>
      <c r="AG31" s="1121"/>
      <c r="AH31" s="40"/>
      <c r="AI31" s="40"/>
      <c r="AJ31" s="40"/>
      <c r="AK31" s="40"/>
      <c r="AL31" s="40"/>
      <c r="AM31" s="40"/>
      <c r="AN31" s="40"/>
      <c r="AO31" s="241"/>
      <c r="AP31" s="1121"/>
      <c r="AQ31" s="1121"/>
      <c r="AR31" s="40"/>
      <c r="AS31" s="40"/>
      <c r="AT31" s="40"/>
      <c r="AU31" s="40"/>
      <c r="AV31" s="40"/>
      <c r="AW31" s="40"/>
      <c r="AX31" s="40"/>
      <c r="AY31" s="22"/>
      <c r="AZ31" s="22"/>
      <c r="BA31" s="22"/>
      <c r="BD31" s="944" t="s">
        <v>1618</v>
      </c>
    </row>
    <row r="32" spans="1:60" ht="34.15" hidden="1" customHeight="1">
      <c r="E32" s="623">
        <v>35</v>
      </c>
      <c r="F32" s="714">
        <f t="shared" ca="1" si="6"/>
        <v>0</v>
      </c>
      <c r="T32" s="634" t="b">
        <f t="shared" ca="1" si="5"/>
        <v>0</v>
      </c>
      <c r="X32" s="1405"/>
      <c r="Z32" s="1405"/>
      <c r="AB32" s="446" t="s">
        <v>1619</v>
      </c>
      <c r="AC32" s="447" t="s">
        <v>1620</v>
      </c>
      <c r="AD32" s="771" t="s">
        <v>1204</v>
      </c>
      <c r="AE32" s="241"/>
      <c r="AF32" s="1121"/>
      <c r="AG32" s="1121"/>
      <c r="AH32" s="40"/>
      <c r="AI32" s="40"/>
      <c r="AJ32" s="40"/>
      <c r="AK32" s="40"/>
      <c r="AL32" s="40"/>
      <c r="AM32" s="40"/>
      <c r="AN32" s="40"/>
      <c r="AO32" s="241"/>
      <c r="AP32" s="1121"/>
      <c r="AQ32" s="1121"/>
      <c r="AR32" s="40"/>
      <c r="AS32" s="40"/>
      <c r="AT32" s="40"/>
      <c r="AU32" s="40"/>
      <c r="AV32" s="40"/>
      <c r="AW32" s="40"/>
      <c r="AX32" s="40"/>
      <c r="AY32" s="22"/>
      <c r="AZ32" s="22"/>
      <c r="BA32" s="22"/>
      <c r="BD32" s="944" t="s">
        <v>1621</v>
      </c>
    </row>
    <row r="33" spans="5:60" ht="16.5" hidden="1" customHeight="1">
      <c r="E33" s="623">
        <v>17</v>
      </c>
      <c r="F33" s="714">
        <f t="shared" ca="1" si="6"/>
        <v>0</v>
      </c>
      <c r="T33" s="634" t="b">
        <f t="shared" ca="1" si="5"/>
        <v>0</v>
      </c>
      <c r="X33" s="1405"/>
      <c r="Z33" s="1405"/>
      <c r="AB33" s="446" t="s">
        <v>1622</v>
      </c>
      <c r="AC33" s="447" t="s">
        <v>1623</v>
      </c>
      <c r="AD33" s="771" t="s">
        <v>1204</v>
      </c>
      <c r="AE33" s="241"/>
      <c r="AF33" s="1121"/>
      <c r="AG33" s="1121"/>
      <c r="AH33" s="40"/>
      <c r="AI33" s="40"/>
      <c r="AJ33" s="40"/>
      <c r="AK33" s="40"/>
      <c r="AL33" s="40"/>
      <c r="AM33" s="40"/>
      <c r="AN33" s="40"/>
      <c r="AO33" s="241"/>
      <c r="AP33" s="1121"/>
      <c r="AQ33" s="1121"/>
      <c r="AR33" s="40"/>
      <c r="AS33" s="40"/>
      <c r="AT33" s="40"/>
      <c r="AU33" s="40"/>
      <c r="AV33" s="40"/>
      <c r="AW33" s="40"/>
      <c r="AX33" s="40"/>
      <c r="AY33" s="22"/>
      <c r="AZ33" s="22"/>
      <c r="BA33" s="22"/>
      <c r="BD33" s="944" t="s">
        <v>1624</v>
      </c>
    </row>
    <row r="34" spans="5:60" ht="16.5" hidden="1" customHeight="1">
      <c r="E34" s="623">
        <v>17</v>
      </c>
      <c r="F34" s="714">
        <f t="shared" ca="1" si="6"/>
        <v>0</v>
      </c>
      <c r="T34" s="634" t="b">
        <f t="shared" ca="1" si="5"/>
        <v>0</v>
      </c>
      <c r="X34" s="1405"/>
      <c r="Z34" s="1405"/>
      <c r="AB34" s="866" t="s">
        <v>974</v>
      </c>
      <c r="AC34" s="436" t="s">
        <v>1625</v>
      </c>
      <c r="AD34" s="771" t="s">
        <v>1204</v>
      </c>
      <c r="AE34" s="241"/>
      <c r="AF34" s="1121"/>
      <c r="AG34" s="1121"/>
      <c r="AH34" s="40"/>
      <c r="AI34" s="40"/>
      <c r="AJ34" s="40"/>
      <c r="AK34" s="40"/>
      <c r="AL34" s="40"/>
      <c r="AM34" s="40"/>
      <c r="AN34" s="40"/>
      <c r="AO34" s="241"/>
      <c r="AP34" s="1121"/>
      <c r="AQ34" s="1121"/>
      <c r="AR34" s="40"/>
      <c r="AS34" s="40"/>
      <c r="AT34" s="40"/>
      <c r="AU34" s="40"/>
      <c r="AV34" s="40"/>
      <c r="AW34" s="40"/>
      <c r="AX34" s="40"/>
      <c r="AY34" s="22"/>
      <c r="AZ34" s="22"/>
      <c r="BA34" s="22"/>
      <c r="BD34" s="944" t="s">
        <v>1626</v>
      </c>
    </row>
    <row r="35" spans="5:60" ht="34.15" hidden="1" customHeight="1">
      <c r="E35" s="623">
        <v>35</v>
      </c>
      <c r="F35" s="714">
        <f t="shared" ca="1" si="6"/>
        <v>0</v>
      </c>
      <c r="T35" s="634" t="b">
        <f t="shared" ca="1" si="5"/>
        <v>0</v>
      </c>
      <c r="X35" s="1405"/>
      <c r="Z35" s="1405"/>
      <c r="AB35" s="446" t="s">
        <v>503</v>
      </c>
      <c r="AC35" s="102" t="s">
        <v>1627</v>
      </c>
      <c r="AD35" s="771" t="s">
        <v>1204</v>
      </c>
      <c r="AE35" s="241">
        <f t="shared" ref="AE35:AX35" si="9">AE36+AE39+AE42</f>
        <v>0</v>
      </c>
      <c r="AF35" s="1121">
        <f t="shared" si="9"/>
        <v>0</v>
      </c>
      <c r="AG35" s="1121">
        <f t="shared" si="9"/>
        <v>0</v>
      </c>
      <c r="AH35" s="40">
        <f t="shared" si="9"/>
        <v>0</v>
      </c>
      <c r="AI35" s="40">
        <f t="shared" si="9"/>
        <v>0</v>
      </c>
      <c r="AJ35" s="40">
        <f t="shared" si="9"/>
        <v>0</v>
      </c>
      <c r="AK35" s="40">
        <f t="shared" si="9"/>
        <v>0</v>
      </c>
      <c r="AL35" s="40">
        <f t="shared" si="9"/>
        <v>0</v>
      </c>
      <c r="AM35" s="40">
        <f t="shared" si="9"/>
        <v>0</v>
      </c>
      <c r="AN35" s="40">
        <f t="shared" si="9"/>
        <v>0</v>
      </c>
      <c r="AO35" s="241">
        <f t="shared" si="9"/>
        <v>0</v>
      </c>
      <c r="AP35" s="1121">
        <f t="shared" si="9"/>
        <v>0</v>
      </c>
      <c r="AQ35" s="1121">
        <f t="shared" si="9"/>
        <v>0</v>
      </c>
      <c r="AR35" s="40">
        <f t="shared" si="9"/>
        <v>0</v>
      </c>
      <c r="AS35" s="40">
        <f t="shared" si="9"/>
        <v>0</v>
      </c>
      <c r="AT35" s="40">
        <f t="shared" si="9"/>
        <v>0</v>
      </c>
      <c r="AU35" s="40">
        <f t="shared" si="9"/>
        <v>0</v>
      </c>
      <c r="AV35" s="40">
        <f t="shared" si="9"/>
        <v>0</v>
      </c>
      <c r="AW35" s="40">
        <f t="shared" si="9"/>
        <v>0</v>
      </c>
      <c r="AX35" s="40">
        <f t="shared" si="9"/>
        <v>0</v>
      </c>
      <c r="AY35" s="22"/>
      <c r="AZ35" s="22"/>
      <c r="BA35" s="22"/>
      <c r="BD35" s="944" t="s">
        <v>1628</v>
      </c>
    </row>
    <row r="36" spans="5:60" ht="16.5" hidden="1" customHeight="1">
      <c r="E36" s="623">
        <v>17</v>
      </c>
      <c r="F36" s="714">
        <f t="shared" ca="1" si="6"/>
        <v>0</v>
      </c>
      <c r="T36" s="634" t="b">
        <f t="shared" ca="1" si="5"/>
        <v>0</v>
      </c>
      <c r="X36" s="1405"/>
      <c r="Z36" s="1405"/>
      <c r="AB36" s="446" t="s">
        <v>1629</v>
      </c>
      <c r="AC36" s="436" t="s">
        <v>1617</v>
      </c>
      <c r="AD36" s="771" t="s">
        <v>1204</v>
      </c>
      <c r="AE36" s="241">
        <f t="shared" ref="AE36:AX36" si="10">SUM(AE37:AE38)</f>
        <v>0</v>
      </c>
      <c r="AF36" s="1121">
        <f t="shared" si="10"/>
        <v>0</v>
      </c>
      <c r="AG36" s="1121">
        <f t="shared" si="10"/>
        <v>0</v>
      </c>
      <c r="AH36" s="40">
        <f t="shared" si="10"/>
        <v>0</v>
      </c>
      <c r="AI36" s="40">
        <f t="shared" si="10"/>
        <v>0</v>
      </c>
      <c r="AJ36" s="40">
        <f t="shared" si="10"/>
        <v>0</v>
      </c>
      <c r="AK36" s="40">
        <f t="shared" si="10"/>
        <v>0</v>
      </c>
      <c r="AL36" s="40">
        <f t="shared" si="10"/>
        <v>0</v>
      </c>
      <c r="AM36" s="40">
        <f t="shared" si="10"/>
        <v>0</v>
      </c>
      <c r="AN36" s="40">
        <f t="shared" si="10"/>
        <v>0</v>
      </c>
      <c r="AO36" s="241">
        <f t="shared" si="10"/>
        <v>0</v>
      </c>
      <c r="AP36" s="1121">
        <f t="shared" si="10"/>
        <v>0</v>
      </c>
      <c r="AQ36" s="1121">
        <f t="shared" si="10"/>
        <v>0</v>
      </c>
      <c r="AR36" s="40">
        <f t="shared" si="10"/>
        <v>0</v>
      </c>
      <c r="AS36" s="40">
        <f t="shared" si="10"/>
        <v>0</v>
      </c>
      <c r="AT36" s="40">
        <f t="shared" si="10"/>
        <v>0</v>
      </c>
      <c r="AU36" s="40">
        <f t="shared" si="10"/>
        <v>0</v>
      </c>
      <c r="AV36" s="40">
        <f t="shared" si="10"/>
        <v>0</v>
      </c>
      <c r="AW36" s="40">
        <f t="shared" si="10"/>
        <v>0</v>
      </c>
      <c r="AX36" s="40">
        <f t="shared" si="10"/>
        <v>0</v>
      </c>
      <c r="AY36" s="22"/>
      <c r="AZ36" s="22"/>
      <c r="BA36" s="22"/>
      <c r="BD36" s="944" t="s">
        <v>1630</v>
      </c>
    </row>
    <row r="37" spans="5:60" ht="16.5" hidden="1" customHeight="1">
      <c r="E37" s="623">
        <v>17</v>
      </c>
      <c r="F37" s="714">
        <f t="shared" ca="1" si="6"/>
        <v>0</v>
      </c>
      <c r="T37" s="634" t="b">
        <f t="shared" ca="1" si="5"/>
        <v>0</v>
      </c>
      <c r="W37" s="113" t="s">
        <v>170</v>
      </c>
      <c r="X37" s="1405"/>
      <c r="Y37" s="113">
        <v>0</v>
      </c>
      <c r="Z37" s="1405"/>
      <c r="AA37" s="709" t="s">
        <v>157</v>
      </c>
      <c r="AB37" s="446" t="str">
        <f>"1.2.1."&amp;Y37</f>
        <v>1.2.1.0</v>
      </c>
      <c r="AC37" s="85"/>
      <c r="AD37" s="771" t="s">
        <v>1204</v>
      </c>
      <c r="AE37" s="241"/>
      <c r="AF37" s="1121"/>
      <c r="AG37" s="1121"/>
      <c r="AH37" s="40"/>
      <c r="AI37" s="40"/>
      <c r="AJ37" s="40"/>
      <c r="AK37" s="40"/>
      <c r="AL37" s="40"/>
      <c r="AM37" s="40"/>
      <c r="AN37" s="40"/>
      <c r="AO37" s="241"/>
      <c r="AP37" s="1121"/>
      <c r="AQ37" s="1121"/>
      <c r="AR37" s="40"/>
      <c r="AS37" s="40"/>
      <c r="AT37" s="40"/>
      <c r="AU37" s="40"/>
      <c r="AV37" s="40"/>
      <c r="AW37" s="40"/>
      <c r="AX37" s="40"/>
      <c r="AY37" s="22"/>
      <c r="AZ37" s="22"/>
      <c r="BA37" s="22"/>
      <c r="BD37" s="944" t="s">
        <v>1630</v>
      </c>
      <c r="BE37" s="944" t="s">
        <v>1631</v>
      </c>
      <c r="BF37" s="944">
        <f>AC37</f>
        <v>0</v>
      </c>
      <c r="BH37" s="945" t="b">
        <v>1</v>
      </c>
    </row>
    <row r="38" spans="5:60" ht="16.5" hidden="1" customHeight="1">
      <c r="E38" s="623">
        <v>17</v>
      </c>
      <c r="F38" s="714">
        <f t="shared" ca="1" si="6"/>
        <v>0</v>
      </c>
      <c r="T38" s="634" t="b">
        <f t="shared" ca="1" si="5"/>
        <v>0</v>
      </c>
      <c r="W38" s="774" t="s">
        <v>764</v>
      </c>
      <c r="X38" s="1405"/>
      <c r="Z38" s="1405"/>
      <c r="AB38" s="236"/>
      <c r="AC38" s="562" t="s">
        <v>172</v>
      </c>
      <c r="AD38" s="237"/>
      <c r="AE38" s="23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D38" s="944" t="str">
        <f>IF(AND(ISNUMBER(VALUE(TRIM(SUBSTITUTE(AB38,".","")))),TRIM(SUBSTITUTE(AB38,".",""))&lt;&gt;""),"P"&amp;SUBSTITUTE(AB38,".",""),"")</f>
        <v/>
      </c>
      <c r="BG38" s="945" t="s">
        <v>1631</v>
      </c>
    </row>
    <row r="39" spans="5:60" ht="34.15" hidden="1" customHeight="1">
      <c r="E39" s="623">
        <v>35</v>
      </c>
      <c r="F39" s="714">
        <f t="shared" ca="1" si="6"/>
        <v>0</v>
      </c>
      <c r="T39" s="634" t="b">
        <f t="shared" ca="1" si="5"/>
        <v>0</v>
      </c>
      <c r="X39" s="1405"/>
      <c r="Z39" s="1405"/>
      <c r="AB39" s="446" t="s">
        <v>1632</v>
      </c>
      <c r="AC39" s="436" t="s">
        <v>1620</v>
      </c>
      <c r="AD39" s="771" t="s">
        <v>1204</v>
      </c>
      <c r="AE39" s="241">
        <f t="shared" ref="AE39:AX39" si="11">SUM(AE40:AE41)</f>
        <v>0</v>
      </c>
      <c r="AF39" s="1121">
        <f t="shared" si="11"/>
        <v>0</v>
      </c>
      <c r="AG39" s="1121">
        <f t="shared" si="11"/>
        <v>0</v>
      </c>
      <c r="AH39" s="40">
        <f t="shared" si="11"/>
        <v>0</v>
      </c>
      <c r="AI39" s="40">
        <f t="shared" si="11"/>
        <v>0</v>
      </c>
      <c r="AJ39" s="40">
        <f t="shared" si="11"/>
        <v>0</v>
      </c>
      <c r="AK39" s="40">
        <f t="shared" si="11"/>
        <v>0</v>
      </c>
      <c r="AL39" s="40">
        <f t="shared" si="11"/>
        <v>0</v>
      </c>
      <c r="AM39" s="40">
        <f t="shared" si="11"/>
        <v>0</v>
      </c>
      <c r="AN39" s="40">
        <f t="shared" si="11"/>
        <v>0</v>
      </c>
      <c r="AO39" s="241">
        <f t="shared" si="11"/>
        <v>0</v>
      </c>
      <c r="AP39" s="1121">
        <f t="shared" si="11"/>
        <v>0</v>
      </c>
      <c r="AQ39" s="1121">
        <f t="shared" si="11"/>
        <v>0</v>
      </c>
      <c r="AR39" s="40">
        <f t="shared" si="11"/>
        <v>0</v>
      </c>
      <c r="AS39" s="40">
        <f t="shared" si="11"/>
        <v>0</v>
      </c>
      <c r="AT39" s="40">
        <f t="shared" si="11"/>
        <v>0</v>
      </c>
      <c r="AU39" s="40">
        <f t="shared" si="11"/>
        <v>0</v>
      </c>
      <c r="AV39" s="40">
        <f t="shared" si="11"/>
        <v>0</v>
      </c>
      <c r="AW39" s="40">
        <f t="shared" si="11"/>
        <v>0</v>
      </c>
      <c r="AX39" s="40">
        <f t="shared" si="11"/>
        <v>0</v>
      </c>
      <c r="AY39" s="22"/>
      <c r="AZ39" s="22"/>
      <c r="BA39" s="22"/>
      <c r="BD39" s="944" t="s">
        <v>1633</v>
      </c>
    </row>
    <row r="40" spans="5:60" ht="16.5" hidden="1" customHeight="1">
      <c r="E40" s="623">
        <v>17</v>
      </c>
      <c r="F40" s="714">
        <f t="shared" ca="1" si="6"/>
        <v>0</v>
      </c>
      <c r="T40" s="634" t="b">
        <f t="shared" ca="1" si="5"/>
        <v>0</v>
      </c>
      <c r="W40" s="113" t="s">
        <v>170</v>
      </c>
      <c r="X40" s="1405"/>
      <c r="Y40" s="113">
        <v>0</v>
      </c>
      <c r="Z40" s="1405"/>
      <c r="AA40" s="709" t="s">
        <v>157</v>
      </c>
      <c r="AB40" s="446" t="str">
        <f>"1.2.2."&amp;Y40</f>
        <v>1.2.2.0</v>
      </c>
      <c r="AC40" s="85"/>
      <c r="AD40" s="771" t="s">
        <v>1204</v>
      </c>
      <c r="AE40" s="241"/>
      <c r="AF40" s="1121"/>
      <c r="AG40" s="1121"/>
      <c r="AH40" s="40"/>
      <c r="AI40" s="40"/>
      <c r="AJ40" s="40"/>
      <c r="AK40" s="40"/>
      <c r="AL40" s="40"/>
      <c r="AM40" s="40"/>
      <c r="AN40" s="40"/>
      <c r="AO40" s="241"/>
      <c r="AP40" s="1121"/>
      <c r="AQ40" s="1121"/>
      <c r="AR40" s="40"/>
      <c r="AS40" s="40"/>
      <c r="AT40" s="40"/>
      <c r="AU40" s="40"/>
      <c r="AV40" s="40"/>
      <c r="AW40" s="40"/>
      <c r="AX40" s="40"/>
      <c r="AY40" s="22"/>
      <c r="AZ40" s="22"/>
      <c r="BA40" s="22"/>
      <c r="BD40" s="944" t="s">
        <v>1633</v>
      </c>
      <c r="BE40" s="944" t="s">
        <v>1634</v>
      </c>
      <c r="BF40" s="944">
        <f>AC40</f>
        <v>0</v>
      </c>
      <c r="BH40" s="945" t="b">
        <v>1</v>
      </c>
    </row>
    <row r="41" spans="5:60" ht="16.5" hidden="1" customHeight="1">
      <c r="E41" s="623">
        <v>17</v>
      </c>
      <c r="F41" s="714">
        <f t="shared" ca="1" si="6"/>
        <v>0</v>
      </c>
      <c r="T41" s="634" t="b">
        <f t="shared" ca="1" si="5"/>
        <v>0</v>
      </c>
      <c r="W41" s="774" t="s">
        <v>775</v>
      </c>
      <c r="X41" s="1405"/>
      <c r="Z41" s="1405"/>
      <c r="AB41" s="236"/>
      <c r="AC41" s="562" t="s">
        <v>172</v>
      </c>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D41" s="944" t="str">
        <f>IF(AND(ISNUMBER(VALUE(TRIM(SUBSTITUTE(AB41,".","")))),TRIM(SUBSTITUTE(AB41,".",""))&lt;&gt;""),"P"&amp;SUBSTITUTE(AB41,".",""),"")</f>
        <v/>
      </c>
      <c r="BG41" s="945" t="s">
        <v>1634</v>
      </c>
    </row>
    <row r="42" spans="5:60" ht="16.5" hidden="1" customHeight="1">
      <c r="E42" s="623">
        <v>17</v>
      </c>
      <c r="F42" s="714">
        <f t="shared" ca="1" si="6"/>
        <v>0</v>
      </c>
      <c r="T42" s="634" t="b">
        <f t="shared" ca="1" si="5"/>
        <v>0</v>
      </c>
      <c r="X42" s="1405"/>
      <c r="Z42" s="1405"/>
      <c r="AB42" s="782" t="s">
        <v>1635</v>
      </c>
      <c r="AC42" s="436" t="s">
        <v>1623</v>
      </c>
      <c r="AD42" s="771" t="s">
        <v>1204</v>
      </c>
      <c r="AE42" s="241">
        <f t="shared" ref="AE42:AX42" si="12">SUM(AE43:AE44)</f>
        <v>0</v>
      </c>
      <c r="AF42" s="1121">
        <f t="shared" si="12"/>
        <v>0</v>
      </c>
      <c r="AG42" s="1121">
        <f t="shared" si="12"/>
        <v>0</v>
      </c>
      <c r="AH42" s="40">
        <f t="shared" si="12"/>
        <v>0</v>
      </c>
      <c r="AI42" s="40">
        <f t="shared" si="12"/>
        <v>0</v>
      </c>
      <c r="AJ42" s="40">
        <f t="shared" si="12"/>
        <v>0</v>
      </c>
      <c r="AK42" s="40">
        <f t="shared" si="12"/>
        <v>0</v>
      </c>
      <c r="AL42" s="40">
        <f t="shared" si="12"/>
        <v>0</v>
      </c>
      <c r="AM42" s="40">
        <f t="shared" si="12"/>
        <v>0</v>
      </c>
      <c r="AN42" s="40">
        <f t="shared" si="12"/>
        <v>0</v>
      </c>
      <c r="AO42" s="241">
        <f t="shared" si="12"/>
        <v>0</v>
      </c>
      <c r="AP42" s="1121">
        <f t="shared" si="12"/>
        <v>0</v>
      </c>
      <c r="AQ42" s="1121">
        <f t="shared" si="12"/>
        <v>0</v>
      </c>
      <c r="AR42" s="40">
        <f t="shared" si="12"/>
        <v>0</v>
      </c>
      <c r="AS42" s="40">
        <f t="shared" si="12"/>
        <v>0</v>
      </c>
      <c r="AT42" s="40">
        <f t="shared" si="12"/>
        <v>0</v>
      </c>
      <c r="AU42" s="40">
        <f t="shared" si="12"/>
        <v>0</v>
      </c>
      <c r="AV42" s="40">
        <f t="shared" si="12"/>
        <v>0</v>
      </c>
      <c r="AW42" s="40">
        <f t="shared" si="12"/>
        <v>0</v>
      </c>
      <c r="AX42" s="40">
        <f t="shared" si="12"/>
        <v>0</v>
      </c>
      <c r="AY42" s="22"/>
      <c r="AZ42" s="22"/>
      <c r="BA42" s="22"/>
      <c r="BD42" s="944" t="s">
        <v>1636</v>
      </c>
    </row>
    <row r="43" spans="5:60" ht="16.5" hidden="1" customHeight="1">
      <c r="E43" s="623">
        <v>17</v>
      </c>
      <c r="F43" s="714">
        <f t="shared" ca="1" si="6"/>
        <v>0</v>
      </c>
      <c r="T43" s="634" t="b">
        <f t="shared" ca="1" si="5"/>
        <v>0</v>
      </c>
      <c r="W43" s="113" t="s">
        <v>170</v>
      </c>
      <c r="X43" s="1405"/>
      <c r="Y43" s="113">
        <v>0</v>
      </c>
      <c r="Z43" s="1405"/>
      <c r="AA43" s="709" t="s">
        <v>157</v>
      </c>
      <c r="AB43" s="446" t="str">
        <f>"1.2.3."&amp;Y43</f>
        <v>1.2.3.0</v>
      </c>
      <c r="AC43" s="85"/>
      <c r="AD43" s="771" t="s">
        <v>1204</v>
      </c>
      <c r="AE43" s="241"/>
      <c r="AF43" s="1121"/>
      <c r="AG43" s="1121"/>
      <c r="AH43" s="40"/>
      <c r="AI43" s="40"/>
      <c r="AJ43" s="40"/>
      <c r="AK43" s="40"/>
      <c r="AL43" s="40"/>
      <c r="AM43" s="40"/>
      <c r="AN43" s="40"/>
      <c r="AO43" s="241"/>
      <c r="AP43" s="1121"/>
      <c r="AQ43" s="1121"/>
      <c r="AR43" s="40"/>
      <c r="AS43" s="40"/>
      <c r="AT43" s="40"/>
      <c r="AU43" s="40"/>
      <c r="AV43" s="40"/>
      <c r="AW43" s="40"/>
      <c r="AX43" s="40"/>
      <c r="AY43" s="22"/>
      <c r="AZ43" s="22"/>
      <c r="BA43" s="22"/>
      <c r="BD43" s="944" t="s">
        <v>1636</v>
      </c>
      <c r="BE43" s="944" t="s">
        <v>1637</v>
      </c>
      <c r="BF43" s="944">
        <f>AC43</f>
        <v>0</v>
      </c>
      <c r="BH43" s="945" t="b">
        <v>1</v>
      </c>
    </row>
    <row r="44" spans="5:60" ht="16.5" hidden="1" customHeight="1">
      <c r="E44" s="623">
        <v>17</v>
      </c>
      <c r="F44" s="714">
        <f t="shared" ca="1" si="6"/>
        <v>0</v>
      </c>
      <c r="T44" s="634" t="b">
        <f t="shared" ca="1" si="5"/>
        <v>0</v>
      </c>
      <c r="W44" s="774" t="s">
        <v>1018</v>
      </c>
      <c r="X44" s="1405"/>
      <c r="Z44" s="1405"/>
      <c r="AB44" s="236"/>
      <c r="AC44" s="562" t="s">
        <v>172</v>
      </c>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s="237"/>
      <c r="BA44" s="237"/>
      <c r="BD44" s="944" t="str">
        <f>IF(AND(ISNUMBER(VALUE(TRIM(SUBSTITUTE(AB44,".","")))),TRIM(SUBSTITUTE(AB44,".",""))&lt;&gt;""),"P"&amp;SUBSTITUTE(AB44,".",""),"")</f>
        <v/>
      </c>
      <c r="BG44" s="945" t="s">
        <v>1637</v>
      </c>
    </row>
    <row r="45" spans="5:60" ht="16.5" hidden="1" customHeight="1">
      <c r="E45" s="623">
        <v>17</v>
      </c>
      <c r="F45" s="714">
        <f t="shared" ca="1" si="6"/>
        <v>0</v>
      </c>
      <c r="T45" s="634" t="b">
        <f t="shared" ca="1" si="5"/>
        <v>0</v>
      </c>
      <c r="X45" s="1405"/>
      <c r="Z45" s="1405"/>
      <c r="AB45" s="782" t="s">
        <v>749</v>
      </c>
      <c r="AC45" s="102" t="s">
        <v>1638</v>
      </c>
      <c r="AD45" s="771" t="s">
        <v>1204</v>
      </c>
      <c r="AE45" s="241"/>
      <c r="AF45" s="1121"/>
      <c r="AG45" s="1121"/>
      <c r="AH45" s="40"/>
      <c r="AI45" s="40"/>
      <c r="AJ45" s="40"/>
      <c r="AK45" s="40"/>
      <c r="AL45" s="40"/>
      <c r="AM45" s="40"/>
      <c r="AN45" s="40"/>
      <c r="AO45" s="241"/>
      <c r="AP45" s="1121"/>
      <c r="AQ45" s="1121"/>
      <c r="AR45" s="40"/>
      <c r="AS45" s="40"/>
      <c r="AT45" s="40"/>
      <c r="AU45" s="40"/>
      <c r="AV45" s="40"/>
      <c r="AW45" s="40"/>
      <c r="AX45" s="40"/>
      <c r="AY45" s="22"/>
      <c r="AZ45" s="22"/>
      <c r="BA45" s="22"/>
      <c r="BD45" s="944" t="s">
        <v>1193</v>
      </c>
    </row>
    <row r="46" spans="5:60" ht="16.5" hidden="1" customHeight="1">
      <c r="E46" s="623">
        <v>17</v>
      </c>
      <c r="F46" s="714">
        <f t="shared" ca="1" si="6"/>
        <v>0</v>
      </c>
      <c r="T46" s="634" t="b">
        <f t="shared" ca="1" si="5"/>
        <v>0</v>
      </c>
      <c r="X46" s="1405"/>
      <c r="Z46" s="1405"/>
      <c r="AB46" s="446" t="s">
        <v>343</v>
      </c>
      <c r="AC46" s="249" t="s">
        <v>1639</v>
      </c>
      <c r="AD46" s="771"/>
      <c r="AE46" s="771"/>
      <c r="AF46" s="771"/>
      <c r="AG46" s="771"/>
      <c r="AH46" s="771"/>
      <c r="AI46" s="771"/>
      <c r="AJ46" s="771"/>
      <c r="AK46" s="771"/>
      <c r="AL46" s="771"/>
      <c r="AM46" s="771"/>
      <c r="AN46" s="771"/>
      <c r="AO46" s="771"/>
      <c r="AP46" s="771"/>
      <c r="AQ46" s="771"/>
      <c r="AR46" s="771"/>
      <c r="AS46" s="771"/>
      <c r="AT46" s="771"/>
      <c r="AU46" s="771"/>
      <c r="AV46" s="771"/>
      <c r="AW46" s="771"/>
      <c r="AX46" s="771"/>
      <c r="AY46" s="22"/>
      <c r="AZ46" s="22"/>
      <c r="BA46" s="22"/>
    </row>
    <row r="47" spans="5:60" ht="16.5" hidden="1" customHeight="1">
      <c r="E47" s="623">
        <v>17</v>
      </c>
      <c r="F47" s="714">
        <f t="shared" ca="1" si="6"/>
        <v>0</v>
      </c>
      <c r="G47" s="130" t="s">
        <v>1441</v>
      </c>
      <c r="T47" s="634" t="b">
        <f t="shared" ca="1" si="5"/>
        <v>0</v>
      </c>
      <c r="X47" s="1405"/>
      <c r="Z47" s="1405"/>
      <c r="AB47" s="111" t="s">
        <v>346</v>
      </c>
      <c r="AC47" s="223" t="s">
        <v>1442</v>
      </c>
      <c r="AD47" s="434" t="s">
        <v>491</v>
      </c>
      <c r="AE47" s="241"/>
      <c r="AF47" s="1121"/>
      <c r="AG47" s="1121"/>
      <c r="AH47" s="40"/>
      <c r="AI47" s="40"/>
      <c r="AJ47" s="40"/>
      <c r="AK47" s="40"/>
      <c r="AL47" s="40"/>
      <c r="AM47" s="40"/>
      <c r="AN47" s="40"/>
      <c r="AO47" s="241"/>
      <c r="AP47" s="1121"/>
      <c r="AQ47" s="1121"/>
      <c r="AR47" s="40"/>
      <c r="AS47" s="40"/>
      <c r="AT47" s="40"/>
      <c r="AU47" s="40"/>
      <c r="AV47" s="40"/>
      <c r="AW47" s="40"/>
      <c r="AX47" s="40"/>
      <c r="AY47" s="22"/>
      <c r="AZ47" s="22"/>
      <c r="BA47" s="22"/>
      <c r="BD47" s="944" t="s">
        <v>1640</v>
      </c>
    </row>
    <row r="48" spans="5:60" ht="16.5" hidden="1" customHeight="1">
      <c r="E48" s="623">
        <v>17</v>
      </c>
      <c r="F48" s="714">
        <f t="shared" ca="1" si="6"/>
        <v>0</v>
      </c>
      <c r="G48" s="566" t="s">
        <v>1444</v>
      </c>
      <c r="T48" s="634" t="b">
        <f t="shared" ca="1" si="5"/>
        <v>0</v>
      </c>
      <c r="X48" s="1405"/>
      <c r="Z48" s="1405"/>
      <c r="AB48" s="111" t="s">
        <v>373</v>
      </c>
      <c r="AC48" s="223" t="s">
        <v>1445</v>
      </c>
      <c r="AD48" s="434" t="s">
        <v>1446</v>
      </c>
      <c r="AE48" s="241"/>
      <c r="AF48" s="1121"/>
      <c r="AG48" s="1121"/>
      <c r="AH48" s="40"/>
      <c r="AI48" s="40"/>
      <c r="AJ48" s="40"/>
      <c r="AK48" s="40"/>
      <c r="AL48" s="40"/>
      <c r="AM48" s="40"/>
      <c r="AN48" s="40"/>
      <c r="AO48" s="241"/>
      <c r="AP48" s="1121"/>
      <c r="AQ48" s="1121"/>
      <c r="AR48" s="40"/>
      <c r="AS48" s="40"/>
      <c r="AT48" s="40"/>
      <c r="AU48" s="40"/>
      <c r="AV48" s="40"/>
      <c r="AW48" s="40"/>
      <c r="AX48" s="40"/>
      <c r="AY48" s="22"/>
      <c r="AZ48" s="22"/>
      <c r="BA48" s="22"/>
      <c r="BD48" s="944" t="s">
        <v>1641</v>
      </c>
    </row>
    <row r="49" spans="1:198" ht="16.5" hidden="1" customHeight="1">
      <c r="E49" s="623">
        <v>17</v>
      </c>
      <c r="F49" s="714">
        <f t="shared" ca="1" si="6"/>
        <v>0</v>
      </c>
      <c r="G49" s="130" t="s">
        <v>1448</v>
      </c>
      <c r="T49" s="634" t="b">
        <f t="shared" ca="1" si="5"/>
        <v>0</v>
      </c>
      <c r="X49" s="1405"/>
      <c r="Z49" s="1405"/>
      <c r="AB49" s="111" t="s">
        <v>377</v>
      </c>
      <c r="AC49" s="223" t="s">
        <v>1449</v>
      </c>
      <c r="AD49" s="434" t="s">
        <v>491</v>
      </c>
      <c r="AE49" s="241"/>
      <c r="AF49" s="1121"/>
      <c r="AG49" s="1121"/>
      <c r="AH49" s="40"/>
      <c r="AI49" s="40"/>
      <c r="AJ49" s="40"/>
      <c r="AK49" s="40"/>
      <c r="AL49" s="40"/>
      <c r="AM49" s="40"/>
      <c r="AN49" s="40"/>
      <c r="AO49" s="241"/>
      <c r="AP49" s="1121"/>
      <c r="AQ49" s="1121"/>
      <c r="AR49" s="40"/>
      <c r="AS49" s="40"/>
      <c r="AT49" s="40"/>
      <c r="AU49" s="40"/>
      <c r="AV49" s="40"/>
      <c r="AW49" s="40"/>
      <c r="AX49" s="40"/>
      <c r="AY49" s="22"/>
      <c r="AZ49" s="22"/>
      <c r="BA49" s="22"/>
      <c r="BD49" s="944" t="s">
        <v>1642</v>
      </c>
    </row>
    <row r="50" spans="1:198" s="172" customFormat="1" ht="16.5" hidden="1" customHeight="1">
      <c r="E50" s="623">
        <v>17</v>
      </c>
      <c r="F50" s="714">
        <f t="shared" ca="1" si="6"/>
        <v>0</v>
      </c>
      <c r="G50" s="566" t="s">
        <v>1451</v>
      </c>
      <c r="T50" s="634" t="b">
        <f t="shared" ca="1" si="5"/>
        <v>0</v>
      </c>
      <c r="X50" s="1499"/>
      <c r="Z50" s="1499"/>
      <c r="AB50" s="111" t="s">
        <v>381</v>
      </c>
      <c r="AC50" s="223" t="s">
        <v>1452</v>
      </c>
      <c r="AD50" s="434" t="s">
        <v>1446</v>
      </c>
      <c r="AE50" s="241">
        <f t="shared" ref="AE50:AX50" si="13">IFERROR((AE28-AE47*AE48)/AE49,0)</f>
        <v>0</v>
      </c>
      <c r="AF50" s="1121">
        <f t="shared" si="13"/>
        <v>0</v>
      </c>
      <c r="AG50" s="1121">
        <f t="shared" si="13"/>
        <v>0</v>
      </c>
      <c r="AH50" s="40">
        <f t="shared" si="13"/>
        <v>0</v>
      </c>
      <c r="AI50" s="40">
        <f t="shared" si="13"/>
        <v>0</v>
      </c>
      <c r="AJ50" s="40">
        <f t="shared" si="13"/>
        <v>0</v>
      </c>
      <c r="AK50" s="40">
        <f t="shared" si="13"/>
        <v>0</v>
      </c>
      <c r="AL50" s="40">
        <f t="shared" si="13"/>
        <v>0</v>
      </c>
      <c r="AM50" s="40">
        <f t="shared" si="13"/>
        <v>0</v>
      </c>
      <c r="AN50" s="40">
        <f t="shared" si="13"/>
        <v>0</v>
      </c>
      <c r="AO50" s="241">
        <f t="shared" si="13"/>
        <v>0</v>
      </c>
      <c r="AP50" s="1121">
        <f t="shared" si="13"/>
        <v>0</v>
      </c>
      <c r="AQ50" s="1121">
        <f t="shared" si="13"/>
        <v>0</v>
      </c>
      <c r="AR50" s="40">
        <f t="shared" si="13"/>
        <v>0</v>
      </c>
      <c r="AS50" s="40">
        <f t="shared" si="13"/>
        <v>0</v>
      </c>
      <c r="AT50" s="40">
        <f t="shared" si="13"/>
        <v>0</v>
      </c>
      <c r="AU50" s="40">
        <f t="shared" si="13"/>
        <v>0</v>
      </c>
      <c r="AV50" s="40">
        <f t="shared" si="13"/>
        <v>0</v>
      </c>
      <c r="AW50" s="40">
        <f t="shared" si="13"/>
        <v>0</v>
      </c>
      <c r="AX50" s="40">
        <f t="shared" si="13"/>
        <v>0</v>
      </c>
      <c r="AY50" s="22"/>
      <c r="AZ50" s="22"/>
      <c r="BA50" s="22"/>
      <c r="BD50" s="944" t="s">
        <v>1643</v>
      </c>
      <c r="BE50" s="944"/>
      <c r="BF50" s="952"/>
      <c r="BG50" s="953"/>
      <c r="BH50" s="953"/>
    </row>
    <row r="51" spans="1:198" s="172" customFormat="1" ht="16.5" hidden="1" customHeight="1">
      <c r="E51" s="623">
        <v>17</v>
      </c>
      <c r="F51" s="714">
        <f t="shared" ca="1" si="6"/>
        <v>0</v>
      </c>
      <c r="T51" s="634" t="b">
        <f t="shared" ca="1" si="5"/>
        <v>0</v>
      </c>
      <c r="X51" s="1499"/>
      <c r="Z51" s="1499"/>
      <c r="AB51" s="111" t="s">
        <v>1363</v>
      </c>
      <c r="AC51" s="102" t="s">
        <v>1644</v>
      </c>
      <c r="AD51" s="434" t="s">
        <v>388</v>
      </c>
      <c r="AE51" s="505">
        <f t="shared" ref="AE51:AX51" si="14">IFERROR(AE50/AE48,0)</f>
        <v>0</v>
      </c>
      <c r="AF51" s="505">
        <f t="shared" si="14"/>
        <v>0</v>
      </c>
      <c r="AG51" s="505">
        <f t="shared" si="14"/>
        <v>0</v>
      </c>
      <c r="AH51" s="505">
        <f t="shared" si="14"/>
        <v>0</v>
      </c>
      <c r="AI51" s="505">
        <f t="shared" si="14"/>
        <v>0</v>
      </c>
      <c r="AJ51" s="505">
        <f t="shared" si="14"/>
        <v>0</v>
      </c>
      <c r="AK51" s="505">
        <f t="shared" si="14"/>
        <v>0</v>
      </c>
      <c r="AL51" s="505">
        <f t="shared" si="14"/>
        <v>0</v>
      </c>
      <c r="AM51" s="505">
        <f t="shared" si="14"/>
        <v>0</v>
      </c>
      <c r="AN51" s="505">
        <f t="shared" si="14"/>
        <v>0</v>
      </c>
      <c r="AO51" s="505">
        <f t="shared" si="14"/>
        <v>0</v>
      </c>
      <c r="AP51" s="505">
        <f t="shared" si="14"/>
        <v>0</v>
      </c>
      <c r="AQ51" s="505">
        <f t="shared" si="14"/>
        <v>0</v>
      </c>
      <c r="AR51" s="505">
        <f t="shared" si="14"/>
        <v>0</v>
      </c>
      <c r="AS51" s="505">
        <f t="shared" si="14"/>
        <v>0</v>
      </c>
      <c r="AT51" s="505">
        <f t="shared" si="14"/>
        <v>0</v>
      </c>
      <c r="AU51" s="505">
        <f t="shared" si="14"/>
        <v>0</v>
      </c>
      <c r="AV51" s="505">
        <f t="shared" si="14"/>
        <v>0</v>
      </c>
      <c r="AW51" s="505">
        <f t="shared" si="14"/>
        <v>0</v>
      </c>
      <c r="AX51" s="505">
        <f t="shared" si="14"/>
        <v>0</v>
      </c>
      <c r="AY51" s="22"/>
      <c r="AZ51" s="22"/>
      <c r="BA51" s="22"/>
      <c r="BD51" s="944" t="s">
        <v>1645</v>
      </c>
      <c r="BE51" s="944"/>
      <c r="BF51" s="944"/>
      <c r="BG51" s="945"/>
      <c r="BH51" s="945"/>
    </row>
    <row r="52" spans="1:198" ht="16.5" hidden="1" customHeight="1">
      <c r="E52" s="623">
        <v>17</v>
      </c>
      <c r="F52" s="714">
        <f t="shared" ca="1" si="6"/>
        <v>0</v>
      </c>
      <c r="T52" s="634" t="b">
        <f t="shared" ca="1" si="5"/>
        <v>0</v>
      </c>
      <c r="X52" s="1405"/>
      <c r="Z52" s="1405"/>
      <c r="AB52" s="111" t="s">
        <v>1601</v>
      </c>
      <c r="AC52" s="102" t="s">
        <v>1646</v>
      </c>
      <c r="AD52" s="434" t="s">
        <v>1446</v>
      </c>
      <c r="AE52" s="540">
        <f t="shared" ref="AE52:AX52" si="15">IFERROR(AE28/(AE47+AE49),0)</f>
        <v>0</v>
      </c>
      <c r="AF52" s="1253">
        <f t="shared" si="15"/>
        <v>0</v>
      </c>
      <c r="AG52" s="1253">
        <f t="shared" si="15"/>
        <v>0</v>
      </c>
      <c r="AH52" s="56">
        <f t="shared" si="15"/>
        <v>0</v>
      </c>
      <c r="AI52" s="56">
        <f t="shared" si="15"/>
        <v>0</v>
      </c>
      <c r="AJ52" s="56">
        <f t="shared" si="15"/>
        <v>0</v>
      </c>
      <c r="AK52" s="56">
        <f t="shared" si="15"/>
        <v>0</v>
      </c>
      <c r="AL52" s="56">
        <f t="shared" si="15"/>
        <v>0</v>
      </c>
      <c r="AM52" s="56">
        <f t="shared" si="15"/>
        <v>0</v>
      </c>
      <c r="AN52" s="56">
        <f t="shared" si="15"/>
        <v>0</v>
      </c>
      <c r="AO52" s="540">
        <f t="shared" si="15"/>
        <v>0</v>
      </c>
      <c r="AP52" s="1253">
        <f t="shared" si="15"/>
        <v>0</v>
      </c>
      <c r="AQ52" s="1253">
        <f t="shared" si="15"/>
        <v>0</v>
      </c>
      <c r="AR52" s="56">
        <f t="shared" si="15"/>
        <v>0</v>
      </c>
      <c r="AS52" s="56">
        <f t="shared" si="15"/>
        <v>0</v>
      </c>
      <c r="AT52" s="56">
        <f t="shared" si="15"/>
        <v>0</v>
      </c>
      <c r="AU52" s="56">
        <f t="shared" si="15"/>
        <v>0</v>
      </c>
      <c r="AV52" s="56">
        <f t="shared" si="15"/>
        <v>0</v>
      </c>
      <c r="AW52" s="56">
        <f t="shared" si="15"/>
        <v>0</v>
      </c>
      <c r="AX52" s="56">
        <f t="shared" si="15"/>
        <v>0</v>
      </c>
      <c r="AY52" s="22"/>
      <c r="AZ52" s="22"/>
      <c r="BA52" s="22"/>
      <c r="BD52" s="944" t="s">
        <v>1647</v>
      </c>
    </row>
    <row r="53" spans="1:198" ht="34.15" hidden="1" customHeight="1">
      <c r="E53" s="623">
        <v>35</v>
      </c>
      <c r="F53" s="714">
        <f t="shared" ca="1" si="6"/>
        <v>0</v>
      </c>
      <c r="T53" s="634" t="b">
        <f t="shared" ca="1" si="5"/>
        <v>0</v>
      </c>
      <c r="X53" s="1405"/>
      <c r="Z53" s="1405"/>
      <c r="AB53" s="111" t="s">
        <v>520</v>
      </c>
      <c r="AC53" s="249" t="s">
        <v>1459</v>
      </c>
      <c r="AD53" s="440" t="s">
        <v>1204</v>
      </c>
      <c r="AE53" s="241"/>
      <c r="AF53" s="1121"/>
      <c r="AG53" s="1121"/>
      <c r="AH53" s="40"/>
      <c r="AI53" s="40"/>
      <c r="AJ53" s="40"/>
      <c r="AK53" s="40"/>
      <c r="AL53" s="40"/>
      <c r="AM53" s="40"/>
      <c r="AN53" s="40"/>
      <c r="AO53" s="241"/>
      <c r="AP53" s="1121"/>
      <c r="AQ53" s="1121"/>
      <c r="AR53" s="40"/>
      <c r="AS53" s="40"/>
      <c r="AT53" s="40"/>
      <c r="AU53" s="40"/>
      <c r="AV53" s="40"/>
      <c r="AW53" s="40"/>
      <c r="AX53" s="40"/>
      <c r="AY53" s="22"/>
      <c r="AZ53" s="22"/>
      <c r="BA53" s="22"/>
      <c r="BD53" s="944" t="s">
        <v>1460</v>
      </c>
    </row>
    <row r="54" spans="1:198" s="1254" customFormat="1" ht="16.5" customHeight="1">
      <c r="A54" s="157"/>
      <c r="B54" s="157"/>
      <c r="C54" s="157"/>
      <c r="D54" s="157"/>
      <c r="E54" s="623">
        <v>17.100000000000001</v>
      </c>
      <c r="F54" s="714" t="str">
        <f>X54</f>
        <v>1</v>
      </c>
      <c r="G54" s="566" t="str">
        <f>INDEX('Общие сведения'!$AK$169:$AK$202,MATCH($F54,'Общие сведения'!$Z$169:$Z$202,0))</f>
        <v>одноставочный</v>
      </c>
      <c r="H54" s="157"/>
      <c r="I54" s="150" t="str">
        <f>INDEX('Общие сведения'!$AE$169:$AE$202,MATCH($F54,'Общие сведения'!$Z$169:$Z$202,0))</f>
        <v>Теплоснабжение</v>
      </c>
      <c r="J54" s="157"/>
      <c r="K54" s="150" t="str">
        <f>INDEX('Общие сведения'!$AL$169:$AL$202,MATCH($F54,'Общие сведения'!$Z$169:$Z$202,0))</f>
        <v>Производство теплоносителя</v>
      </c>
      <c r="L54" s="157"/>
      <c r="M54" s="157"/>
      <c r="N54" s="157"/>
      <c r="O54" s="157"/>
      <c r="P54" s="157"/>
      <c r="Q54" s="157"/>
      <c r="R54" s="157"/>
      <c r="S54" s="157"/>
      <c r="T54" s="634" t="b">
        <f t="shared" si="5"/>
        <v>1</v>
      </c>
      <c r="U54" s="157"/>
      <c r="V54" s="113" t="str">
        <f>'Базовый уровень (МСА)'!$AB$51</f>
        <v>Тариф 1 (Теплоснабжение) - Тарифы на теплоноситель (Не определено)</v>
      </c>
      <c r="W54" s="157"/>
      <c r="X54" s="1526" t="s">
        <v>247</v>
      </c>
      <c r="Y54" s="157"/>
      <c r="Z54" s="1403"/>
      <c r="AA54" s="157"/>
      <c r="AB54" s="252" t="str">
        <f>IF(ISBLANK('Базовый уровень (МСА)'!$AB$51),"",'Базовый уровень (МСА)'!$AB$51)</f>
        <v>Тариф 1 (Теплоснабжение) - Тарифы на теплоноситель (Не определено)</v>
      </c>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Y54" s="253"/>
      <c r="AZ54" s="253"/>
      <c r="BA54" s="253"/>
      <c r="BB54" s="157"/>
      <c r="BC54" s="157"/>
      <c r="BD54" s="912"/>
      <c r="BE54" s="912"/>
      <c r="BF54" s="912"/>
      <c r="BG54" s="915"/>
      <c r="BH54" s="915"/>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c r="CL54" s="157"/>
      <c r="CM54" s="157"/>
      <c r="CN54" s="157"/>
      <c r="CO54" s="157"/>
      <c r="CP54" s="157"/>
      <c r="CQ54" s="157"/>
      <c r="CR54" s="157"/>
      <c r="CS54" s="157"/>
      <c r="CT54" s="157"/>
      <c r="CU54" s="157"/>
      <c r="CV54" s="157"/>
      <c r="CW54" s="157"/>
      <c r="CX54" s="157"/>
      <c r="CY54" s="157"/>
      <c r="CZ54" s="157"/>
      <c r="DA54" s="157"/>
      <c r="DB54" s="157"/>
      <c r="DC54" s="157"/>
      <c r="DD54" s="157"/>
      <c r="DE54" s="157"/>
      <c r="DF54" s="157"/>
      <c r="DG54" s="157"/>
      <c r="DH54" s="157"/>
      <c r="DI54" s="157"/>
      <c r="DJ54" s="157"/>
      <c r="DK54" s="157"/>
      <c r="DL54" s="157"/>
      <c r="DM54" s="157"/>
      <c r="DN54" s="157"/>
      <c r="DO54" s="157"/>
      <c r="DP54" s="157"/>
      <c r="DQ54" s="157"/>
      <c r="DR54" s="157"/>
      <c r="DS54" s="157"/>
      <c r="DT54" s="157"/>
      <c r="DU54" s="157"/>
      <c r="DV54" s="157"/>
      <c r="DW54" s="157"/>
      <c r="DX54" s="157"/>
      <c r="DY54" s="157"/>
      <c r="DZ54" s="157"/>
      <c r="EA54" s="157"/>
      <c r="EB54" s="157"/>
      <c r="EC54" s="157"/>
      <c r="ED54" s="157"/>
      <c r="EE54" s="157"/>
      <c r="EF54" s="157"/>
      <c r="EG54" s="157"/>
      <c r="EH54" s="157"/>
      <c r="EI54" s="157"/>
      <c r="EJ54" s="157"/>
      <c r="EK54" s="157"/>
      <c r="EL54" s="157"/>
      <c r="EM54" s="157"/>
      <c r="EN54" s="157"/>
      <c r="EO54" s="157"/>
      <c r="EP54" s="157"/>
      <c r="EQ54" s="157"/>
      <c r="ER54" s="157"/>
      <c r="ES54" s="157"/>
      <c r="ET54" s="157"/>
      <c r="EU54" s="157"/>
      <c r="EV54" s="157"/>
      <c r="EW54" s="157"/>
      <c r="EX54" s="157"/>
      <c r="EY54" s="157"/>
      <c r="EZ54" s="157"/>
      <c r="FA54" s="157"/>
      <c r="FB54" s="157"/>
      <c r="FC54" s="157"/>
      <c r="FD54" s="157"/>
      <c r="FE54" s="157"/>
      <c r="FF54" s="157"/>
      <c r="FG54" s="157"/>
      <c r="FH54" s="157"/>
      <c r="FI54" s="157"/>
      <c r="FJ54" s="157"/>
      <c r="FK54" s="157"/>
      <c r="FL54" s="157"/>
      <c r="FM54" s="157"/>
      <c r="FN54" s="157"/>
      <c r="FO54" s="157"/>
      <c r="FP54" s="157"/>
      <c r="FQ54" s="157"/>
      <c r="FR54" s="157"/>
      <c r="FS54" s="157"/>
      <c r="FT54" s="157"/>
      <c r="FU54" s="157"/>
      <c r="FV54" s="157"/>
      <c r="FW54" s="157"/>
      <c r="FX54" s="157"/>
      <c r="FY54" s="157"/>
      <c r="FZ54" s="157"/>
      <c r="GA54" s="157"/>
      <c r="GB54" s="157"/>
      <c r="GC54" s="157"/>
      <c r="GD54" s="157"/>
      <c r="GE54" s="157"/>
      <c r="GF54" s="157"/>
      <c r="GG54" s="157"/>
      <c r="GH54" s="157"/>
      <c r="GI54" s="157"/>
      <c r="GJ54" s="157"/>
      <c r="GK54" s="157"/>
      <c r="GL54" s="157"/>
      <c r="GM54" s="157"/>
      <c r="GN54" s="157"/>
      <c r="GO54" s="157"/>
      <c r="GP54" s="157"/>
    </row>
    <row r="55" spans="1:198" s="1057" customFormat="1" ht="16.5" customHeight="1">
      <c r="A55" s="165"/>
      <c r="B55" s="718"/>
      <c r="C55" s="165"/>
      <c r="D55" s="165"/>
      <c r="E55" s="623">
        <v>17</v>
      </c>
      <c r="F55" s="714" t="str">
        <f t="shared" ref="F55:F80" ca="1" si="16">OFFSET(G55,-1,-1)</f>
        <v>1</v>
      </c>
      <c r="G55" s="167"/>
      <c r="H55" s="167"/>
      <c r="I55" s="167"/>
      <c r="J55" s="167"/>
      <c r="K55" s="167"/>
      <c r="L55" s="167"/>
      <c r="M55" s="167"/>
      <c r="N55" s="167"/>
      <c r="O55" s="167"/>
      <c r="P55" s="167"/>
      <c r="Q55" s="130"/>
      <c r="R55" s="130"/>
      <c r="S55" s="167"/>
      <c r="T55" s="634" t="b">
        <f t="shared" ca="1" si="5"/>
        <v>1</v>
      </c>
      <c r="U55" s="1012"/>
      <c r="V55" s="1012"/>
      <c r="W55" s="1012"/>
      <c r="X55" s="1405"/>
      <c r="Y55" s="1012"/>
      <c r="Z55" s="1405"/>
      <c r="AA55" s="167"/>
      <c r="AB55" s="111">
        <v>1</v>
      </c>
      <c r="AC55" s="477" t="s">
        <v>1610</v>
      </c>
      <c r="AD55" s="434" t="s">
        <v>1204</v>
      </c>
      <c r="AE55" s="241">
        <f t="shared" ref="AE55:AX55" si="17">AE56+AE62+AE72</f>
        <v>0</v>
      </c>
      <c r="AF55" s="1121">
        <f t="shared" si="17"/>
        <v>0</v>
      </c>
      <c r="AG55" s="1121">
        <f t="shared" si="17"/>
        <v>0</v>
      </c>
      <c r="AH55" s="1142">
        <f t="shared" si="17"/>
        <v>0</v>
      </c>
      <c r="AI55" s="1142">
        <f t="shared" si="17"/>
        <v>0</v>
      </c>
      <c r="AJ55" s="1142">
        <f t="shared" si="17"/>
        <v>0</v>
      </c>
      <c r="AK55" s="1142">
        <f t="shared" si="17"/>
        <v>0</v>
      </c>
      <c r="AL55" s="1142">
        <f t="shared" si="17"/>
        <v>0</v>
      </c>
      <c r="AM55" s="1142">
        <f t="shared" si="17"/>
        <v>0</v>
      </c>
      <c r="AN55" s="1142">
        <f t="shared" si="17"/>
        <v>0</v>
      </c>
      <c r="AO55" s="241">
        <f t="shared" si="17"/>
        <v>0</v>
      </c>
      <c r="AP55" s="1121">
        <f t="shared" si="17"/>
        <v>0</v>
      </c>
      <c r="AQ55" s="1121">
        <f t="shared" si="17"/>
        <v>0</v>
      </c>
      <c r="AR55" s="1142">
        <f t="shared" si="17"/>
        <v>0</v>
      </c>
      <c r="AS55" s="1142">
        <f t="shared" si="17"/>
        <v>0</v>
      </c>
      <c r="AT55" s="1142">
        <f t="shared" si="17"/>
        <v>0</v>
      </c>
      <c r="AU55" s="1142">
        <f t="shared" si="17"/>
        <v>0</v>
      </c>
      <c r="AV55" s="1142">
        <f t="shared" si="17"/>
        <v>0</v>
      </c>
      <c r="AW55" s="1142">
        <f t="shared" si="17"/>
        <v>0</v>
      </c>
      <c r="AX55" s="1142">
        <f t="shared" si="17"/>
        <v>0</v>
      </c>
      <c r="AY55" s="1106"/>
      <c r="AZ55" s="1106"/>
      <c r="BA55" s="1106"/>
      <c r="BB55" s="167"/>
      <c r="BC55" s="167"/>
      <c r="BD55" s="944" t="s">
        <v>1611</v>
      </c>
      <c r="BE55" s="944"/>
      <c r="BF55" s="944"/>
      <c r="BG55" s="945"/>
      <c r="BH55" s="945"/>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7"/>
      <c r="DA55" s="167"/>
      <c r="DB55" s="167"/>
      <c r="DC55" s="167"/>
      <c r="DD55" s="167"/>
      <c r="DE55" s="167"/>
      <c r="DF55" s="167"/>
      <c r="DG55" s="167"/>
      <c r="DH55" s="167"/>
      <c r="DI55" s="167"/>
      <c r="DJ55" s="167"/>
      <c r="DK55" s="167"/>
      <c r="DL55" s="167"/>
      <c r="DM55" s="167"/>
      <c r="DN55" s="167"/>
      <c r="DO55" s="167"/>
      <c r="DP55" s="167"/>
      <c r="DQ55" s="167"/>
      <c r="DR55" s="167"/>
      <c r="DS55" s="167"/>
      <c r="DT55" s="167"/>
      <c r="DU55" s="167"/>
      <c r="DV55" s="167"/>
      <c r="DW55" s="167"/>
      <c r="DX55" s="167"/>
      <c r="DY55" s="167"/>
      <c r="DZ55" s="167"/>
      <c r="EA55" s="167"/>
      <c r="EB55" s="167"/>
      <c r="EC55" s="167"/>
      <c r="ED55" s="167"/>
      <c r="EE55" s="167"/>
      <c r="EF55" s="167"/>
      <c r="EG55" s="167"/>
      <c r="EH55" s="167"/>
      <c r="EI55" s="167"/>
      <c r="EJ55" s="167"/>
      <c r="EK55" s="167"/>
      <c r="EL55" s="167"/>
      <c r="EM55" s="167"/>
      <c r="EN55" s="167"/>
      <c r="EO55" s="167"/>
      <c r="EP55" s="167"/>
      <c r="EQ55" s="167"/>
      <c r="ER55" s="167"/>
      <c r="ES55" s="167"/>
      <c r="ET55" s="167"/>
      <c r="EU55" s="167"/>
      <c r="EV55" s="167"/>
      <c r="EW55" s="167"/>
      <c r="EX55" s="167"/>
      <c r="EY55" s="167"/>
      <c r="EZ55" s="167"/>
      <c r="FA55" s="167"/>
      <c r="FB55" s="167"/>
      <c r="FC55" s="167"/>
      <c r="FD55" s="167"/>
      <c r="FE55" s="167"/>
      <c r="FF55" s="167"/>
      <c r="FG55" s="167"/>
      <c r="FH55" s="167"/>
      <c r="FI55" s="167"/>
      <c r="FJ55" s="167"/>
      <c r="FK55" s="167"/>
      <c r="FL55" s="167"/>
      <c r="FM55" s="167"/>
      <c r="FN55" s="167"/>
      <c r="FO55" s="167"/>
      <c r="FP55" s="167"/>
      <c r="FQ55" s="167"/>
      <c r="FR55" s="167"/>
      <c r="FS55" s="167"/>
      <c r="FT55" s="167"/>
      <c r="FU55" s="167"/>
      <c r="FV55" s="167"/>
      <c r="FW55" s="167"/>
      <c r="FX55" s="167"/>
      <c r="FY55" s="167"/>
      <c r="FZ55" s="167"/>
      <c r="GA55" s="167"/>
      <c r="GB55" s="167"/>
      <c r="GC55" s="167"/>
      <c r="GD55" s="167"/>
      <c r="GE55" s="167"/>
      <c r="GF55" s="167"/>
      <c r="GG55" s="167"/>
      <c r="GH55" s="167"/>
      <c r="GI55" s="167"/>
      <c r="GJ55" s="167"/>
      <c r="GK55" s="167"/>
      <c r="GL55" s="167"/>
      <c r="GM55" s="167"/>
      <c r="GN55" s="167"/>
      <c r="GO55" s="167"/>
      <c r="GP55" s="167"/>
    </row>
    <row r="56" spans="1:198" s="1057" customFormat="1" ht="16.5" customHeight="1">
      <c r="A56" s="165"/>
      <c r="B56" s="718"/>
      <c r="C56" s="165"/>
      <c r="D56" s="165"/>
      <c r="E56" s="623">
        <v>17</v>
      </c>
      <c r="F56" s="714" t="str">
        <f t="shared" ca="1" si="16"/>
        <v>1</v>
      </c>
      <c r="G56" s="167"/>
      <c r="H56" s="167"/>
      <c r="I56" s="167"/>
      <c r="J56" s="167"/>
      <c r="K56" s="167"/>
      <c r="L56" s="167"/>
      <c r="M56" s="167"/>
      <c r="N56" s="167"/>
      <c r="O56" s="167"/>
      <c r="P56" s="167"/>
      <c r="Q56" s="130"/>
      <c r="R56" s="130"/>
      <c r="S56" s="167"/>
      <c r="T56" s="634" t="b">
        <f t="shared" ca="1" si="5"/>
        <v>1</v>
      </c>
      <c r="U56" s="1012"/>
      <c r="V56" s="1012"/>
      <c r="W56" s="1012"/>
      <c r="X56" s="1405"/>
      <c r="Y56" s="1012"/>
      <c r="Z56" s="1405"/>
      <c r="AA56" s="167"/>
      <c r="AB56" s="111" t="s">
        <v>339</v>
      </c>
      <c r="AC56" s="784" t="s">
        <v>1612</v>
      </c>
      <c r="AD56" s="434" t="s">
        <v>1204</v>
      </c>
      <c r="AE56" s="241">
        <f t="shared" ref="AE56:AX56" si="18">AE57+AE61</f>
        <v>0</v>
      </c>
      <c r="AF56" s="1121">
        <f t="shared" si="18"/>
        <v>0</v>
      </c>
      <c r="AG56" s="1121">
        <f t="shared" si="18"/>
        <v>0</v>
      </c>
      <c r="AH56" s="1142">
        <f t="shared" si="18"/>
        <v>0</v>
      </c>
      <c r="AI56" s="1142">
        <f t="shared" si="18"/>
        <v>0</v>
      </c>
      <c r="AJ56" s="1142">
        <f t="shared" si="18"/>
        <v>0</v>
      </c>
      <c r="AK56" s="1142">
        <f t="shared" si="18"/>
        <v>0</v>
      </c>
      <c r="AL56" s="1142">
        <f t="shared" si="18"/>
        <v>0</v>
      </c>
      <c r="AM56" s="1142">
        <f t="shared" si="18"/>
        <v>0</v>
      </c>
      <c r="AN56" s="1142">
        <f t="shared" si="18"/>
        <v>0</v>
      </c>
      <c r="AO56" s="241">
        <f t="shared" si="18"/>
        <v>0</v>
      </c>
      <c r="AP56" s="1121">
        <f t="shared" si="18"/>
        <v>0</v>
      </c>
      <c r="AQ56" s="1121">
        <f t="shared" si="18"/>
        <v>0</v>
      </c>
      <c r="AR56" s="1142">
        <f t="shared" si="18"/>
        <v>0</v>
      </c>
      <c r="AS56" s="1142">
        <f t="shared" si="18"/>
        <v>0</v>
      </c>
      <c r="AT56" s="1142">
        <f t="shared" si="18"/>
        <v>0</v>
      </c>
      <c r="AU56" s="1142">
        <f t="shared" si="18"/>
        <v>0</v>
      </c>
      <c r="AV56" s="1142">
        <f t="shared" si="18"/>
        <v>0</v>
      </c>
      <c r="AW56" s="1142">
        <f t="shared" si="18"/>
        <v>0</v>
      </c>
      <c r="AX56" s="1142">
        <f t="shared" si="18"/>
        <v>0</v>
      </c>
      <c r="AY56" s="1106"/>
      <c r="AZ56" s="1106"/>
      <c r="BA56" s="1106"/>
      <c r="BB56" s="167"/>
      <c r="BC56" s="167"/>
      <c r="BD56" s="944" t="s">
        <v>1613</v>
      </c>
      <c r="BE56" s="944"/>
      <c r="BF56" s="944"/>
      <c r="BG56" s="945"/>
      <c r="BH56" s="945"/>
      <c r="BI56" s="167"/>
      <c r="BJ56" s="167"/>
      <c r="BK56" s="167"/>
      <c r="BL56" s="167"/>
      <c r="BM56" s="167"/>
      <c r="BN56" s="167"/>
      <c r="BO56" s="167"/>
      <c r="BP56" s="167"/>
      <c r="BQ56" s="167"/>
      <c r="BR56" s="167"/>
      <c r="BS56" s="167"/>
      <c r="BT56" s="167"/>
      <c r="BU56" s="167"/>
      <c r="BV56" s="167"/>
      <c r="BW56" s="167"/>
      <c r="BX56" s="167"/>
      <c r="BY56" s="167"/>
      <c r="BZ56" s="167"/>
      <c r="CA56" s="167"/>
      <c r="CB56" s="167"/>
      <c r="CC56" s="167"/>
      <c r="CD56" s="167"/>
      <c r="CE56" s="167"/>
      <c r="CF56" s="167"/>
      <c r="CG56" s="167"/>
      <c r="CH56" s="167"/>
      <c r="CI56" s="167"/>
      <c r="CJ56" s="167"/>
      <c r="CK56" s="167"/>
      <c r="CL56" s="167"/>
      <c r="CM56" s="167"/>
      <c r="CN56" s="167"/>
      <c r="CO56" s="167"/>
      <c r="CP56" s="167"/>
      <c r="CQ56" s="167"/>
      <c r="CR56" s="167"/>
      <c r="CS56" s="167"/>
      <c r="CT56" s="167"/>
      <c r="CU56" s="167"/>
      <c r="CV56" s="167"/>
      <c r="CW56" s="167"/>
      <c r="CX56" s="167"/>
      <c r="CY56" s="167"/>
      <c r="CZ56" s="167"/>
      <c r="DA56" s="167"/>
      <c r="DB56" s="167"/>
      <c r="DC56" s="167"/>
      <c r="DD56" s="167"/>
      <c r="DE56" s="167"/>
      <c r="DF56" s="167"/>
      <c r="DG56" s="167"/>
      <c r="DH56" s="167"/>
      <c r="DI56" s="167"/>
      <c r="DJ56" s="167"/>
      <c r="DK56" s="167"/>
      <c r="DL56" s="167"/>
      <c r="DM56" s="167"/>
      <c r="DN56" s="167"/>
      <c r="DO56" s="167"/>
      <c r="DP56" s="167"/>
      <c r="DQ56" s="167"/>
      <c r="DR56" s="167"/>
      <c r="DS56" s="167"/>
      <c r="DT56" s="167"/>
      <c r="DU56" s="167"/>
      <c r="DV56" s="167"/>
      <c r="DW56" s="167"/>
      <c r="DX56" s="167"/>
      <c r="DY56" s="167"/>
      <c r="DZ56" s="167"/>
      <c r="EA56" s="167"/>
      <c r="EB56" s="167"/>
      <c r="EC56" s="167"/>
      <c r="ED56" s="167"/>
      <c r="EE56" s="167"/>
      <c r="EF56" s="167"/>
      <c r="EG56" s="167"/>
      <c r="EH56" s="167"/>
      <c r="EI56" s="167"/>
      <c r="EJ56" s="167"/>
      <c r="EK56" s="167"/>
      <c r="EL56" s="167"/>
      <c r="EM56" s="167"/>
      <c r="EN56" s="167"/>
      <c r="EO56" s="167"/>
      <c r="EP56" s="167"/>
      <c r="EQ56" s="167"/>
      <c r="ER56" s="167"/>
      <c r="ES56" s="167"/>
      <c r="ET56" s="167"/>
      <c r="EU56" s="167"/>
      <c r="EV56" s="167"/>
      <c r="EW56" s="167"/>
      <c r="EX56" s="167"/>
      <c r="EY56" s="167"/>
      <c r="EZ56" s="167"/>
      <c r="FA56" s="167"/>
      <c r="FB56" s="167"/>
      <c r="FC56" s="167"/>
      <c r="FD56" s="167"/>
      <c r="FE56" s="167"/>
      <c r="FF56" s="167"/>
      <c r="FG56" s="167"/>
      <c r="FH56" s="167"/>
      <c r="FI56" s="167"/>
      <c r="FJ56" s="167"/>
      <c r="FK56" s="167"/>
      <c r="FL56" s="167"/>
      <c r="FM56" s="167"/>
      <c r="FN56" s="167"/>
      <c r="FO56" s="167"/>
      <c r="FP56" s="167"/>
      <c r="FQ56" s="167"/>
      <c r="FR56" s="167"/>
      <c r="FS56" s="167"/>
      <c r="FT56" s="167"/>
      <c r="FU56" s="167"/>
      <c r="FV56" s="167"/>
      <c r="FW56" s="167"/>
      <c r="FX56" s="167"/>
      <c r="FY56" s="167"/>
      <c r="FZ56" s="167"/>
      <c r="GA56" s="167"/>
      <c r="GB56" s="167"/>
      <c r="GC56" s="167"/>
      <c r="GD56" s="167"/>
      <c r="GE56" s="167"/>
      <c r="GF56" s="167"/>
      <c r="GG56" s="167"/>
      <c r="GH56" s="167"/>
      <c r="GI56" s="167"/>
      <c r="GJ56" s="167"/>
      <c r="GK56" s="167"/>
      <c r="GL56" s="167"/>
      <c r="GM56" s="167"/>
      <c r="GN56" s="167"/>
      <c r="GO56" s="167"/>
      <c r="GP56" s="167"/>
    </row>
    <row r="57" spans="1:198" s="1057" customFormat="1" ht="16.5" customHeight="1">
      <c r="A57" s="165"/>
      <c r="B57" s="718"/>
      <c r="C57" s="165"/>
      <c r="D57" s="165"/>
      <c r="E57" s="623">
        <v>17</v>
      </c>
      <c r="F57" s="714" t="str">
        <f t="shared" ca="1" si="16"/>
        <v>1</v>
      </c>
      <c r="G57" s="167"/>
      <c r="H57" s="167"/>
      <c r="I57" s="167"/>
      <c r="J57" s="167"/>
      <c r="K57" s="167"/>
      <c r="L57" s="167"/>
      <c r="M57" s="167"/>
      <c r="N57" s="167"/>
      <c r="O57" s="167"/>
      <c r="P57" s="167"/>
      <c r="Q57" s="130"/>
      <c r="R57" s="130"/>
      <c r="S57" s="167"/>
      <c r="T57" s="634" t="b">
        <f t="shared" ca="1" si="5"/>
        <v>1</v>
      </c>
      <c r="U57" s="1012"/>
      <c r="V57" s="1012"/>
      <c r="W57" s="1012"/>
      <c r="X57" s="1405"/>
      <c r="Y57" s="1012"/>
      <c r="Z57" s="1405"/>
      <c r="AA57" s="167"/>
      <c r="AB57" s="446" t="s">
        <v>970</v>
      </c>
      <c r="AC57" s="436" t="s">
        <v>1614</v>
      </c>
      <c r="AD57" s="771" t="s">
        <v>1204</v>
      </c>
      <c r="AE57" s="241"/>
      <c r="AF57" s="1121"/>
      <c r="AG57" s="1121"/>
      <c r="AH57" s="1142"/>
      <c r="AI57" s="1142"/>
      <c r="AJ57" s="1142"/>
      <c r="AK57" s="1142"/>
      <c r="AL57" s="1142"/>
      <c r="AM57" s="1142"/>
      <c r="AN57" s="1142"/>
      <c r="AO57" s="241"/>
      <c r="AP57" s="1121"/>
      <c r="AQ57" s="1121"/>
      <c r="AR57" s="1142"/>
      <c r="AS57" s="1142"/>
      <c r="AT57" s="1142"/>
      <c r="AU57" s="1142"/>
      <c r="AV57" s="1142"/>
      <c r="AW57" s="1142"/>
      <c r="AX57" s="1142"/>
      <c r="AY57" s="1106"/>
      <c r="AZ57" s="1106"/>
      <c r="BA57" s="1106"/>
      <c r="BB57" s="167"/>
      <c r="BC57" s="167"/>
      <c r="BD57" s="944" t="s">
        <v>1615</v>
      </c>
      <c r="BE57" s="944"/>
      <c r="BF57" s="944"/>
      <c r="BG57" s="945"/>
      <c r="BH57" s="945"/>
      <c r="BI57" s="167"/>
      <c r="BJ57" s="167"/>
      <c r="BK57" s="167"/>
      <c r="BL57" s="167"/>
      <c r="BM57" s="167"/>
      <c r="BN57" s="167"/>
      <c r="BO57" s="167"/>
      <c r="BP57" s="167"/>
      <c r="BQ57" s="167"/>
      <c r="BR57" s="167"/>
      <c r="BS57" s="167"/>
      <c r="BT57" s="167"/>
      <c r="BU57" s="167"/>
      <c r="BV57" s="167"/>
      <c r="BW57" s="167"/>
      <c r="BX57" s="167"/>
      <c r="BY57" s="167"/>
      <c r="BZ57" s="167"/>
      <c r="CA57" s="167"/>
      <c r="CB57" s="167"/>
      <c r="CC57" s="167"/>
      <c r="CD57" s="167"/>
      <c r="CE57" s="167"/>
      <c r="CF57" s="167"/>
      <c r="CG57" s="167"/>
      <c r="CH57" s="167"/>
      <c r="CI57" s="167"/>
      <c r="CJ57" s="167"/>
      <c r="CK57" s="167"/>
      <c r="CL57" s="167"/>
      <c r="CM57" s="167"/>
      <c r="CN57" s="167"/>
      <c r="CO57" s="167"/>
      <c r="CP57" s="167"/>
      <c r="CQ57" s="167"/>
      <c r="CR57" s="167"/>
      <c r="CS57" s="167"/>
      <c r="CT57" s="167"/>
      <c r="CU57" s="167"/>
      <c r="CV57" s="167"/>
      <c r="CW57" s="167"/>
      <c r="CX57" s="167"/>
      <c r="CY57" s="167"/>
      <c r="CZ57" s="167"/>
      <c r="DA57" s="167"/>
      <c r="DB57" s="167"/>
      <c r="DC57" s="167"/>
      <c r="DD57" s="167"/>
      <c r="DE57" s="167"/>
      <c r="DF57" s="167"/>
      <c r="DG57" s="167"/>
      <c r="DH57" s="167"/>
      <c r="DI57" s="167"/>
      <c r="DJ57" s="167"/>
      <c r="DK57" s="167"/>
      <c r="DL57" s="167"/>
      <c r="DM57" s="167"/>
      <c r="DN57" s="167"/>
      <c r="DO57" s="167"/>
      <c r="DP57" s="167"/>
      <c r="DQ57" s="167"/>
      <c r="DR57" s="167"/>
      <c r="DS57" s="167"/>
      <c r="DT57" s="167"/>
      <c r="DU57" s="167"/>
      <c r="DV57" s="167"/>
      <c r="DW57" s="167"/>
      <c r="DX57" s="167"/>
      <c r="DY57" s="167"/>
      <c r="DZ57" s="167"/>
      <c r="EA57" s="167"/>
      <c r="EB57" s="167"/>
      <c r="EC57" s="167"/>
      <c r="ED57" s="167"/>
      <c r="EE57" s="167"/>
      <c r="EF57" s="167"/>
      <c r="EG57" s="167"/>
      <c r="EH57" s="167"/>
      <c r="EI57" s="167"/>
      <c r="EJ57" s="167"/>
      <c r="EK57" s="167"/>
      <c r="EL57" s="167"/>
      <c r="EM57" s="167"/>
      <c r="EN57" s="167"/>
      <c r="EO57" s="167"/>
      <c r="EP57" s="167"/>
      <c r="EQ57" s="167"/>
      <c r="ER57" s="167"/>
      <c r="ES57" s="167"/>
      <c r="ET57" s="167"/>
      <c r="EU57" s="167"/>
      <c r="EV57" s="167"/>
      <c r="EW57" s="167"/>
      <c r="EX57" s="167"/>
      <c r="EY57" s="167"/>
      <c r="EZ57" s="167"/>
      <c r="FA57" s="167"/>
      <c r="FB57" s="167"/>
      <c r="FC57" s="167"/>
      <c r="FD57" s="167"/>
      <c r="FE57" s="167"/>
      <c r="FF57" s="167"/>
      <c r="FG57" s="167"/>
      <c r="FH57" s="167"/>
      <c r="FI57" s="167"/>
      <c r="FJ57" s="167"/>
      <c r="FK57" s="167"/>
      <c r="FL57" s="167"/>
      <c r="FM57" s="167"/>
      <c r="FN57" s="167"/>
      <c r="FO57" s="167"/>
      <c r="FP57" s="167"/>
      <c r="FQ57" s="167"/>
      <c r="FR57" s="167"/>
      <c r="FS57" s="167"/>
      <c r="FT57" s="167"/>
      <c r="FU57" s="167"/>
      <c r="FV57" s="167"/>
      <c r="FW57" s="167"/>
      <c r="FX57" s="167"/>
      <c r="FY57" s="167"/>
      <c r="FZ57" s="167"/>
      <c r="GA57" s="167"/>
      <c r="GB57" s="167"/>
      <c r="GC57" s="167"/>
      <c r="GD57" s="167"/>
      <c r="GE57" s="167"/>
      <c r="GF57" s="167"/>
      <c r="GG57" s="167"/>
      <c r="GH57" s="167"/>
      <c r="GI57" s="167"/>
      <c r="GJ57" s="167"/>
      <c r="GK57" s="167"/>
      <c r="GL57" s="167"/>
      <c r="GM57" s="167"/>
      <c r="GN57" s="167"/>
      <c r="GO57" s="167"/>
      <c r="GP57" s="167"/>
    </row>
    <row r="58" spans="1:198" s="1057" customFormat="1" ht="16.5" customHeight="1">
      <c r="A58" s="165"/>
      <c r="B58" s="718"/>
      <c r="C58" s="165"/>
      <c r="D58" s="165"/>
      <c r="E58" s="623">
        <v>17</v>
      </c>
      <c r="F58" s="714" t="str">
        <f t="shared" ca="1" si="16"/>
        <v>1</v>
      </c>
      <c r="G58" s="167"/>
      <c r="H58" s="167"/>
      <c r="I58" s="167"/>
      <c r="J58" s="167"/>
      <c r="K58" s="167"/>
      <c r="L58" s="167"/>
      <c r="M58" s="167"/>
      <c r="N58" s="167"/>
      <c r="O58" s="167"/>
      <c r="P58" s="167"/>
      <c r="Q58" s="130"/>
      <c r="R58" s="130"/>
      <c r="S58" s="167"/>
      <c r="T58" s="634" t="b">
        <f t="shared" ca="1" si="5"/>
        <v>1</v>
      </c>
      <c r="U58" s="1012"/>
      <c r="V58" s="1012"/>
      <c r="W58" s="1012"/>
      <c r="X58" s="1405"/>
      <c r="Y58" s="1012"/>
      <c r="Z58" s="1405"/>
      <c r="AA58" s="167"/>
      <c r="AB58" s="446" t="s">
        <v>1616</v>
      </c>
      <c r="AC58" s="455" t="s">
        <v>1617</v>
      </c>
      <c r="AD58" s="771" t="s">
        <v>1204</v>
      </c>
      <c r="AE58" s="241"/>
      <c r="AF58" s="1121"/>
      <c r="AG58" s="1121"/>
      <c r="AH58" s="1142"/>
      <c r="AI58" s="1142"/>
      <c r="AJ58" s="1142"/>
      <c r="AK58" s="1142"/>
      <c r="AL58" s="1142"/>
      <c r="AM58" s="1142"/>
      <c r="AN58" s="1142"/>
      <c r="AO58" s="241"/>
      <c r="AP58" s="1121"/>
      <c r="AQ58" s="1121"/>
      <c r="AR58" s="1142"/>
      <c r="AS58" s="1142"/>
      <c r="AT58" s="1142"/>
      <c r="AU58" s="1142"/>
      <c r="AV58" s="1142"/>
      <c r="AW58" s="1142"/>
      <c r="AX58" s="1142"/>
      <c r="AY58" s="1106"/>
      <c r="AZ58" s="1106"/>
      <c r="BA58" s="1106"/>
      <c r="BB58" s="167"/>
      <c r="BC58" s="167"/>
      <c r="BD58" s="944" t="s">
        <v>1618</v>
      </c>
      <c r="BE58" s="944"/>
      <c r="BF58" s="944"/>
      <c r="BG58" s="945"/>
      <c r="BH58" s="945"/>
      <c r="BI58" s="167"/>
      <c r="BJ58" s="167"/>
      <c r="BK58" s="167"/>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7"/>
      <c r="CZ58" s="167"/>
      <c r="DA58" s="167"/>
      <c r="DB58" s="167"/>
      <c r="DC58" s="167"/>
      <c r="DD58" s="167"/>
      <c r="DE58" s="167"/>
      <c r="DF58" s="167"/>
      <c r="DG58" s="167"/>
      <c r="DH58" s="167"/>
      <c r="DI58" s="167"/>
      <c r="DJ58" s="167"/>
      <c r="DK58" s="167"/>
      <c r="DL58" s="167"/>
      <c r="DM58" s="167"/>
      <c r="DN58" s="167"/>
      <c r="DO58" s="167"/>
      <c r="DP58" s="167"/>
      <c r="DQ58" s="167"/>
      <c r="DR58" s="167"/>
      <c r="DS58" s="167"/>
      <c r="DT58" s="167"/>
      <c r="DU58" s="167"/>
      <c r="DV58" s="167"/>
      <c r="DW58" s="167"/>
      <c r="DX58" s="167"/>
      <c r="DY58" s="167"/>
      <c r="DZ58" s="167"/>
      <c r="EA58" s="167"/>
      <c r="EB58" s="167"/>
      <c r="EC58" s="167"/>
      <c r="ED58" s="167"/>
      <c r="EE58" s="167"/>
      <c r="EF58" s="167"/>
      <c r="EG58" s="167"/>
      <c r="EH58" s="167"/>
      <c r="EI58" s="167"/>
      <c r="EJ58" s="167"/>
      <c r="EK58" s="167"/>
      <c r="EL58" s="167"/>
      <c r="EM58" s="167"/>
      <c r="EN58" s="167"/>
      <c r="EO58" s="167"/>
      <c r="EP58" s="167"/>
      <c r="EQ58" s="167"/>
      <c r="ER58" s="167"/>
      <c r="ES58" s="167"/>
      <c r="ET58" s="167"/>
      <c r="EU58" s="167"/>
      <c r="EV58" s="167"/>
      <c r="EW58" s="167"/>
      <c r="EX58" s="167"/>
      <c r="EY58" s="167"/>
      <c r="EZ58" s="167"/>
      <c r="FA58" s="167"/>
      <c r="FB58" s="167"/>
      <c r="FC58" s="167"/>
      <c r="FD58" s="167"/>
      <c r="FE58" s="167"/>
      <c r="FF58" s="167"/>
      <c r="FG58" s="167"/>
      <c r="FH58" s="167"/>
      <c r="FI58" s="167"/>
      <c r="FJ58" s="167"/>
      <c r="FK58" s="167"/>
      <c r="FL58" s="167"/>
      <c r="FM58" s="167"/>
      <c r="FN58" s="167"/>
      <c r="FO58" s="167"/>
      <c r="FP58" s="167"/>
      <c r="FQ58" s="167"/>
      <c r="FR58" s="167"/>
      <c r="FS58" s="167"/>
      <c r="FT58" s="167"/>
      <c r="FU58" s="167"/>
      <c r="FV58" s="167"/>
      <c r="FW58" s="167"/>
      <c r="FX58" s="167"/>
      <c r="FY58" s="167"/>
      <c r="FZ58" s="167"/>
      <c r="GA58" s="167"/>
      <c r="GB58" s="167"/>
      <c r="GC58" s="167"/>
      <c r="GD58" s="167"/>
      <c r="GE58" s="167"/>
      <c r="GF58" s="167"/>
      <c r="GG58" s="167"/>
      <c r="GH58" s="167"/>
      <c r="GI58" s="167"/>
      <c r="GJ58" s="167"/>
      <c r="GK58" s="167"/>
      <c r="GL58" s="167"/>
      <c r="GM58" s="167"/>
      <c r="GN58" s="167"/>
      <c r="GO58" s="167"/>
      <c r="GP58" s="167"/>
    </row>
    <row r="59" spans="1:198" s="1057" customFormat="1" ht="33.75" customHeight="1">
      <c r="A59" s="165"/>
      <c r="B59" s="718"/>
      <c r="C59" s="165"/>
      <c r="D59" s="165"/>
      <c r="E59" s="623">
        <v>35</v>
      </c>
      <c r="F59" s="714" t="str">
        <f t="shared" ca="1" si="16"/>
        <v>1</v>
      </c>
      <c r="G59" s="167"/>
      <c r="H59" s="167"/>
      <c r="I59" s="167"/>
      <c r="J59" s="167"/>
      <c r="K59" s="167"/>
      <c r="L59" s="167"/>
      <c r="M59" s="167"/>
      <c r="N59" s="167"/>
      <c r="O59" s="167"/>
      <c r="P59" s="167"/>
      <c r="Q59" s="130"/>
      <c r="R59" s="130"/>
      <c r="S59" s="167"/>
      <c r="T59" s="634" t="b">
        <f t="shared" ref="T59:T80" ca="1" si="19">AND(F59&gt;0,OR(ISBLANK(Y59),Y59&gt;0))</f>
        <v>1</v>
      </c>
      <c r="U59" s="1012"/>
      <c r="V59" s="1012"/>
      <c r="W59" s="1012"/>
      <c r="X59" s="1405"/>
      <c r="Y59" s="1012"/>
      <c r="Z59" s="1405"/>
      <c r="AA59" s="167"/>
      <c r="AB59" s="446" t="s">
        <v>1619</v>
      </c>
      <c r="AC59" s="447" t="s">
        <v>1620</v>
      </c>
      <c r="AD59" s="771" t="s">
        <v>1204</v>
      </c>
      <c r="AE59" s="241"/>
      <c r="AF59" s="1121"/>
      <c r="AG59" s="1121"/>
      <c r="AH59" s="1142"/>
      <c r="AI59" s="1142"/>
      <c r="AJ59" s="1142"/>
      <c r="AK59" s="1142"/>
      <c r="AL59" s="1142"/>
      <c r="AM59" s="1142"/>
      <c r="AN59" s="1142"/>
      <c r="AO59" s="241"/>
      <c r="AP59" s="1121"/>
      <c r="AQ59" s="1121"/>
      <c r="AR59" s="1142"/>
      <c r="AS59" s="1142"/>
      <c r="AT59" s="1142"/>
      <c r="AU59" s="1142"/>
      <c r="AV59" s="1142"/>
      <c r="AW59" s="1142"/>
      <c r="AX59" s="1142"/>
      <c r="AY59" s="1106"/>
      <c r="AZ59" s="1106"/>
      <c r="BA59" s="1106"/>
      <c r="BB59" s="167"/>
      <c r="BC59" s="167"/>
      <c r="BD59" s="944" t="s">
        <v>1621</v>
      </c>
      <c r="BE59" s="944"/>
      <c r="BF59" s="944"/>
      <c r="BG59" s="945"/>
      <c r="BH59" s="945"/>
      <c r="BI59" s="167"/>
      <c r="BJ59" s="167"/>
      <c r="BK59" s="167"/>
      <c r="BL59" s="167"/>
      <c r="BM59" s="167"/>
      <c r="BN59" s="167"/>
      <c r="BO59" s="167"/>
      <c r="BP59" s="167"/>
      <c r="BQ59" s="167"/>
      <c r="BR59" s="167"/>
      <c r="BS59" s="167"/>
      <c r="BT59" s="167"/>
      <c r="BU59" s="167"/>
      <c r="BV59" s="167"/>
      <c r="BW59" s="167"/>
      <c r="BX59" s="167"/>
      <c r="BY59" s="167"/>
      <c r="BZ59" s="167"/>
      <c r="CA59" s="167"/>
      <c r="CB59" s="167"/>
      <c r="CC59" s="167"/>
      <c r="CD59" s="167"/>
      <c r="CE59" s="167"/>
      <c r="CF59" s="167"/>
      <c r="CG59" s="167"/>
      <c r="CH59" s="167"/>
      <c r="CI59" s="167"/>
      <c r="CJ59" s="167"/>
      <c r="CK59" s="167"/>
      <c r="CL59" s="167"/>
      <c r="CM59" s="167"/>
      <c r="CN59" s="167"/>
      <c r="CO59" s="167"/>
      <c r="CP59" s="167"/>
      <c r="CQ59" s="167"/>
      <c r="CR59" s="167"/>
      <c r="CS59" s="167"/>
      <c r="CT59" s="167"/>
      <c r="CU59" s="167"/>
      <c r="CV59" s="167"/>
      <c r="CW59" s="167"/>
      <c r="CX59" s="167"/>
      <c r="CY59" s="167"/>
      <c r="CZ59" s="167"/>
      <c r="DA59" s="167"/>
      <c r="DB59" s="167"/>
      <c r="DC59" s="167"/>
      <c r="DD59" s="167"/>
      <c r="DE59" s="167"/>
      <c r="DF59" s="167"/>
      <c r="DG59" s="167"/>
      <c r="DH59" s="167"/>
      <c r="DI59" s="167"/>
      <c r="DJ59" s="167"/>
      <c r="DK59" s="167"/>
      <c r="DL59" s="167"/>
      <c r="DM59" s="167"/>
      <c r="DN59" s="167"/>
      <c r="DO59" s="167"/>
      <c r="DP59" s="167"/>
      <c r="DQ59" s="167"/>
      <c r="DR59" s="167"/>
      <c r="DS59" s="167"/>
      <c r="DT59" s="167"/>
      <c r="DU59" s="167"/>
      <c r="DV59" s="167"/>
      <c r="DW59" s="167"/>
      <c r="DX59" s="167"/>
      <c r="DY59" s="167"/>
      <c r="DZ59" s="167"/>
      <c r="EA59" s="167"/>
      <c r="EB59" s="167"/>
      <c r="EC59" s="167"/>
      <c r="ED59" s="167"/>
      <c r="EE59" s="167"/>
      <c r="EF59" s="167"/>
      <c r="EG59" s="167"/>
      <c r="EH59" s="167"/>
      <c r="EI59" s="167"/>
      <c r="EJ59" s="167"/>
      <c r="EK59" s="167"/>
      <c r="EL59" s="167"/>
      <c r="EM59" s="167"/>
      <c r="EN59" s="167"/>
      <c r="EO59" s="167"/>
      <c r="EP59" s="167"/>
      <c r="EQ59" s="167"/>
      <c r="ER59" s="167"/>
      <c r="ES59" s="167"/>
      <c r="ET59" s="167"/>
      <c r="EU59" s="167"/>
      <c r="EV59" s="167"/>
      <c r="EW59" s="167"/>
      <c r="EX59" s="167"/>
      <c r="EY59" s="167"/>
      <c r="EZ59" s="167"/>
      <c r="FA59" s="167"/>
      <c r="FB59" s="167"/>
      <c r="FC59" s="167"/>
      <c r="FD59" s="167"/>
      <c r="FE59" s="167"/>
      <c r="FF59" s="167"/>
      <c r="FG59" s="167"/>
      <c r="FH59" s="167"/>
      <c r="FI59" s="167"/>
      <c r="FJ59" s="167"/>
      <c r="FK59" s="167"/>
      <c r="FL59" s="167"/>
      <c r="FM59" s="167"/>
      <c r="FN59" s="167"/>
      <c r="FO59" s="167"/>
      <c r="FP59" s="167"/>
      <c r="FQ59" s="167"/>
      <c r="FR59" s="167"/>
      <c r="FS59" s="167"/>
      <c r="FT59" s="167"/>
      <c r="FU59" s="167"/>
      <c r="FV59" s="167"/>
      <c r="FW59" s="167"/>
      <c r="FX59" s="167"/>
      <c r="FY59" s="167"/>
      <c r="FZ59" s="167"/>
      <c r="GA59" s="167"/>
      <c r="GB59" s="167"/>
      <c r="GC59" s="167"/>
      <c r="GD59" s="167"/>
      <c r="GE59" s="167"/>
      <c r="GF59" s="167"/>
      <c r="GG59" s="167"/>
      <c r="GH59" s="167"/>
      <c r="GI59" s="167"/>
      <c r="GJ59" s="167"/>
      <c r="GK59" s="167"/>
      <c r="GL59" s="167"/>
      <c r="GM59" s="167"/>
      <c r="GN59" s="167"/>
      <c r="GO59" s="167"/>
      <c r="GP59" s="167"/>
    </row>
    <row r="60" spans="1:198" s="1057" customFormat="1" ht="16.5" customHeight="1">
      <c r="A60" s="165"/>
      <c r="B60" s="718"/>
      <c r="C60" s="165"/>
      <c r="D60" s="165"/>
      <c r="E60" s="623">
        <v>17</v>
      </c>
      <c r="F60" s="714" t="str">
        <f t="shared" ca="1" si="16"/>
        <v>1</v>
      </c>
      <c r="G60" s="167"/>
      <c r="H60" s="167"/>
      <c r="I60" s="167"/>
      <c r="J60" s="167"/>
      <c r="K60" s="167"/>
      <c r="L60" s="167"/>
      <c r="M60" s="167"/>
      <c r="N60" s="167"/>
      <c r="O60" s="167"/>
      <c r="P60" s="167"/>
      <c r="Q60" s="130"/>
      <c r="R60" s="130"/>
      <c r="S60" s="167"/>
      <c r="T60" s="634" t="b">
        <f t="shared" ca="1" si="19"/>
        <v>1</v>
      </c>
      <c r="U60" s="1012"/>
      <c r="V60" s="1012"/>
      <c r="W60" s="1012"/>
      <c r="X60" s="1405"/>
      <c r="Y60" s="1012"/>
      <c r="Z60" s="1405"/>
      <c r="AA60" s="167"/>
      <c r="AB60" s="446" t="s">
        <v>1622</v>
      </c>
      <c r="AC60" s="447" t="s">
        <v>1623</v>
      </c>
      <c r="AD60" s="771" t="s">
        <v>1204</v>
      </c>
      <c r="AE60" s="241"/>
      <c r="AF60" s="1121"/>
      <c r="AG60" s="1121"/>
      <c r="AH60" s="1142"/>
      <c r="AI60" s="1142"/>
      <c r="AJ60" s="1142"/>
      <c r="AK60" s="1142"/>
      <c r="AL60" s="1142"/>
      <c r="AM60" s="1142"/>
      <c r="AN60" s="1142"/>
      <c r="AO60" s="241"/>
      <c r="AP60" s="1121"/>
      <c r="AQ60" s="1121"/>
      <c r="AR60" s="1142"/>
      <c r="AS60" s="1142"/>
      <c r="AT60" s="1142"/>
      <c r="AU60" s="1142"/>
      <c r="AV60" s="1142"/>
      <c r="AW60" s="1142"/>
      <c r="AX60" s="1142"/>
      <c r="AY60" s="1106"/>
      <c r="AZ60" s="1106"/>
      <c r="BA60" s="1106"/>
      <c r="BB60" s="167"/>
      <c r="BC60" s="167"/>
      <c r="BD60" s="944" t="s">
        <v>1624</v>
      </c>
      <c r="BE60" s="944"/>
      <c r="BF60" s="944"/>
      <c r="BG60" s="945"/>
      <c r="BH60" s="945"/>
      <c r="BI60" s="167"/>
      <c r="BJ60" s="167"/>
      <c r="BK60" s="167"/>
      <c r="BL60" s="167"/>
      <c r="BM60" s="167"/>
      <c r="BN60" s="167"/>
      <c r="BO60" s="167"/>
      <c r="BP60" s="167"/>
      <c r="BQ60" s="167"/>
      <c r="BR60" s="167"/>
      <c r="BS60" s="167"/>
      <c r="BT60" s="167"/>
      <c r="BU60" s="167"/>
      <c r="BV60" s="167"/>
      <c r="BW60" s="167"/>
      <c r="BX60" s="167"/>
      <c r="BY60" s="167"/>
      <c r="BZ60" s="167"/>
      <c r="CA60" s="167"/>
      <c r="CB60" s="167"/>
      <c r="CC60" s="167"/>
      <c r="CD60" s="167"/>
      <c r="CE60" s="167"/>
      <c r="CF60" s="167"/>
      <c r="CG60" s="167"/>
      <c r="CH60" s="167"/>
      <c r="CI60" s="167"/>
      <c r="CJ60" s="167"/>
      <c r="CK60" s="167"/>
      <c r="CL60" s="167"/>
      <c r="CM60" s="167"/>
      <c r="CN60" s="167"/>
      <c r="CO60" s="167"/>
      <c r="CP60" s="167"/>
      <c r="CQ60" s="167"/>
      <c r="CR60" s="167"/>
      <c r="CS60" s="167"/>
      <c r="CT60" s="167"/>
      <c r="CU60" s="167"/>
      <c r="CV60" s="167"/>
      <c r="CW60" s="167"/>
      <c r="CX60" s="167"/>
      <c r="CY60" s="167"/>
      <c r="CZ60" s="167"/>
      <c r="DA60" s="167"/>
      <c r="DB60" s="167"/>
      <c r="DC60" s="167"/>
      <c r="DD60" s="167"/>
      <c r="DE60" s="167"/>
      <c r="DF60" s="167"/>
      <c r="DG60" s="167"/>
      <c r="DH60" s="167"/>
      <c r="DI60" s="167"/>
      <c r="DJ60" s="167"/>
      <c r="DK60" s="167"/>
      <c r="DL60" s="167"/>
      <c r="DM60" s="167"/>
      <c r="DN60" s="167"/>
      <c r="DO60" s="167"/>
      <c r="DP60" s="167"/>
      <c r="DQ60" s="167"/>
      <c r="DR60" s="167"/>
      <c r="DS60" s="167"/>
      <c r="DT60" s="167"/>
      <c r="DU60" s="167"/>
      <c r="DV60" s="167"/>
      <c r="DW60" s="167"/>
      <c r="DX60" s="167"/>
      <c r="DY60" s="167"/>
      <c r="DZ60" s="167"/>
      <c r="EA60" s="167"/>
      <c r="EB60" s="167"/>
      <c r="EC60" s="167"/>
      <c r="ED60" s="167"/>
      <c r="EE60" s="167"/>
      <c r="EF60" s="167"/>
      <c r="EG60" s="167"/>
      <c r="EH60" s="167"/>
      <c r="EI60" s="167"/>
      <c r="EJ60" s="167"/>
      <c r="EK60" s="167"/>
      <c r="EL60" s="167"/>
      <c r="EM60" s="167"/>
      <c r="EN60" s="167"/>
      <c r="EO60" s="167"/>
      <c r="EP60" s="167"/>
      <c r="EQ60" s="167"/>
      <c r="ER60" s="167"/>
      <c r="ES60" s="167"/>
      <c r="ET60" s="167"/>
      <c r="EU60" s="167"/>
      <c r="EV60" s="167"/>
      <c r="EW60" s="167"/>
      <c r="EX60" s="167"/>
      <c r="EY60" s="167"/>
      <c r="EZ60" s="167"/>
      <c r="FA60" s="167"/>
      <c r="FB60" s="167"/>
      <c r="FC60" s="167"/>
      <c r="FD60" s="167"/>
      <c r="FE60" s="167"/>
      <c r="FF60" s="167"/>
      <c r="FG60" s="167"/>
      <c r="FH60" s="167"/>
      <c r="FI60" s="167"/>
      <c r="FJ60" s="167"/>
      <c r="FK60" s="167"/>
      <c r="FL60" s="167"/>
      <c r="FM60" s="167"/>
      <c r="FN60" s="167"/>
      <c r="FO60" s="167"/>
      <c r="FP60" s="167"/>
      <c r="FQ60" s="167"/>
      <c r="FR60" s="167"/>
      <c r="FS60" s="167"/>
      <c r="FT60" s="167"/>
      <c r="FU60" s="167"/>
      <c r="FV60" s="167"/>
      <c r="FW60" s="167"/>
      <c r="FX60" s="167"/>
      <c r="FY60" s="167"/>
      <c r="FZ60" s="167"/>
      <c r="GA60" s="167"/>
      <c r="GB60" s="167"/>
      <c r="GC60" s="167"/>
      <c r="GD60" s="167"/>
      <c r="GE60" s="167"/>
      <c r="GF60" s="167"/>
      <c r="GG60" s="167"/>
      <c r="GH60" s="167"/>
      <c r="GI60" s="167"/>
      <c r="GJ60" s="167"/>
      <c r="GK60" s="167"/>
      <c r="GL60" s="167"/>
      <c r="GM60" s="167"/>
      <c r="GN60" s="167"/>
      <c r="GO60" s="167"/>
      <c r="GP60" s="167"/>
    </row>
    <row r="61" spans="1:198" s="1057" customFormat="1" ht="16.5" customHeight="1">
      <c r="A61" s="165"/>
      <c r="B61" s="718"/>
      <c r="C61" s="165"/>
      <c r="D61" s="165"/>
      <c r="E61" s="623">
        <v>17</v>
      </c>
      <c r="F61" s="714" t="str">
        <f t="shared" ca="1" si="16"/>
        <v>1</v>
      </c>
      <c r="G61" s="167"/>
      <c r="H61" s="167"/>
      <c r="I61" s="167"/>
      <c r="J61" s="167"/>
      <c r="K61" s="167"/>
      <c r="L61" s="167"/>
      <c r="M61" s="167"/>
      <c r="N61" s="167"/>
      <c r="O61" s="167"/>
      <c r="P61" s="167"/>
      <c r="Q61" s="130"/>
      <c r="R61" s="130"/>
      <c r="S61" s="167"/>
      <c r="T61" s="634" t="b">
        <f t="shared" ca="1" si="19"/>
        <v>1</v>
      </c>
      <c r="U61" s="1012"/>
      <c r="V61" s="1012"/>
      <c r="W61" s="1012"/>
      <c r="X61" s="1405"/>
      <c r="Y61" s="1012"/>
      <c r="Z61" s="1405"/>
      <c r="AA61" s="167"/>
      <c r="AB61" s="866" t="s">
        <v>974</v>
      </c>
      <c r="AC61" s="436" t="s">
        <v>1625</v>
      </c>
      <c r="AD61" s="771" t="s">
        <v>1204</v>
      </c>
      <c r="AE61" s="241"/>
      <c r="AF61" s="1121"/>
      <c r="AG61" s="1121"/>
      <c r="AH61" s="1142"/>
      <c r="AI61" s="1142"/>
      <c r="AJ61" s="1142"/>
      <c r="AK61" s="1142"/>
      <c r="AL61" s="1142"/>
      <c r="AM61" s="1142"/>
      <c r="AN61" s="1142"/>
      <c r="AO61" s="241"/>
      <c r="AP61" s="1121"/>
      <c r="AQ61" s="1121"/>
      <c r="AR61" s="1142"/>
      <c r="AS61" s="1142"/>
      <c r="AT61" s="1142"/>
      <c r="AU61" s="1142"/>
      <c r="AV61" s="1142"/>
      <c r="AW61" s="1142"/>
      <c r="AX61" s="1142"/>
      <c r="AY61" s="1106"/>
      <c r="AZ61" s="1106"/>
      <c r="BA61" s="1106"/>
      <c r="BB61" s="167"/>
      <c r="BC61" s="167"/>
      <c r="BD61" s="944" t="s">
        <v>1626</v>
      </c>
      <c r="BE61" s="944"/>
      <c r="BF61" s="944"/>
      <c r="BG61" s="945"/>
      <c r="BH61" s="945"/>
      <c r="BI61" s="167"/>
      <c r="BJ61" s="167"/>
      <c r="BK61" s="167"/>
      <c r="BL61" s="167"/>
      <c r="BM61" s="167"/>
      <c r="BN61" s="167"/>
      <c r="BO61" s="167"/>
      <c r="BP61" s="167"/>
      <c r="BQ61" s="167"/>
      <c r="BR61" s="167"/>
      <c r="BS61" s="167"/>
      <c r="BT61" s="167"/>
      <c r="BU61" s="167"/>
      <c r="BV61" s="167"/>
      <c r="BW61" s="167"/>
      <c r="BX61" s="167"/>
      <c r="BY61" s="167"/>
      <c r="BZ61" s="167"/>
      <c r="CA61" s="167"/>
      <c r="CB61" s="167"/>
      <c r="CC61" s="167"/>
      <c r="CD61" s="167"/>
      <c r="CE61" s="167"/>
      <c r="CF61" s="167"/>
      <c r="CG61" s="167"/>
      <c r="CH61" s="167"/>
      <c r="CI61" s="167"/>
      <c r="CJ61" s="167"/>
      <c r="CK61" s="167"/>
      <c r="CL61" s="167"/>
      <c r="CM61" s="167"/>
      <c r="CN61" s="167"/>
      <c r="CO61" s="167"/>
      <c r="CP61" s="167"/>
      <c r="CQ61" s="167"/>
      <c r="CR61" s="167"/>
      <c r="CS61" s="167"/>
      <c r="CT61" s="167"/>
      <c r="CU61" s="167"/>
      <c r="CV61" s="167"/>
      <c r="CW61" s="167"/>
      <c r="CX61" s="167"/>
      <c r="CY61" s="167"/>
      <c r="CZ61" s="167"/>
      <c r="DA61" s="167"/>
      <c r="DB61" s="167"/>
      <c r="DC61" s="167"/>
      <c r="DD61" s="167"/>
      <c r="DE61" s="167"/>
      <c r="DF61" s="167"/>
      <c r="DG61" s="167"/>
      <c r="DH61" s="167"/>
      <c r="DI61" s="167"/>
      <c r="DJ61" s="167"/>
      <c r="DK61" s="167"/>
      <c r="DL61" s="167"/>
      <c r="DM61" s="167"/>
      <c r="DN61" s="167"/>
      <c r="DO61" s="167"/>
      <c r="DP61" s="167"/>
      <c r="DQ61" s="167"/>
      <c r="DR61" s="167"/>
      <c r="DS61" s="167"/>
      <c r="DT61" s="167"/>
      <c r="DU61" s="167"/>
      <c r="DV61" s="167"/>
      <c r="DW61" s="167"/>
      <c r="DX61" s="167"/>
      <c r="DY61" s="167"/>
      <c r="DZ61" s="167"/>
      <c r="EA61" s="167"/>
      <c r="EB61" s="167"/>
      <c r="EC61" s="167"/>
      <c r="ED61" s="167"/>
      <c r="EE61" s="167"/>
      <c r="EF61" s="167"/>
      <c r="EG61" s="167"/>
      <c r="EH61" s="167"/>
      <c r="EI61" s="167"/>
      <c r="EJ61" s="167"/>
      <c r="EK61" s="167"/>
      <c r="EL61" s="167"/>
      <c r="EM61" s="167"/>
      <c r="EN61" s="167"/>
      <c r="EO61" s="167"/>
      <c r="EP61" s="167"/>
      <c r="EQ61" s="167"/>
      <c r="ER61" s="167"/>
      <c r="ES61" s="167"/>
      <c r="ET61" s="167"/>
      <c r="EU61" s="167"/>
      <c r="EV61" s="167"/>
      <c r="EW61" s="167"/>
      <c r="EX61" s="167"/>
      <c r="EY61" s="167"/>
      <c r="EZ61" s="167"/>
      <c r="FA61" s="167"/>
      <c r="FB61" s="167"/>
      <c r="FC61" s="167"/>
      <c r="FD61" s="167"/>
      <c r="FE61" s="167"/>
      <c r="FF61" s="167"/>
      <c r="FG61" s="167"/>
      <c r="FH61" s="167"/>
      <c r="FI61" s="167"/>
      <c r="FJ61" s="167"/>
      <c r="FK61" s="167"/>
      <c r="FL61" s="167"/>
      <c r="FM61" s="167"/>
      <c r="FN61" s="167"/>
      <c r="FO61" s="167"/>
      <c r="FP61" s="167"/>
      <c r="FQ61" s="167"/>
      <c r="FR61" s="167"/>
      <c r="FS61" s="167"/>
      <c r="FT61" s="167"/>
      <c r="FU61" s="167"/>
      <c r="FV61" s="167"/>
      <c r="FW61" s="167"/>
      <c r="FX61" s="167"/>
      <c r="FY61" s="167"/>
      <c r="FZ61" s="167"/>
      <c r="GA61" s="167"/>
      <c r="GB61" s="167"/>
      <c r="GC61" s="167"/>
      <c r="GD61" s="167"/>
      <c r="GE61" s="167"/>
      <c r="GF61" s="167"/>
      <c r="GG61" s="167"/>
      <c r="GH61" s="167"/>
      <c r="GI61" s="167"/>
      <c r="GJ61" s="167"/>
      <c r="GK61" s="167"/>
      <c r="GL61" s="167"/>
      <c r="GM61" s="167"/>
      <c r="GN61" s="167"/>
      <c r="GO61" s="167"/>
      <c r="GP61" s="167"/>
    </row>
    <row r="62" spans="1:198" s="1057" customFormat="1" ht="33.75" customHeight="1">
      <c r="A62" s="165"/>
      <c r="B62" s="718"/>
      <c r="C62" s="165"/>
      <c r="D62" s="165"/>
      <c r="E62" s="623">
        <v>35</v>
      </c>
      <c r="F62" s="714" t="str">
        <f t="shared" ca="1" si="16"/>
        <v>1</v>
      </c>
      <c r="G62" s="167"/>
      <c r="H62" s="167"/>
      <c r="I62" s="167"/>
      <c r="J62" s="167"/>
      <c r="K62" s="167"/>
      <c r="L62" s="167"/>
      <c r="M62" s="167"/>
      <c r="N62" s="167"/>
      <c r="O62" s="167"/>
      <c r="P62" s="167"/>
      <c r="Q62" s="130"/>
      <c r="R62" s="130"/>
      <c r="S62" s="167"/>
      <c r="T62" s="634" t="b">
        <f t="shared" ca="1" si="19"/>
        <v>1</v>
      </c>
      <c r="U62" s="1012"/>
      <c r="V62" s="1012"/>
      <c r="W62" s="1012"/>
      <c r="X62" s="1405"/>
      <c r="Y62" s="1012"/>
      <c r="Z62" s="1405"/>
      <c r="AA62" s="167"/>
      <c r="AB62" s="446" t="s">
        <v>503</v>
      </c>
      <c r="AC62" s="102" t="s">
        <v>1627</v>
      </c>
      <c r="AD62" s="771" t="s">
        <v>1204</v>
      </c>
      <c r="AE62" s="241">
        <f t="shared" ref="AE62:AX62" si="20">AE63+AE66+AE69</f>
        <v>0</v>
      </c>
      <c r="AF62" s="1121">
        <f t="shared" si="20"/>
        <v>0</v>
      </c>
      <c r="AG62" s="1121">
        <f t="shared" si="20"/>
        <v>0</v>
      </c>
      <c r="AH62" s="1142">
        <f t="shared" si="20"/>
        <v>0</v>
      </c>
      <c r="AI62" s="1142">
        <f t="shared" si="20"/>
        <v>0</v>
      </c>
      <c r="AJ62" s="1142">
        <f t="shared" si="20"/>
        <v>0</v>
      </c>
      <c r="AK62" s="1142">
        <f t="shared" si="20"/>
        <v>0</v>
      </c>
      <c r="AL62" s="1142">
        <f t="shared" si="20"/>
        <v>0</v>
      </c>
      <c r="AM62" s="1142">
        <f t="shared" si="20"/>
        <v>0</v>
      </c>
      <c r="AN62" s="1142">
        <f t="shared" si="20"/>
        <v>0</v>
      </c>
      <c r="AO62" s="241">
        <f t="shared" si="20"/>
        <v>0</v>
      </c>
      <c r="AP62" s="1121">
        <f t="shared" si="20"/>
        <v>0</v>
      </c>
      <c r="AQ62" s="1121">
        <f t="shared" si="20"/>
        <v>0</v>
      </c>
      <c r="AR62" s="1142">
        <f t="shared" si="20"/>
        <v>0</v>
      </c>
      <c r="AS62" s="1142">
        <f t="shared" si="20"/>
        <v>0</v>
      </c>
      <c r="AT62" s="1142">
        <f t="shared" si="20"/>
        <v>0</v>
      </c>
      <c r="AU62" s="1142">
        <f t="shared" si="20"/>
        <v>0</v>
      </c>
      <c r="AV62" s="1142">
        <f t="shared" si="20"/>
        <v>0</v>
      </c>
      <c r="AW62" s="1142">
        <f t="shared" si="20"/>
        <v>0</v>
      </c>
      <c r="AX62" s="1142">
        <f t="shared" si="20"/>
        <v>0</v>
      </c>
      <c r="AY62" s="1106"/>
      <c r="AZ62" s="1106"/>
      <c r="BA62" s="1106"/>
      <c r="BB62" s="167"/>
      <c r="BC62" s="167"/>
      <c r="BD62" s="944" t="s">
        <v>1628</v>
      </c>
      <c r="BE62" s="944"/>
      <c r="BF62" s="944"/>
      <c r="BG62" s="945"/>
      <c r="BH62" s="945"/>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c r="EM62" s="167"/>
      <c r="EN62" s="167"/>
      <c r="EO62" s="167"/>
      <c r="EP62" s="167"/>
      <c r="EQ62" s="167"/>
      <c r="ER62" s="167"/>
      <c r="ES62" s="167"/>
      <c r="ET62" s="167"/>
      <c r="EU62" s="167"/>
      <c r="EV62" s="167"/>
      <c r="EW62" s="167"/>
      <c r="EX62" s="167"/>
      <c r="EY62" s="167"/>
      <c r="EZ62" s="167"/>
      <c r="FA62" s="167"/>
      <c r="FB62" s="167"/>
      <c r="FC62" s="167"/>
      <c r="FD62" s="167"/>
      <c r="FE62" s="167"/>
      <c r="FF62" s="167"/>
      <c r="FG62" s="167"/>
      <c r="FH62" s="167"/>
      <c r="FI62" s="167"/>
      <c r="FJ62" s="167"/>
      <c r="FK62" s="167"/>
      <c r="FL62" s="167"/>
      <c r="FM62" s="167"/>
      <c r="FN62" s="167"/>
      <c r="FO62" s="167"/>
      <c r="FP62" s="167"/>
      <c r="FQ62" s="167"/>
      <c r="FR62" s="167"/>
      <c r="FS62" s="167"/>
      <c r="FT62" s="167"/>
      <c r="FU62" s="167"/>
      <c r="FV62" s="167"/>
      <c r="FW62" s="167"/>
      <c r="FX62" s="167"/>
      <c r="FY62" s="167"/>
      <c r="FZ62" s="167"/>
      <c r="GA62" s="167"/>
      <c r="GB62" s="167"/>
      <c r="GC62" s="167"/>
      <c r="GD62" s="167"/>
      <c r="GE62" s="167"/>
      <c r="GF62" s="167"/>
      <c r="GG62" s="167"/>
      <c r="GH62" s="167"/>
      <c r="GI62" s="167"/>
      <c r="GJ62" s="167"/>
      <c r="GK62" s="167"/>
      <c r="GL62" s="167"/>
      <c r="GM62" s="167"/>
      <c r="GN62" s="167"/>
      <c r="GO62" s="167"/>
      <c r="GP62" s="167"/>
    </row>
    <row r="63" spans="1:198" s="1057" customFormat="1" ht="16.5" customHeight="1">
      <c r="A63" s="165"/>
      <c r="B63" s="718"/>
      <c r="C63" s="165"/>
      <c r="D63" s="165"/>
      <c r="E63" s="623">
        <v>17</v>
      </c>
      <c r="F63" s="714" t="str">
        <f t="shared" ca="1" si="16"/>
        <v>1</v>
      </c>
      <c r="G63" s="167"/>
      <c r="H63" s="167"/>
      <c r="I63" s="167"/>
      <c r="J63" s="167"/>
      <c r="K63" s="167"/>
      <c r="L63" s="167"/>
      <c r="M63" s="167"/>
      <c r="N63" s="167"/>
      <c r="O63" s="167"/>
      <c r="P63" s="167"/>
      <c r="Q63" s="130"/>
      <c r="R63" s="130"/>
      <c r="S63" s="167"/>
      <c r="T63" s="634" t="b">
        <f t="shared" ca="1" si="19"/>
        <v>1</v>
      </c>
      <c r="U63" s="1012"/>
      <c r="V63" s="1012"/>
      <c r="W63" s="1012"/>
      <c r="X63" s="1405"/>
      <c r="Y63" s="1012"/>
      <c r="Z63" s="1405"/>
      <c r="AA63" s="167"/>
      <c r="AB63" s="446" t="s">
        <v>1629</v>
      </c>
      <c r="AC63" s="436" t="s">
        <v>1617</v>
      </c>
      <c r="AD63" s="771" t="s">
        <v>1204</v>
      </c>
      <c r="AE63" s="241">
        <f t="shared" ref="AE63:AX63" si="21">SUM(AE64:AE65)</f>
        <v>0</v>
      </c>
      <c r="AF63" s="1121">
        <f t="shared" si="21"/>
        <v>0</v>
      </c>
      <c r="AG63" s="1121">
        <f t="shared" si="21"/>
        <v>0</v>
      </c>
      <c r="AH63" s="1142">
        <f t="shared" si="21"/>
        <v>0</v>
      </c>
      <c r="AI63" s="1142">
        <f t="shared" si="21"/>
        <v>0</v>
      </c>
      <c r="AJ63" s="1142">
        <f t="shared" si="21"/>
        <v>0</v>
      </c>
      <c r="AK63" s="1142">
        <f t="shared" si="21"/>
        <v>0</v>
      </c>
      <c r="AL63" s="1142">
        <f t="shared" si="21"/>
        <v>0</v>
      </c>
      <c r="AM63" s="1142">
        <f t="shared" si="21"/>
        <v>0</v>
      </c>
      <c r="AN63" s="1142">
        <f t="shared" si="21"/>
        <v>0</v>
      </c>
      <c r="AO63" s="241">
        <f t="shared" si="21"/>
        <v>0</v>
      </c>
      <c r="AP63" s="1121">
        <f t="shared" si="21"/>
        <v>0</v>
      </c>
      <c r="AQ63" s="1121">
        <f t="shared" si="21"/>
        <v>0</v>
      </c>
      <c r="AR63" s="1142">
        <f t="shared" si="21"/>
        <v>0</v>
      </c>
      <c r="AS63" s="1142">
        <f t="shared" si="21"/>
        <v>0</v>
      </c>
      <c r="AT63" s="1142">
        <f t="shared" si="21"/>
        <v>0</v>
      </c>
      <c r="AU63" s="1142">
        <f t="shared" si="21"/>
        <v>0</v>
      </c>
      <c r="AV63" s="1142">
        <f t="shared" si="21"/>
        <v>0</v>
      </c>
      <c r="AW63" s="1142">
        <f t="shared" si="21"/>
        <v>0</v>
      </c>
      <c r="AX63" s="1142">
        <f t="shared" si="21"/>
        <v>0</v>
      </c>
      <c r="AY63" s="1106"/>
      <c r="AZ63" s="1106"/>
      <c r="BA63" s="1106"/>
      <c r="BB63" s="167"/>
      <c r="BC63" s="167"/>
      <c r="BD63" s="944" t="s">
        <v>1630</v>
      </c>
      <c r="BE63" s="944"/>
      <c r="BF63" s="944"/>
      <c r="BG63" s="945"/>
      <c r="BH63" s="945"/>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c r="EM63" s="167"/>
      <c r="EN63" s="167"/>
      <c r="EO63" s="167"/>
      <c r="EP63" s="167"/>
      <c r="EQ63" s="167"/>
      <c r="ER63" s="167"/>
      <c r="ES63" s="167"/>
      <c r="ET63" s="167"/>
      <c r="EU63" s="167"/>
      <c r="EV63" s="167"/>
      <c r="EW63" s="167"/>
      <c r="EX63" s="167"/>
      <c r="EY63" s="167"/>
      <c r="EZ63" s="167"/>
      <c r="FA63" s="167"/>
      <c r="FB63" s="167"/>
      <c r="FC63" s="167"/>
      <c r="FD63" s="167"/>
      <c r="FE63" s="167"/>
      <c r="FF63" s="167"/>
      <c r="FG63" s="167"/>
      <c r="FH63" s="167"/>
      <c r="FI63" s="167"/>
      <c r="FJ63" s="167"/>
      <c r="FK63" s="167"/>
      <c r="FL63" s="167"/>
      <c r="FM63" s="167"/>
      <c r="FN63" s="167"/>
      <c r="FO63" s="167"/>
      <c r="FP63" s="167"/>
      <c r="FQ63" s="167"/>
      <c r="FR63" s="167"/>
      <c r="FS63" s="167"/>
      <c r="FT63" s="167"/>
      <c r="FU63" s="167"/>
      <c r="FV63" s="167"/>
      <c r="FW63" s="167"/>
      <c r="FX63" s="167"/>
      <c r="FY63" s="167"/>
      <c r="FZ63" s="167"/>
      <c r="GA63" s="167"/>
      <c r="GB63" s="167"/>
      <c r="GC63" s="167"/>
      <c r="GD63" s="167"/>
      <c r="GE63" s="167"/>
      <c r="GF63" s="167"/>
      <c r="GG63" s="167"/>
      <c r="GH63" s="167"/>
      <c r="GI63" s="167"/>
      <c r="GJ63" s="167"/>
      <c r="GK63" s="167"/>
      <c r="GL63" s="167"/>
      <c r="GM63" s="167"/>
      <c r="GN63" s="167"/>
      <c r="GO63" s="167"/>
      <c r="GP63" s="167"/>
    </row>
    <row r="64" spans="1:198" s="1057" customFormat="1" ht="16.5" hidden="1" customHeight="1">
      <c r="A64" s="165"/>
      <c r="B64" s="718"/>
      <c r="C64" s="165"/>
      <c r="D64" s="165"/>
      <c r="E64" s="623">
        <v>17</v>
      </c>
      <c r="F64" s="714" t="str">
        <f t="shared" ca="1" si="16"/>
        <v>1</v>
      </c>
      <c r="G64" s="167"/>
      <c r="H64" s="167"/>
      <c r="I64" s="167"/>
      <c r="J64" s="167"/>
      <c r="K64" s="167"/>
      <c r="L64" s="167"/>
      <c r="M64" s="167"/>
      <c r="N64" s="167"/>
      <c r="O64" s="167"/>
      <c r="P64" s="167"/>
      <c r="Q64" s="130"/>
      <c r="R64" s="130"/>
      <c r="S64" s="167"/>
      <c r="T64" s="634" t="b">
        <f t="shared" ca="1" si="19"/>
        <v>0</v>
      </c>
      <c r="U64" s="1012"/>
      <c r="V64" s="1012"/>
      <c r="W64" s="113" t="s">
        <v>170</v>
      </c>
      <c r="X64" s="1405"/>
      <c r="Y64" s="113">
        <v>0</v>
      </c>
      <c r="Z64" s="1405"/>
      <c r="AA64" s="709" t="s">
        <v>157</v>
      </c>
      <c r="AB64" s="446" t="str">
        <f>"1.2.1."&amp;Y64</f>
        <v>1.2.1.0</v>
      </c>
      <c r="AC64" s="85"/>
      <c r="AD64" s="771" t="s">
        <v>1204</v>
      </c>
      <c r="AE64" s="241"/>
      <c r="AF64" s="1121"/>
      <c r="AG64" s="1121"/>
      <c r="AH64" s="40"/>
      <c r="AI64" s="40"/>
      <c r="AJ64" s="40"/>
      <c r="AK64" s="40"/>
      <c r="AL64" s="40"/>
      <c r="AM64" s="40"/>
      <c r="AN64" s="40"/>
      <c r="AO64" s="241"/>
      <c r="AP64" s="1121"/>
      <c r="AQ64" s="1121"/>
      <c r="AR64" s="40"/>
      <c r="AS64" s="40"/>
      <c r="AT64" s="40"/>
      <c r="AU64" s="40"/>
      <c r="AV64" s="40"/>
      <c r="AW64" s="40"/>
      <c r="AX64" s="40"/>
      <c r="AY64" s="22"/>
      <c r="AZ64" s="22"/>
      <c r="BA64" s="22"/>
      <c r="BB64" s="167"/>
      <c r="BC64" s="167"/>
      <c r="BD64" s="944" t="s">
        <v>1630</v>
      </c>
      <c r="BE64" s="944" t="s">
        <v>1631</v>
      </c>
      <c r="BF64" s="944">
        <f>AC64</f>
        <v>0</v>
      </c>
      <c r="BG64" s="945"/>
      <c r="BH64" s="945" t="b">
        <v>1</v>
      </c>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c r="EM64" s="167"/>
      <c r="EN64" s="167"/>
      <c r="EO64" s="167"/>
      <c r="EP64" s="167"/>
      <c r="EQ64" s="167"/>
      <c r="ER64" s="167"/>
      <c r="ES64" s="167"/>
      <c r="ET64" s="167"/>
      <c r="EU64" s="167"/>
      <c r="EV64" s="167"/>
      <c r="EW64" s="167"/>
      <c r="EX64" s="167"/>
      <c r="EY64" s="167"/>
      <c r="EZ64" s="167"/>
      <c r="FA64" s="167"/>
      <c r="FB64" s="167"/>
      <c r="FC64" s="167"/>
      <c r="FD64" s="167"/>
      <c r="FE64" s="167"/>
      <c r="FF64" s="167"/>
      <c r="FG64" s="167"/>
      <c r="FH64" s="167"/>
      <c r="FI64" s="167"/>
      <c r="FJ64" s="167"/>
      <c r="FK64" s="167"/>
      <c r="FL64" s="167"/>
      <c r="FM64" s="167"/>
      <c r="FN64" s="167"/>
      <c r="FO64" s="167"/>
      <c r="FP64" s="167"/>
      <c r="FQ64" s="167"/>
      <c r="FR64" s="167"/>
      <c r="FS64" s="167"/>
      <c r="FT64" s="167"/>
      <c r="FU64" s="167"/>
      <c r="FV64" s="167"/>
      <c r="FW64" s="167"/>
      <c r="FX64" s="167"/>
      <c r="FY64" s="167"/>
      <c r="FZ64" s="167"/>
      <c r="GA64" s="167"/>
      <c r="GB64" s="167"/>
      <c r="GC64" s="167"/>
      <c r="GD64" s="167"/>
      <c r="GE64" s="167"/>
      <c r="GF64" s="167"/>
      <c r="GG64" s="167"/>
      <c r="GH64" s="167"/>
      <c r="GI64" s="167"/>
      <c r="GJ64" s="167"/>
      <c r="GK64" s="167"/>
      <c r="GL64" s="167"/>
      <c r="GM64" s="167"/>
      <c r="GN64" s="167"/>
      <c r="GO64" s="167"/>
      <c r="GP64" s="167"/>
    </row>
    <row r="65" spans="1:198" s="1057" customFormat="1" ht="16.5" customHeight="1">
      <c r="A65" s="165"/>
      <c r="B65" s="718"/>
      <c r="C65" s="165"/>
      <c r="D65" s="165"/>
      <c r="E65" s="623">
        <v>17</v>
      </c>
      <c r="F65" s="714" t="str">
        <f t="shared" ca="1" si="16"/>
        <v>1</v>
      </c>
      <c r="G65" s="167"/>
      <c r="H65" s="167"/>
      <c r="I65" s="167"/>
      <c r="J65" s="167"/>
      <c r="K65" s="167"/>
      <c r="L65" s="167"/>
      <c r="M65" s="167"/>
      <c r="N65" s="167"/>
      <c r="O65" s="167"/>
      <c r="P65" s="167"/>
      <c r="Q65" s="130"/>
      <c r="R65" s="130"/>
      <c r="S65" s="167"/>
      <c r="T65" s="634" t="b">
        <f t="shared" ca="1" si="19"/>
        <v>1</v>
      </c>
      <c r="U65" s="1012"/>
      <c r="V65" s="1012"/>
      <c r="W65" s="774" t="s">
        <v>764</v>
      </c>
      <c r="X65" s="1405"/>
      <c r="Y65" s="1012"/>
      <c r="Z65" s="1405"/>
      <c r="AA65" s="167"/>
      <c r="AB65" s="236"/>
      <c r="AC65" s="562" t="s">
        <v>172</v>
      </c>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c r="AZ65" s="237"/>
      <c r="BA65" s="237"/>
      <c r="BB65" s="167"/>
      <c r="BC65" s="167"/>
      <c r="BD65" s="944" t="str">
        <f>IF(AND(ISNUMBER(VALUE(TRIM(SUBSTITUTE(AB65,".","")))),TRIM(SUBSTITUTE(AB65,".",""))&lt;&gt;""),"P"&amp;SUBSTITUTE(AB65,".",""),"")</f>
        <v/>
      </c>
      <c r="BE65" s="944"/>
      <c r="BF65" s="944"/>
      <c r="BG65" s="945" t="s">
        <v>1631</v>
      </c>
      <c r="BH65" s="945"/>
      <c r="BI65" s="167"/>
      <c r="BJ65" s="167"/>
      <c r="BK65" s="167"/>
      <c r="BL65" s="167"/>
      <c r="BM65" s="167"/>
      <c r="BN65" s="167"/>
      <c r="BO65" s="167"/>
      <c r="BP65" s="167"/>
      <c r="BQ65" s="167"/>
      <c r="BR65" s="167"/>
      <c r="BS65" s="167"/>
      <c r="BT65" s="167"/>
      <c r="BU65" s="167"/>
      <c r="BV65" s="167"/>
      <c r="BW65" s="167"/>
      <c r="BX65" s="167"/>
      <c r="BY65" s="167"/>
      <c r="BZ65" s="167"/>
      <c r="CA65" s="167"/>
      <c r="CB65" s="167"/>
      <c r="CC65" s="167"/>
      <c r="CD65" s="167"/>
      <c r="CE65" s="167"/>
      <c r="CF65" s="167"/>
      <c r="CG65" s="167"/>
      <c r="CH65" s="167"/>
      <c r="CI65" s="167"/>
      <c r="CJ65" s="167"/>
      <c r="CK65" s="167"/>
      <c r="CL65" s="167"/>
      <c r="CM65" s="167"/>
      <c r="CN65" s="167"/>
      <c r="CO65" s="167"/>
      <c r="CP65" s="167"/>
      <c r="CQ65" s="167"/>
      <c r="CR65" s="167"/>
      <c r="CS65" s="167"/>
      <c r="CT65" s="167"/>
      <c r="CU65" s="167"/>
      <c r="CV65" s="167"/>
      <c r="CW65" s="167"/>
      <c r="CX65" s="167"/>
      <c r="CY65" s="167"/>
      <c r="CZ65" s="167"/>
      <c r="DA65" s="167"/>
      <c r="DB65" s="167"/>
      <c r="DC65" s="167"/>
      <c r="DD65" s="167"/>
      <c r="DE65" s="167"/>
      <c r="DF65" s="167"/>
      <c r="DG65" s="167"/>
      <c r="DH65" s="167"/>
      <c r="DI65" s="167"/>
      <c r="DJ65" s="167"/>
      <c r="DK65" s="167"/>
      <c r="DL65" s="167"/>
      <c r="DM65" s="167"/>
      <c r="DN65" s="167"/>
      <c r="DO65" s="167"/>
      <c r="DP65" s="167"/>
      <c r="DQ65" s="167"/>
      <c r="DR65" s="167"/>
      <c r="DS65" s="167"/>
      <c r="DT65" s="167"/>
      <c r="DU65" s="167"/>
      <c r="DV65" s="167"/>
      <c r="DW65" s="167"/>
      <c r="DX65" s="167"/>
      <c r="DY65" s="167"/>
      <c r="DZ65" s="167"/>
      <c r="EA65" s="167"/>
      <c r="EB65" s="167"/>
      <c r="EC65" s="167"/>
      <c r="ED65" s="167"/>
      <c r="EE65" s="167"/>
      <c r="EF65" s="167"/>
      <c r="EG65" s="167"/>
      <c r="EH65" s="167"/>
      <c r="EI65" s="167"/>
      <c r="EJ65" s="167"/>
      <c r="EK65" s="167"/>
      <c r="EL65" s="167"/>
      <c r="EM65" s="167"/>
      <c r="EN65" s="167"/>
      <c r="EO65" s="167"/>
      <c r="EP65" s="167"/>
      <c r="EQ65" s="167"/>
      <c r="ER65" s="167"/>
      <c r="ES65" s="167"/>
      <c r="ET65" s="167"/>
      <c r="EU65" s="167"/>
      <c r="EV65" s="167"/>
      <c r="EW65" s="167"/>
      <c r="EX65" s="167"/>
      <c r="EY65" s="167"/>
      <c r="EZ65" s="167"/>
      <c r="FA65" s="167"/>
      <c r="FB65" s="167"/>
      <c r="FC65" s="167"/>
      <c r="FD65" s="167"/>
      <c r="FE65" s="167"/>
      <c r="FF65" s="167"/>
      <c r="FG65" s="167"/>
      <c r="FH65" s="167"/>
      <c r="FI65" s="167"/>
      <c r="FJ65" s="167"/>
      <c r="FK65" s="167"/>
      <c r="FL65" s="167"/>
      <c r="FM65" s="167"/>
      <c r="FN65" s="167"/>
      <c r="FO65" s="167"/>
      <c r="FP65" s="167"/>
      <c r="FQ65" s="167"/>
      <c r="FR65" s="167"/>
      <c r="FS65" s="167"/>
      <c r="FT65" s="167"/>
      <c r="FU65" s="167"/>
      <c r="FV65" s="167"/>
      <c r="FW65" s="167"/>
      <c r="FX65" s="167"/>
      <c r="FY65" s="167"/>
      <c r="FZ65" s="167"/>
      <c r="GA65" s="167"/>
      <c r="GB65" s="167"/>
      <c r="GC65" s="167"/>
      <c r="GD65" s="167"/>
      <c r="GE65" s="167"/>
      <c r="GF65" s="167"/>
      <c r="GG65" s="167"/>
      <c r="GH65" s="167"/>
      <c r="GI65" s="167"/>
      <c r="GJ65" s="167"/>
      <c r="GK65" s="167"/>
      <c r="GL65" s="167"/>
      <c r="GM65" s="167"/>
      <c r="GN65" s="167"/>
      <c r="GO65" s="167"/>
      <c r="GP65" s="167"/>
    </row>
    <row r="66" spans="1:198" s="1057" customFormat="1" ht="33.75" customHeight="1">
      <c r="A66" s="165"/>
      <c r="B66" s="718"/>
      <c r="C66" s="165"/>
      <c r="D66" s="165"/>
      <c r="E66" s="623">
        <v>35</v>
      </c>
      <c r="F66" s="714" t="str">
        <f t="shared" ca="1" si="16"/>
        <v>1</v>
      </c>
      <c r="G66" s="167"/>
      <c r="H66" s="167"/>
      <c r="I66" s="167"/>
      <c r="J66" s="167"/>
      <c r="K66" s="167"/>
      <c r="L66" s="167"/>
      <c r="M66" s="167"/>
      <c r="N66" s="167"/>
      <c r="O66" s="167"/>
      <c r="P66" s="167"/>
      <c r="Q66" s="130"/>
      <c r="R66" s="130"/>
      <c r="S66" s="167"/>
      <c r="T66" s="634" t="b">
        <f t="shared" ca="1" si="19"/>
        <v>1</v>
      </c>
      <c r="U66" s="1012"/>
      <c r="V66" s="1012"/>
      <c r="W66" s="1012"/>
      <c r="X66" s="1405"/>
      <c r="Y66" s="1012"/>
      <c r="Z66" s="1405"/>
      <c r="AA66" s="167"/>
      <c r="AB66" s="446" t="s">
        <v>1632</v>
      </c>
      <c r="AC66" s="436" t="s">
        <v>1620</v>
      </c>
      <c r="AD66" s="771" t="s">
        <v>1204</v>
      </c>
      <c r="AE66" s="241">
        <f t="shared" ref="AE66:AX66" si="22">SUM(AE67:AE68)</f>
        <v>0</v>
      </c>
      <c r="AF66" s="1121">
        <f t="shared" si="22"/>
        <v>0</v>
      </c>
      <c r="AG66" s="1121">
        <f t="shared" si="22"/>
        <v>0</v>
      </c>
      <c r="AH66" s="1142">
        <f t="shared" si="22"/>
        <v>0</v>
      </c>
      <c r="AI66" s="1142">
        <f t="shared" si="22"/>
        <v>0</v>
      </c>
      <c r="AJ66" s="1142">
        <f t="shared" si="22"/>
        <v>0</v>
      </c>
      <c r="AK66" s="1142">
        <f t="shared" si="22"/>
        <v>0</v>
      </c>
      <c r="AL66" s="1142">
        <f t="shared" si="22"/>
        <v>0</v>
      </c>
      <c r="AM66" s="1142">
        <f t="shared" si="22"/>
        <v>0</v>
      </c>
      <c r="AN66" s="1142">
        <f t="shared" si="22"/>
        <v>0</v>
      </c>
      <c r="AO66" s="241">
        <f t="shared" si="22"/>
        <v>0</v>
      </c>
      <c r="AP66" s="1121">
        <f t="shared" si="22"/>
        <v>0</v>
      </c>
      <c r="AQ66" s="1121">
        <f t="shared" si="22"/>
        <v>0</v>
      </c>
      <c r="AR66" s="1142">
        <f t="shared" si="22"/>
        <v>0</v>
      </c>
      <c r="AS66" s="1142">
        <f t="shared" si="22"/>
        <v>0</v>
      </c>
      <c r="AT66" s="1142">
        <f t="shared" si="22"/>
        <v>0</v>
      </c>
      <c r="AU66" s="1142">
        <f t="shared" si="22"/>
        <v>0</v>
      </c>
      <c r="AV66" s="1142">
        <f t="shared" si="22"/>
        <v>0</v>
      </c>
      <c r="AW66" s="1142">
        <f t="shared" si="22"/>
        <v>0</v>
      </c>
      <c r="AX66" s="1142">
        <f t="shared" si="22"/>
        <v>0</v>
      </c>
      <c r="AY66" s="1106"/>
      <c r="AZ66" s="1106"/>
      <c r="BA66" s="1106"/>
      <c r="BB66" s="167"/>
      <c r="BC66" s="167"/>
      <c r="BD66" s="944" t="s">
        <v>1633</v>
      </c>
      <c r="BE66" s="944"/>
      <c r="BF66" s="944"/>
      <c r="BG66" s="945"/>
      <c r="BH66" s="945"/>
      <c r="BI66" s="167"/>
      <c r="BJ66" s="167"/>
      <c r="BK66" s="167"/>
      <c r="BL66" s="167"/>
      <c r="BM66" s="167"/>
      <c r="BN66" s="167"/>
      <c r="BO66" s="167"/>
      <c r="BP66" s="167"/>
      <c r="BQ66" s="167"/>
      <c r="BR66" s="167"/>
      <c r="BS66" s="167"/>
      <c r="BT66" s="167"/>
      <c r="BU66" s="167"/>
      <c r="BV66" s="167"/>
      <c r="BW66" s="167"/>
      <c r="BX66" s="167"/>
      <c r="BY66" s="167"/>
      <c r="BZ66" s="167"/>
      <c r="CA66" s="167"/>
      <c r="CB66" s="167"/>
      <c r="CC66" s="167"/>
      <c r="CD66" s="167"/>
      <c r="CE66" s="167"/>
      <c r="CF66" s="167"/>
      <c r="CG66" s="167"/>
      <c r="CH66" s="167"/>
      <c r="CI66" s="167"/>
      <c r="CJ66" s="167"/>
      <c r="CK66" s="167"/>
      <c r="CL66" s="167"/>
      <c r="CM66" s="167"/>
      <c r="CN66" s="167"/>
      <c r="CO66" s="167"/>
      <c r="CP66" s="167"/>
      <c r="CQ66" s="167"/>
      <c r="CR66" s="167"/>
      <c r="CS66" s="167"/>
      <c r="CT66" s="167"/>
      <c r="CU66" s="167"/>
      <c r="CV66" s="167"/>
      <c r="CW66" s="167"/>
      <c r="CX66" s="167"/>
      <c r="CY66" s="167"/>
      <c r="CZ66" s="167"/>
      <c r="DA66" s="167"/>
      <c r="DB66" s="167"/>
      <c r="DC66" s="167"/>
      <c r="DD66" s="167"/>
      <c r="DE66" s="167"/>
      <c r="DF66" s="167"/>
      <c r="DG66" s="167"/>
      <c r="DH66" s="167"/>
      <c r="DI66" s="167"/>
      <c r="DJ66" s="167"/>
      <c r="DK66" s="167"/>
      <c r="DL66" s="167"/>
      <c r="DM66" s="167"/>
      <c r="DN66" s="167"/>
      <c r="DO66" s="167"/>
      <c r="DP66" s="167"/>
      <c r="DQ66" s="167"/>
      <c r="DR66" s="167"/>
      <c r="DS66" s="167"/>
      <c r="DT66" s="167"/>
      <c r="DU66" s="167"/>
      <c r="DV66" s="167"/>
      <c r="DW66" s="167"/>
      <c r="DX66" s="167"/>
      <c r="DY66" s="167"/>
      <c r="DZ66" s="167"/>
      <c r="EA66" s="167"/>
      <c r="EB66" s="167"/>
      <c r="EC66" s="167"/>
      <c r="ED66" s="167"/>
      <c r="EE66" s="167"/>
      <c r="EF66" s="167"/>
      <c r="EG66" s="167"/>
      <c r="EH66" s="167"/>
      <c r="EI66" s="167"/>
      <c r="EJ66" s="167"/>
      <c r="EK66" s="167"/>
      <c r="EL66" s="167"/>
      <c r="EM66" s="167"/>
      <c r="EN66" s="167"/>
      <c r="EO66" s="167"/>
      <c r="EP66" s="167"/>
      <c r="EQ66" s="167"/>
      <c r="ER66" s="167"/>
      <c r="ES66" s="167"/>
      <c r="ET66" s="167"/>
      <c r="EU66" s="167"/>
      <c r="EV66" s="167"/>
      <c r="EW66" s="167"/>
      <c r="EX66" s="167"/>
      <c r="EY66" s="167"/>
      <c r="EZ66" s="167"/>
      <c r="FA66" s="167"/>
      <c r="FB66" s="167"/>
      <c r="FC66" s="167"/>
      <c r="FD66" s="167"/>
      <c r="FE66" s="167"/>
      <c r="FF66" s="167"/>
      <c r="FG66" s="167"/>
      <c r="FH66" s="167"/>
      <c r="FI66" s="167"/>
      <c r="FJ66" s="167"/>
      <c r="FK66" s="167"/>
      <c r="FL66" s="167"/>
      <c r="FM66" s="167"/>
      <c r="FN66" s="167"/>
      <c r="FO66" s="167"/>
      <c r="FP66" s="167"/>
      <c r="FQ66" s="167"/>
      <c r="FR66" s="167"/>
      <c r="FS66" s="167"/>
      <c r="FT66" s="167"/>
      <c r="FU66" s="167"/>
      <c r="FV66" s="167"/>
      <c r="FW66" s="167"/>
      <c r="FX66" s="167"/>
      <c r="FY66" s="167"/>
      <c r="FZ66" s="167"/>
      <c r="GA66" s="167"/>
      <c r="GB66" s="167"/>
      <c r="GC66" s="167"/>
      <c r="GD66" s="167"/>
      <c r="GE66" s="167"/>
      <c r="GF66" s="167"/>
      <c r="GG66" s="167"/>
      <c r="GH66" s="167"/>
      <c r="GI66" s="167"/>
      <c r="GJ66" s="167"/>
      <c r="GK66" s="167"/>
      <c r="GL66" s="167"/>
      <c r="GM66" s="167"/>
      <c r="GN66" s="167"/>
      <c r="GO66" s="167"/>
      <c r="GP66" s="167"/>
    </row>
    <row r="67" spans="1:198" s="1057" customFormat="1" ht="16.5" hidden="1" customHeight="1">
      <c r="A67" s="165"/>
      <c r="B67" s="718"/>
      <c r="C67" s="165"/>
      <c r="D67" s="165"/>
      <c r="E67" s="623">
        <v>17</v>
      </c>
      <c r="F67" s="714" t="str">
        <f t="shared" ca="1" si="16"/>
        <v>1</v>
      </c>
      <c r="G67" s="167"/>
      <c r="H67" s="167"/>
      <c r="I67" s="167"/>
      <c r="J67" s="167"/>
      <c r="K67" s="167"/>
      <c r="L67" s="167"/>
      <c r="M67" s="167"/>
      <c r="N67" s="167"/>
      <c r="O67" s="167"/>
      <c r="P67" s="167"/>
      <c r="Q67" s="130"/>
      <c r="R67" s="130"/>
      <c r="S67" s="167"/>
      <c r="T67" s="634" t="b">
        <f t="shared" ca="1" si="19"/>
        <v>0</v>
      </c>
      <c r="U67" s="1012"/>
      <c r="V67" s="1012"/>
      <c r="W67" s="113" t="s">
        <v>170</v>
      </c>
      <c r="X67" s="1405"/>
      <c r="Y67" s="113">
        <v>0</v>
      </c>
      <c r="Z67" s="1405"/>
      <c r="AA67" s="709" t="s">
        <v>157</v>
      </c>
      <c r="AB67" s="446" t="str">
        <f>"1.2.2."&amp;Y67</f>
        <v>1.2.2.0</v>
      </c>
      <c r="AC67" s="85"/>
      <c r="AD67" s="771" t="s">
        <v>1204</v>
      </c>
      <c r="AE67" s="241"/>
      <c r="AF67" s="1121"/>
      <c r="AG67" s="1121"/>
      <c r="AH67" s="40"/>
      <c r="AI67" s="40"/>
      <c r="AJ67" s="40"/>
      <c r="AK67" s="40"/>
      <c r="AL67" s="40"/>
      <c r="AM67" s="40"/>
      <c r="AN67" s="40"/>
      <c r="AO67" s="241"/>
      <c r="AP67" s="1121"/>
      <c r="AQ67" s="1121"/>
      <c r="AR67" s="40"/>
      <c r="AS67" s="40"/>
      <c r="AT67" s="40"/>
      <c r="AU67" s="40"/>
      <c r="AV67" s="40"/>
      <c r="AW67" s="40"/>
      <c r="AX67" s="40"/>
      <c r="AY67" s="22"/>
      <c r="AZ67" s="22"/>
      <c r="BA67" s="22"/>
      <c r="BB67" s="167"/>
      <c r="BC67" s="167"/>
      <c r="BD67" s="944" t="s">
        <v>1633</v>
      </c>
      <c r="BE67" s="944" t="s">
        <v>1634</v>
      </c>
      <c r="BF67" s="944">
        <f>AC67</f>
        <v>0</v>
      </c>
      <c r="BG67" s="945"/>
      <c r="BH67" s="945" t="b">
        <v>1</v>
      </c>
      <c r="BI67" s="167"/>
      <c r="BJ67" s="167"/>
      <c r="BK67" s="167"/>
      <c r="BL67" s="167"/>
      <c r="BM67" s="167"/>
      <c r="BN67" s="167"/>
      <c r="BO67" s="167"/>
      <c r="BP67" s="167"/>
      <c r="BQ67" s="167"/>
      <c r="BR67" s="167"/>
      <c r="BS67" s="167"/>
      <c r="BT67" s="167"/>
      <c r="BU67" s="167"/>
      <c r="BV67" s="167"/>
      <c r="BW67" s="167"/>
      <c r="BX67" s="167"/>
      <c r="BY67" s="167"/>
      <c r="BZ67" s="167"/>
      <c r="CA67" s="167"/>
      <c r="CB67" s="167"/>
      <c r="CC67" s="167"/>
      <c r="CD67" s="167"/>
      <c r="CE67" s="167"/>
      <c r="CF67" s="167"/>
      <c r="CG67" s="167"/>
      <c r="CH67" s="167"/>
      <c r="CI67" s="167"/>
      <c r="CJ67" s="167"/>
      <c r="CK67" s="167"/>
      <c r="CL67" s="167"/>
      <c r="CM67" s="167"/>
      <c r="CN67" s="167"/>
      <c r="CO67" s="167"/>
      <c r="CP67" s="167"/>
      <c r="CQ67" s="167"/>
      <c r="CR67" s="167"/>
      <c r="CS67" s="167"/>
      <c r="CT67" s="167"/>
      <c r="CU67" s="167"/>
      <c r="CV67" s="167"/>
      <c r="CW67" s="167"/>
      <c r="CX67" s="167"/>
      <c r="CY67" s="167"/>
      <c r="CZ67" s="167"/>
      <c r="DA67" s="167"/>
      <c r="DB67" s="167"/>
      <c r="DC67" s="167"/>
      <c r="DD67" s="167"/>
      <c r="DE67" s="167"/>
      <c r="DF67" s="167"/>
      <c r="DG67" s="167"/>
      <c r="DH67" s="167"/>
      <c r="DI67" s="167"/>
      <c r="DJ67" s="167"/>
      <c r="DK67" s="167"/>
      <c r="DL67" s="167"/>
      <c r="DM67" s="167"/>
      <c r="DN67" s="167"/>
      <c r="DO67" s="167"/>
      <c r="DP67" s="167"/>
      <c r="DQ67" s="167"/>
      <c r="DR67" s="167"/>
      <c r="DS67" s="167"/>
      <c r="DT67" s="167"/>
      <c r="DU67" s="167"/>
      <c r="DV67" s="167"/>
      <c r="DW67" s="167"/>
      <c r="DX67" s="167"/>
      <c r="DY67" s="167"/>
      <c r="DZ67" s="167"/>
      <c r="EA67" s="167"/>
      <c r="EB67" s="167"/>
      <c r="EC67" s="167"/>
      <c r="ED67" s="167"/>
      <c r="EE67" s="167"/>
      <c r="EF67" s="167"/>
      <c r="EG67" s="167"/>
      <c r="EH67" s="167"/>
      <c r="EI67" s="167"/>
      <c r="EJ67" s="167"/>
      <c r="EK67" s="167"/>
      <c r="EL67" s="167"/>
      <c r="EM67" s="167"/>
      <c r="EN67" s="167"/>
      <c r="EO67" s="167"/>
      <c r="EP67" s="167"/>
      <c r="EQ67" s="167"/>
      <c r="ER67" s="167"/>
      <c r="ES67" s="167"/>
      <c r="ET67" s="167"/>
      <c r="EU67" s="167"/>
      <c r="EV67" s="167"/>
      <c r="EW67" s="167"/>
      <c r="EX67" s="167"/>
      <c r="EY67" s="167"/>
      <c r="EZ67" s="167"/>
      <c r="FA67" s="167"/>
      <c r="FB67" s="167"/>
      <c r="FC67" s="167"/>
      <c r="FD67" s="167"/>
      <c r="FE67" s="167"/>
      <c r="FF67" s="167"/>
      <c r="FG67" s="167"/>
      <c r="FH67" s="167"/>
      <c r="FI67" s="167"/>
      <c r="FJ67" s="167"/>
      <c r="FK67" s="167"/>
      <c r="FL67" s="167"/>
      <c r="FM67" s="167"/>
      <c r="FN67" s="167"/>
      <c r="FO67" s="167"/>
      <c r="FP67" s="167"/>
      <c r="FQ67" s="167"/>
      <c r="FR67" s="167"/>
      <c r="FS67" s="167"/>
      <c r="FT67" s="167"/>
      <c r="FU67" s="167"/>
      <c r="FV67" s="167"/>
      <c r="FW67" s="167"/>
      <c r="FX67" s="167"/>
      <c r="FY67" s="167"/>
      <c r="FZ67" s="167"/>
      <c r="GA67" s="167"/>
      <c r="GB67" s="167"/>
      <c r="GC67" s="167"/>
      <c r="GD67" s="167"/>
      <c r="GE67" s="167"/>
      <c r="GF67" s="167"/>
      <c r="GG67" s="167"/>
      <c r="GH67" s="167"/>
      <c r="GI67" s="167"/>
      <c r="GJ67" s="167"/>
      <c r="GK67" s="167"/>
      <c r="GL67" s="167"/>
      <c r="GM67" s="167"/>
      <c r="GN67" s="167"/>
      <c r="GO67" s="167"/>
      <c r="GP67" s="167"/>
    </row>
    <row r="68" spans="1:198" s="1057" customFormat="1" ht="16.5" customHeight="1">
      <c r="A68" s="165"/>
      <c r="B68" s="718"/>
      <c r="C68" s="165"/>
      <c r="D68" s="165"/>
      <c r="E68" s="623">
        <v>17</v>
      </c>
      <c r="F68" s="714" t="str">
        <f t="shared" ca="1" si="16"/>
        <v>1</v>
      </c>
      <c r="G68" s="167"/>
      <c r="H68" s="167"/>
      <c r="I68" s="167"/>
      <c r="J68" s="167"/>
      <c r="K68" s="167"/>
      <c r="L68" s="167"/>
      <c r="M68" s="167"/>
      <c r="N68" s="167"/>
      <c r="O68" s="167"/>
      <c r="P68" s="167"/>
      <c r="Q68" s="130"/>
      <c r="R68" s="130"/>
      <c r="S68" s="167"/>
      <c r="T68" s="634" t="b">
        <f t="shared" ca="1" si="19"/>
        <v>1</v>
      </c>
      <c r="U68" s="1012"/>
      <c r="V68" s="1012"/>
      <c r="W68" s="774" t="s">
        <v>775</v>
      </c>
      <c r="X68" s="1405"/>
      <c r="Y68" s="1012"/>
      <c r="Z68" s="1405"/>
      <c r="AA68" s="167"/>
      <c r="AB68" s="236"/>
      <c r="AC68" s="562" t="s">
        <v>172</v>
      </c>
      <c r="AD68" s="237"/>
      <c r="AE68" s="237"/>
      <c r="AF68" s="237"/>
      <c r="AG68" s="237"/>
      <c r="AH68" s="237"/>
      <c r="AI68" s="237"/>
      <c r="AJ68" s="237"/>
      <c r="AK68" s="237"/>
      <c r="AL68" s="237"/>
      <c r="AM68" s="237"/>
      <c r="AN68" s="237"/>
      <c r="AO68" s="237"/>
      <c r="AP68" s="237"/>
      <c r="AQ68" s="237"/>
      <c r="AR68" s="237"/>
      <c r="AS68" s="237"/>
      <c r="AT68" s="237"/>
      <c r="AU68" s="237"/>
      <c r="AV68" s="237"/>
      <c r="AW68" s="237"/>
      <c r="AX68" s="237"/>
      <c r="AY68" s="237"/>
      <c r="AZ68" s="237"/>
      <c r="BA68" s="237"/>
      <c r="BB68" s="167"/>
      <c r="BC68" s="167"/>
      <c r="BD68" s="944" t="str">
        <f>IF(AND(ISNUMBER(VALUE(TRIM(SUBSTITUTE(AB68,".","")))),TRIM(SUBSTITUTE(AB68,".",""))&lt;&gt;""),"P"&amp;SUBSTITUTE(AB68,".",""),"")</f>
        <v/>
      </c>
      <c r="BE68" s="944"/>
      <c r="BF68" s="944"/>
      <c r="BG68" s="945" t="s">
        <v>1634</v>
      </c>
      <c r="BH68" s="945"/>
      <c r="BI68" s="167"/>
      <c r="BJ68" s="167"/>
      <c r="BK68" s="167"/>
      <c r="BL68" s="167"/>
      <c r="BM68" s="167"/>
      <c r="BN68" s="167"/>
      <c r="BO68" s="167"/>
      <c r="BP68" s="167"/>
      <c r="BQ68" s="167"/>
      <c r="BR68" s="167"/>
      <c r="BS68" s="167"/>
      <c r="BT68" s="167"/>
      <c r="BU68" s="167"/>
      <c r="BV68" s="167"/>
      <c r="BW68" s="167"/>
      <c r="BX68" s="167"/>
      <c r="BY68" s="167"/>
      <c r="BZ68" s="167"/>
      <c r="CA68" s="167"/>
      <c r="CB68" s="167"/>
      <c r="CC68" s="167"/>
      <c r="CD68" s="167"/>
      <c r="CE68" s="167"/>
      <c r="CF68" s="167"/>
      <c r="CG68" s="167"/>
      <c r="CH68" s="167"/>
      <c r="CI68" s="167"/>
      <c r="CJ68" s="167"/>
      <c r="CK68" s="167"/>
      <c r="CL68" s="167"/>
      <c r="CM68" s="167"/>
      <c r="CN68" s="167"/>
      <c r="CO68" s="167"/>
      <c r="CP68" s="167"/>
      <c r="CQ68" s="167"/>
      <c r="CR68" s="167"/>
      <c r="CS68" s="167"/>
      <c r="CT68" s="167"/>
      <c r="CU68" s="167"/>
      <c r="CV68" s="167"/>
      <c r="CW68" s="167"/>
      <c r="CX68" s="167"/>
      <c r="CY68" s="167"/>
      <c r="CZ68" s="167"/>
      <c r="DA68" s="167"/>
      <c r="DB68" s="167"/>
      <c r="DC68" s="167"/>
      <c r="DD68" s="167"/>
      <c r="DE68" s="167"/>
      <c r="DF68" s="167"/>
      <c r="DG68" s="167"/>
      <c r="DH68" s="167"/>
      <c r="DI68" s="167"/>
      <c r="DJ68" s="167"/>
      <c r="DK68" s="167"/>
      <c r="DL68" s="167"/>
      <c r="DM68" s="167"/>
      <c r="DN68" s="167"/>
      <c r="DO68" s="167"/>
      <c r="DP68" s="167"/>
      <c r="DQ68" s="167"/>
      <c r="DR68" s="167"/>
      <c r="DS68" s="167"/>
      <c r="DT68" s="167"/>
      <c r="DU68" s="167"/>
      <c r="DV68" s="167"/>
      <c r="DW68" s="167"/>
      <c r="DX68" s="167"/>
      <c r="DY68" s="167"/>
      <c r="DZ68" s="167"/>
      <c r="EA68" s="167"/>
      <c r="EB68" s="167"/>
      <c r="EC68" s="167"/>
      <c r="ED68" s="167"/>
      <c r="EE68" s="167"/>
      <c r="EF68" s="167"/>
      <c r="EG68" s="167"/>
      <c r="EH68" s="167"/>
      <c r="EI68" s="167"/>
      <c r="EJ68" s="167"/>
      <c r="EK68" s="167"/>
      <c r="EL68" s="167"/>
      <c r="EM68" s="167"/>
      <c r="EN68" s="167"/>
      <c r="EO68" s="167"/>
      <c r="EP68" s="167"/>
      <c r="EQ68" s="167"/>
      <c r="ER68" s="167"/>
      <c r="ES68" s="167"/>
      <c r="ET68" s="167"/>
      <c r="EU68" s="167"/>
      <c r="EV68" s="167"/>
      <c r="EW68" s="167"/>
      <c r="EX68" s="167"/>
      <c r="EY68" s="167"/>
      <c r="EZ68" s="167"/>
      <c r="FA68" s="167"/>
      <c r="FB68" s="167"/>
      <c r="FC68" s="167"/>
      <c r="FD68" s="167"/>
      <c r="FE68" s="167"/>
      <c r="FF68" s="167"/>
      <c r="FG68" s="167"/>
      <c r="FH68" s="167"/>
      <c r="FI68" s="167"/>
      <c r="FJ68" s="167"/>
      <c r="FK68" s="167"/>
      <c r="FL68" s="167"/>
      <c r="FM68" s="167"/>
      <c r="FN68" s="167"/>
      <c r="FO68" s="167"/>
      <c r="FP68" s="167"/>
      <c r="FQ68" s="167"/>
      <c r="FR68" s="167"/>
      <c r="FS68" s="167"/>
      <c r="FT68" s="167"/>
      <c r="FU68" s="167"/>
      <c r="FV68" s="167"/>
      <c r="FW68" s="167"/>
      <c r="FX68" s="167"/>
      <c r="FY68" s="167"/>
      <c r="FZ68" s="167"/>
      <c r="GA68" s="167"/>
      <c r="GB68" s="167"/>
      <c r="GC68" s="167"/>
      <c r="GD68" s="167"/>
      <c r="GE68" s="167"/>
      <c r="GF68" s="167"/>
      <c r="GG68" s="167"/>
      <c r="GH68" s="167"/>
      <c r="GI68" s="167"/>
      <c r="GJ68" s="167"/>
      <c r="GK68" s="167"/>
      <c r="GL68" s="167"/>
      <c r="GM68" s="167"/>
      <c r="GN68" s="167"/>
      <c r="GO68" s="167"/>
      <c r="GP68" s="167"/>
    </row>
    <row r="69" spans="1:198" s="1057" customFormat="1" ht="16.5" customHeight="1">
      <c r="A69" s="165"/>
      <c r="B69" s="718"/>
      <c r="C69" s="165"/>
      <c r="D69" s="165"/>
      <c r="E69" s="623">
        <v>17</v>
      </c>
      <c r="F69" s="714" t="str">
        <f t="shared" ca="1" si="16"/>
        <v>1</v>
      </c>
      <c r="G69" s="167"/>
      <c r="H69" s="167"/>
      <c r="I69" s="167"/>
      <c r="J69" s="167"/>
      <c r="K69" s="167"/>
      <c r="L69" s="167"/>
      <c r="M69" s="167"/>
      <c r="N69" s="167"/>
      <c r="O69" s="167"/>
      <c r="P69" s="167"/>
      <c r="Q69" s="130"/>
      <c r="R69" s="130"/>
      <c r="S69" s="167"/>
      <c r="T69" s="634" t="b">
        <f t="shared" ca="1" si="19"/>
        <v>1</v>
      </c>
      <c r="U69" s="1012"/>
      <c r="V69" s="1012"/>
      <c r="W69" s="1012"/>
      <c r="X69" s="1405"/>
      <c r="Y69" s="1012"/>
      <c r="Z69" s="1405"/>
      <c r="AA69" s="167"/>
      <c r="AB69" s="782" t="s">
        <v>1635</v>
      </c>
      <c r="AC69" s="436" t="s">
        <v>1623</v>
      </c>
      <c r="AD69" s="771" t="s">
        <v>1204</v>
      </c>
      <c r="AE69" s="241">
        <f t="shared" ref="AE69:AX69" si="23">SUM(AE70:AE71)</f>
        <v>0</v>
      </c>
      <c r="AF69" s="1121">
        <f t="shared" si="23"/>
        <v>0</v>
      </c>
      <c r="AG69" s="1121">
        <f t="shared" si="23"/>
        <v>0</v>
      </c>
      <c r="AH69" s="1142">
        <f t="shared" si="23"/>
        <v>0</v>
      </c>
      <c r="AI69" s="1142">
        <f t="shared" si="23"/>
        <v>0</v>
      </c>
      <c r="AJ69" s="1142">
        <f t="shared" si="23"/>
        <v>0</v>
      </c>
      <c r="AK69" s="1142">
        <f t="shared" si="23"/>
        <v>0</v>
      </c>
      <c r="AL69" s="1142">
        <f t="shared" si="23"/>
        <v>0</v>
      </c>
      <c r="AM69" s="1142">
        <f t="shared" si="23"/>
        <v>0</v>
      </c>
      <c r="AN69" s="1142">
        <f t="shared" si="23"/>
        <v>0</v>
      </c>
      <c r="AO69" s="241">
        <f t="shared" si="23"/>
        <v>0</v>
      </c>
      <c r="AP69" s="1121">
        <f t="shared" si="23"/>
        <v>0</v>
      </c>
      <c r="AQ69" s="1121">
        <f t="shared" si="23"/>
        <v>0</v>
      </c>
      <c r="AR69" s="1142">
        <f t="shared" si="23"/>
        <v>0</v>
      </c>
      <c r="AS69" s="1142">
        <f t="shared" si="23"/>
        <v>0</v>
      </c>
      <c r="AT69" s="1142">
        <f t="shared" si="23"/>
        <v>0</v>
      </c>
      <c r="AU69" s="1142">
        <f t="shared" si="23"/>
        <v>0</v>
      </c>
      <c r="AV69" s="1142">
        <f t="shared" si="23"/>
        <v>0</v>
      </c>
      <c r="AW69" s="1142">
        <f t="shared" si="23"/>
        <v>0</v>
      </c>
      <c r="AX69" s="1142">
        <f t="shared" si="23"/>
        <v>0</v>
      </c>
      <c r="AY69" s="1106"/>
      <c r="AZ69" s="1106"/>
      <c r="BA69" s="1106"/>
      <c r="BB69" s="167"/>
      <c r="BC69" s="167"/>
      <c r="BD69" s="944" t="s">
        <v>1636</v>
      </c>
      <c r="BE69" s="944"/>
      <c r="BF69" s="944"/>
      <c r="BG69" s="945"/>
      <c r="BH69" s="945"/>
      <c r="BI69" s="167"/>
      <c r="BJ69" s="167"/>
      <c r="BK69" s="167"/>
      <c r="BL69" s="167"/>
      <c r="BM69" s="167"/>
      <c r="BN69" s="167"/>
      <c r="BO69" s="167"/>
      <c r="BP69" s="167"/>
      <c r="BQ69" s="167"/>
      <c r="BR69" s="167"/>
      <c r="BS69" s="167"/>
      <c r="BT69" s="167"/>
      <c r="BU69" s="167"/>
      <c r="BV69" s="167"/>
      <c r="BW69" s="167"/>
      <c r="BX69" s="167"/>
      <c r="BY69" s="167"/>
      <c r="BZ69" s="167"/>
      <c r="CA69" s="167"/>
      <c r="CB69" s="167"/>
      <c r="CC69" s="167"/>
      <c r="CD69" s="167"/>
      <c r="CE69" s="167"/>
      <c r="CF69" s="167"/>
      <c r="CG69" s="167"/>
      <c r="CH69" s="167"/>
      <c r="CI69" s="167"/>
      <c r="CJ69" s="167"/>
      <c r="CK69" s="167"/>
      <c r="CL69" s="167"/>
      <c r="CM69" s="167"/>
      <c r="CN69" s="167"/>
      <c r="CO69" s="167"/>
      <c r="CP69" s="167"/>
      <c r="CQ69" s="167"/>
      <c r="CR69" s="167"/>
      <c r="CS69" s="167"/>
      <c r="CT69" s="167"/>
      <c r="CU69" s="167"/>
      <c r="CV69" s="167"/>
      <c r="CW69" s="167"/>
      <c r="CX69" s="167"/>
      <c r="CY69" s="167"/>
      <c r="CZ69" s="167"/>
      <c r="DA69" s="167"/>
      <c r="DB69" s="167"/>
      <c r="DC69" s="167"/>
      <c r="DD69" s="167"/>
      <c r="DE69" s="167"/>
      <c r="DF69" s="167"/>
      <c r="DG69" s="167"/>
      <c r="DH69" s="167"/>
      <c r="DI69" s="167"/>
      <c r="DJ69" s="167"/>
      <c r="DK69" s="167"/>
      <c r="DL69" s="167"/>
      <c r="DM69" s="167"/>
      <c r="DN69" s="167"/>
      <c r="DO69" s="167"/>
      <c r="DP69" s="167"/>
      <c r="DQ69" s="167"/>
      <c r="DR69" s="167"/>
      <c r="DS69" s="167"/>
      <c r="DT69" s="167"/>
      <c r="DU69" s="167"/>
      <c r="DV69" s="167"/>
      <c r="DW69" s="167"/>
      <c r="DX69" s="167"/>
      <c r="DY69" s="167"/>
      <c r="DZ69" s="167"/>
      <c r="EA69" s="167"/>
      <c r="EB69" s="167"/>
      <c r="EC69" s="167"/>
      <c r="ED69" s="167"/>
      <c r="EE69" s="167"/>
      <c r="EF69" s="167"/>
      <c r="EG69" s="167"/>
      <c r="EH69" s="167"/>
      <c r="EI69" s="167"/>
      <c r="EJ69" s="167"/>
      <c r="EK69" s="167"/>
      <c r="EL69" s="167"/>
      <c r="EM69" s="167"/>
      <c r="EN69" s="167"/>
      <c r="EO69" s="167"/>
      <c r="EP69" s="167"/>
      <c r="EQ69" s="167"/>
      <c r="ER69" s="167"/>
      <c r="ES69" s="167"/>
      <c r="ET69" s="167"/>
      <c r="EU69" s="167"/>
      <c r="EV69" s="167"/>
      <c r="EW69" s="167"/>
      <c r="EX69" s="167"/>
      <c r="EY69" s="167"/>
      <c r="EZ69" s="167"/>
      <c r="FA69" s="167"/>
      <c r="FB69" s="167"/>
      <c r="FC69" s="167"/>
      <c r="FD69" s="167"/>
      <c r="FE69" s="167"/>
      <c r="FF69" s="167"/>
      <c r="FG69" s="167"/>
      <c r="FH69" s="167"/>
      <c r="FI69" s="167"/>
      <c r="FJ69" s="167"/>
      <c r="FK69" s="167"/>
      <c r="FL69" s="167"/>
      <c r="FM69" s="167"/>
      <c r="FN69" s="167"/>
      <c r="FO69" s="167"/>
      <c r="FP69" s="167"/>
      <c r="FQ69" s="167"/>
      <c r="FR69" s="167"/>
      <c r="FS69" s="167"/>
      <c r="FT69" s="167"/>
      <c r="FU69" s="167"/>
      <c r="FV69" s="167"/>
      <c r="FW69" s="167"/>
      <c r="FX69" s="167"/>
      <c r="FY69" s="167"/>
      <c r="FZ69" s="167"/>
      <c r="GA69" s="167"/>
      <c r="GB69" s="167"/>
      <c r="GC69" s="167"/>
      <c r="GD69" s="167"/>
      <c r="GE69" s="167"/>
      <c r="GF69" s="167"/>
      <c r="GG69" s="167"/>
      <c r="GH69" s="167"/>
      <c r="GI69" s="167"/>
      <c r="GJ69" s="167"/>
      <c r="GK69" s="167"/>
      <c r="GL69" s="167"/>
      <c r="GM69" s="167"/>
      <c r="GN69" s="167"/>
      <c r="GO69" s="167"/>
      <c r="GP69" s="167"/>
    </row>
    <row r="70" spans="1:198" s="1057" customFormat="1" ht="16.5" hidden="1" customHeight="1">
      <c r="A70" s="165"/>
      <c r="B70" s="718"/>
      <c r="C70" s="165"/>
      <c r="D70" s="165"/>
      <c r="E70" s="623">
        <v>17</v>
      </c>
      <c r="F70" s="714" t="str">
        <f t="shared" ca="1" si="16"/>
        <v>1</v>
      </c>
      <c r="G70" s="167"/>
      <c r="H70" s="167"/>
      <c r="I70" s="167"/>
      <c r="J70" s="167"/>
      <c r="K70" s="167"/>
      <c r="L70" s="167"/>
      <c r="M70" s="167"/>
      <c r="N70" s="167"/>
      <c r="O70" s="167"/>
      <c r="P70" s="167"/>
      <c r="Q70" s="130"/>
      <c r="R70" s="130"/>
      <c r="S70" s="167"/>
      <c r="T70" s="634" t="b">
        <f t="shared" ca="1" si="19"/>
        <v>0</v>
      </c>
      <c r="U70" s="1012"/>
      <c r="V70" s="1012"/>
      <c r="W70" s="113" t="s">
        <v>170</v>
      </c>
      <c r="X70" s="1405"/>
      <c r="Y70" s="113">
        <v>0</v>
      </c>
      <c r="Z70" s="1405"/>
      <c r="AA70" s="709" t="s">
        <v>157</v>
      </c>
      <c r="AB70" s="446" t="str">
        <f>"1.2.3."&amp;Y70</f>
        <v>1.2.3.0</v>
      </c>
      <c r="AC70" s="85"/>
      <c r="AD70" s="771" t="s">
        <v>1204</v>
      </c>
      <c r="AE70" s="241"/>
      <c r="AF70" s="1121"/>
      <c r="AG70" s="1121"/>
      <c r="AH70" s="40"/>
      <c r="AI70" s="40"/>
      <c r="AJ70" s="40"/>
      <c r="AK70" s="40"/>
      <c r="AL70" s="40"/>
      <c r="AM70" s="40"/>
      <c r="AN70" s="40"/>
      <c r="AO70" s="241"/>
      <c r="AP70" s="1121"/>
      <c r="AQ70" s="1121"/>
      <c r="AR70" s="40"/>
      <c r="AS70" s="40"/>
      <c r="AT70" s="40"/>
      <c r="AU70" s="40"/>
      <c r="AV70" s="40"/>
      <c r="AW70" s="40"/>
      <c r="AX70" s="40"/>
      <c r="AY70" s="22"/>
      <c r="AZ70" s="22"/>
      <c r="BA70" s="22"/>
      <c r="BB70" s="167"/>
      <c r="BC70" s="167"/>
      <c r="BD70" s="944" t="s">
        <v>1636</v>
      </c>
      <c r="BE70" s="944" t="s">
        <v>1637</v>
      </c>
      <c r="BF70" s="944">
        <f>AC70</f>
        <v>0</v>
      </c>
      <c r="BG70" s="945"/>
      <c r="BH70" s="945" t="b">
        <v>1</v>
      </c>
      <c r="BI70" s="167"/>
      <c r="BJ70" s="167"/>
      <c r="BK70" s="167"/>
      <c r="BL70" s="167"/>
      <c r="BM70" s="167"/>
      <c r="BN70" s="167"/>
      <c r="BO70" s="167"/>
      <c r="BP70" s="167"/>
      <c r="BQ70" s="167"/>
      <c r="BR70" s="167"/>
      <c r="BS70" s="167"/>
      <c r="BT70" s="167"/>
      <c r="BU70" s="167"/>
      <c r="BV70" s="167"/>
      <c r="BW70" s="167"/>
      <c r="BX70" s="167"/>
      <c r="BY70" s="167"/>
      <c r="BZ70" s="167"/>
      <c r="CA70" s="167"/>
      <c r="CB70" s="167"/>
      <c r="CC70" s="167"/>
      <c r="CD70" s="167"/>
      <c r="CE70" s="167"/>
      <c r="CF70" s="167"/>
      <c r="CG70" s="167"/>
      <c r="CH70" s="167"/>
      <c r="CI70" s="167"/>
      <c r="CJ70" s="167"/>
      <c r="CK70" s="167"/>
      <c r="CL70" s="167"/>
      <c r="CM70" s="167"/>
      <c r="CN70" s="167"/>
      <c r="CO70" s="167"/>
      <c r="CP70" s="167"/>
      <c r="CQ70" s="167"/>
      <c r="CR70" s="167"/>
      <c r="CS70" s="167"/>
      <c r="CT70" s="167"/>
      <c r="CU70" s="167"/>
      <c r="CV70" s="167"/>
      <c r="CW70" s="167"/>
      <c r="CX70" s="167"/>
      <c r="CY70" s="167"/>
      <c r="CZ70" s="167"/>
      <c r="DA70" s="167"/>
      <c r="DB70" s="167"/>
      <c r="DC70" s="167"/>
      <c r="DD70" s="167"/>
      <c r="DE70" s="167"/>
      <c r="DF70" s="167"/>
      <c r="DG70" s="167"/>
      <c r="DH70" s="167"/>
      <c r="DI70" s="167"/>
      <c r="DJ70" s="167"/>
      <c r="DK70" s="167"/>
      <c r="DL70" s="167"/>
      <c r="DM70" s="167"/>
      <c r="DN70" s="167"/>
      <c r="DO70" s="167"/>
      <c r="DP70" s="167"/>
      <c r="DQ70" s="167"/>
      <c r="DR70" s="167"/>
      <c r="DS70" s="167"/>
      <c r="DT70" s="167"/>
      <c r="DU70" s="167"/>
      <c r="DV70" s="167"/>
      <c r="DW70" s="167"/>
      <c r="DX70" s="167"/>
      <c r="DY70" s="167"/>
      <c r="DZ70" s="167"/>
      <c r="EA70" s="167"/>
      <c r="EB70" s="167"/>
      <c r="EC70" s="167"/>
      <c r="ED70" s="167"/>
      <c r="EE70" s="167"/>
      <c r="EF70" s="167"/>
      <c r="EG70" s="167"/>
      <c r="EH70" s="167"/>
      <c r="EI70" s="167"/>
      <c r="EJ70" s="167"/>
      <c r="EK70" s="167"/>
      <c r="EL70" s="167"/>
      <c r="EM70" s="167"/>
      <c r="EN70" s="167"/>
      <c r="EO70" s="167"/>
      <c r="EP70" s="167"/>
      <c r="EQ70" s="167"/>
      <c r="ER70" s="167"/>
      <c r="ES70" s="167"/>
      <c r="ET70" s="167"/>
      <c r="EU70" s="167"/>
      <c r="EV70" s="167"/>
      <c r="EW70" s="167"/>
      <c r="EX70" s="167"/>
      <c r="EY70" s="167"/>
      <c r="EZ70" s="167"/>
      <c r="FA70" s="167"/>
      <c r="FB70" s="167"/>
      <c r="FC70" s="167"/>
      <c r="FD70" s="167"/>
      <c r="FE70" s="167"/>
      <c r="FF70" s="167"/>
      <c r="FG70" s="167"/>
      <c r="FH70" s="167"/>
      <c r="FI70" s="167"/>
      <c r="FJ70" s="167"/>
      <c r="FK70" s="167"/>
      <c r="FL70" s="167"/>
      <c r="FM70" s="167"/>
      <c r="FN70" s="167"/>
      <c r="FO70" s="167"/>
      <c r="FP70" s="167"/>
      <c r="FQ70" s="167"/>
      <c r="FR70" s="167"/>
      <c r="FS70" s="167"/>
      <c r="FT70" s="167"/>
      <c r="FU70" s="167"/>
      <c r="FV70" s="167"/>
      <c r="FW70" s="167"/>
      <c r="FX70" s="167"/>
      <c r="FY70" s="167"/>
      <c r="FZ70" s="167"/>
      <c r="GA70" s="167"/>
      <c r="GB70" s="167"/>
      <c r="GC70" s="167"/>
      <c r="GD70" s="167"/>
      <c r="GE70" s="167"/>
      <c r="GF70" s="167"/>
      <c r="GG70" s="167"/>
      <c r="GH70" s="167"/>
      <c r="GI70" s="167"/>
      <c r="GJ70" s="167"/>
      <c r="GK70" s="167"/>
      <c r="GL70" s="167"/>
      <c r="GM70" s="167"/>
      <c r="GN70" s="167"/>
      <c r="GO70" s="167"/>
      <c r="GP70" s="167"/>
    </row>
    <row r="71" spans="1:198" s="1057" customFormat="1" ht="16.5" customHeight="1">
      <c r="A71" s="165"/>
      <c r="B71" s="718"/>
      <c r="C71" s="165"/>
      <c r="D71" s="165"/>
      <c r="E71" s="623">
        <v>17</v>
      </c>
      <c r="F71" s="714" t="str">
        <f t="shared" ca="1" si="16"/>
        <v>1</v>
      </c>
      <c r="G71" s="167"/>
      <c r="H71" s="167"/>
      <c r="I71" s="167"/>
      <c r="J71" s="167"/>
      <c r="K71" s="167"/>
      <c r="L71" s="167"/>
      <c r="M71" s="167"/>
      <c r="N71" s="167"/>
      <c r="O71" s="167"/>
      <c r="P71" s="167"/>
      <c r="Q71" s="130"/>
      <c r="R71" s="130"/>
      <c r="S71" s="167"/>
      <c r="T71" s="634" t="b">
        <f t="shared" ca="1" si="19"/>
        <v>1</v>
      </c>
      <c r="U71" s="1012"/>
      <c r="V71" s="1012"/>
      <c r="W71" s="774" t="s">
        <v>1018</v>
      </c>
      <c r="X71" s="1405"/>
      <c r="Y71" s="1012"/>
      <c r="Z71" s="1405"/>
      <c r="AA71" s="167"/>
      <c r="AB71" s="236"/>
      <c r="AC71" s="562" t="s">
        <v>172</v>
      </c>
      <c r="AD71" s="237"/>
      <c r="AE71" s="237"/>
      <c r="AF71" s="237"/>
      <c r="AG71" s="237"/>
      <c r="AH71" s="237"/>
      <c r="AI71" s="237"/>
      <c r="AJ71" s="237"/>
      <c r="AK71" s="237"/>
      <c r="AL71" s="237"/>
      <c r="AM71" s="237"/>
      <c r="AN71" s="237"/>
      <c r="AO71" s="237"/>
      <c r="AP71" s="237"/>
      <c r="AQ71" s="237"/>
      <c r="AR71" s="237"/>
      <c r="AS71" s="237"/>
      <c r="AT71" s="237"/>
      <c r="AU71" s="237"/>
      <c r="AV71" s="237"/>
      <c r="AW71" s="237"/>
      <c r="AX71" s="237"/>
      <c r="AY71" s="237"/>
      <c r="AZ71" s="237"/>
      <c r="BA71" s="237"/>
      <c r="BB71" s="167"/>
      <c r="BC71" s="167"/>
      <c r="BD71" s="944" t="str">
        <f>IF(AND(ISNUMBER(VALUE(TRIM(SUBSTITUTE(AB71,".","")))),TRIM(SUBSTITUTE(AB71,".",""))&lt;&gt;""),"P"&amp;SUBSTITUTE(AB71,".",""),"")</f>
        <v/>
      </c>
      <c r="BE71" s="944"/>
      <c r="BF71" s="944"/>
      <c r="BG71" s="945" t="s">
        <v>1637</v>
      </c>
      <c r="BH71" s="945"/>
      <c r="BI71" s="167"/>
      <c r="BJ71" s="167"/>
      <c r="BK71" s="167"/>
      <c r="BL71" s="167"/>
      <c r="BM71" s="167"/>
      <c r="BN71" s="167"/>
      <c r="BO71" s="167"/>
      <c r="BP71" s="167"/>
      <c r="BQ71" s="167"/>
      <c r="BR71" s="167"/>
      <c r="BS71" s="167"/>
      <c r="BT71" s="167"/>
      <c r="BU71" s="167"/>
      <c r="BV71" s="167"/>
      <c r="BW71" s="167"/>
      <c r="BX71" s="167"/>
      <c r="BY71" s="167"/>
      <c r="BZ71" s="167"/>
      <c r="CA71" s="167"/>
      <c r="CB71" s="167"/>
      <c r="CC71" s="167"/>
      <c r="CD71" s="167"/>
      <c r="CE71" s="167"/>
      <c r="CF71" s="167"/>
      <c r="CG71" s="167"/>
      <c r="CH71" s="167"/>
      <c r="CI71" s="167"/>
      <c r="CJ71" s="167"/>
      <c r="CK71" s="167"/>
      <c r="CL71" s="167"/>
      <c r="CM71" s="167"/>
      <c r="CN71" s="167"/>
      <c r="CO71" s="167"/>
      <c r="CP71" s="167"/>
      <c r="CQ71" s="167"/>
      <c r="CR71" s="167"/>
      <c r="CS71" s="167"/>
      <c r="CT71" s="167"/>
      <c r="CU71" s="167"/>
      <c r="CV71" s="167"/>
      <c r="CW71" s="167"/>
      <c r="CX71" s="167"/>
      <c r="CY71" s="167"/>
      <c r="CZ71" s="167"/>
      <c r="DA71" s="167"/>
      <c r="DB71" s="167"/>
      <c r="DC71" s="167"/>
      <c r="DD71" s="167"/>
      <c r="DE71" s="167"/>
      <c r="DF71" s="167"/>
      <c r="DG71" s="167"/>
      <c r="DH71" s="167"/>
      <c r="DI71" s="167"/>
      <c r="DJ71" s="167"/>
      <c r="DK71" s="167"/>
      <c r="DL71" s="167"/>
      <c r="DM71" s="167"/>
      <c r="DN71" s="167"/>
      <c r="DO71" s="167"/>
      <c r="DP71" s="167"/>
      <c r="DQ71" s="167"/>
      <c r="DR71" s="167"/>
      <c r="DS71" s="167"/>
      <c r="DT71" s="167"/>
      <c r="DU71" s="167"/>
      <c r="DV71" s="167"/>
      <c r="DW71" s="167"/>
      <c r="DX71" s="167"/>
      <c r="DY71" s="167"/>
      <c r="DZ71" s="167"/>
      <c r="EA71" s="167"/>
      <c r="EB71" s="167"/>
      <c r="EC71" s="167"/>
      <c r="ED71" s="167"/>
      <c r="EE71" s="167"/>
      <c r="EF71" s="167"/>
      <c r="EG71" s="167"/>
      <c r="EH71" s="167"/>
      <c r="EI71" s="167"/>
      <c r="EJ71" s="167"/>
      <c r="EK71" s="167"/>
      <c r="EL71" s="167"/>
      <c r="EM71" s="167"/>
      <c r="EN71" s="167"/>
      <c r="EO71" s="167"/>
      <c r="EP71" s="167"/>
      <c r="EQ71" s="167"/>
      <c r="ER71" s="167"/>
      <c r="ES71" s="167"/>
      <c r="ET71" s="167"/>
      <c r="EU71" s="167"/>
      <c r="EV71" s="167"/>
      <c r="EW71" s="167"/>
      <c r="EX71" s="167"/>
      <c r="EY71" s="167"/>
      <c r="EZ71" s="167"/>
      <c r="FA71" s="167"/>
      <c r="FB71" s="167"/>
      <c r="FC71" s="167"/>
      <c r="FD71" s="167"/>
      <c r="FE71" s="167"/>
      <c r="FF71" s="167"/>
      <c r="FG71" s="167"/>
      <c r="FH71" s="167"/>
      <c r="FI71" s="167"/>
      <c r="FJ71" s="167"/>
      <c r="FK71" s="167"/>
      <c r="FL71" s="167"/>
      <c r="FM71" s="167"/>
      <c r="FN71" s="167"/>
      <c r="FO71" s="167"/>
      <c r="FP71" s="167"/>
      <c r="FQ71" s="167"/>
      <c r="FR71" s="167"/>
      <c r="FS71" s="167"/>
      <c r="FT71" s="167"/>
      <c r="FU71" s="167"/>
      <c r="FV71" s="167"/>
      <c r="FW71" s="167"/>
      <c r="FX71" s="167"/>
      <c r="FY71" s="167"/>
      <c r="FZ71" s="167"/>
      <c r="GA71" s="167"/>
      <c r="GB71" s="167"/>
      <c r="GC71" s="167"/>
      <c r="GD71" s="167"/>
      <c r="GE71" s="167"/>
      <c r="GF71" s="167"/>
      <c r="GG71" s="167"/>
      <c r="GH71" s="167"/>
      <c r="GI71" s="167"/>
      <c r="GJ71" s="167"/>
      <c r="GK71" s="167"/>
      <c r="GL71" s="167"/>
      <c r="GM71" s="167"/>
      <c r="GN71" s="167"/>
      <c r="GO71" s="167"/>
      <c r="GP71" s="167"/>
    </row>
    <row r="72" spans="1:198" s="1057" customFormat="1" ht="16.5" customHeight="1">
      <c r="A72" s="165"/>
      <c r="B72" s="718"/>
      <c r="C72" s="165"/>
      <c r="D72" s="165"/>
      <c r="E72" s="623">
        <v>17</v>
      </c>
      <c r="F72" s="714" t="str">
        <f t="shared" ca="1" si="16"/>
        <v>1</v>
      </c>
      <c r="G72" s="167"/>
      <c r="H72" s="167"/>
      <c r="I72" s="167"/>
      <c r="J72" s="167"/>
      <c r="K72" s="167"/>
      <c r="L72" s="167"/>
      <c r="M72" s="167"/>
      <c r="N72" s="167"/>
      <c r="O72" s="167"/>
      <c r="P72" s="167"/>
      <c r="Q72" s="130"/>
      <c r="R72" s="130"/>
      <c r="S72" s="167"/>
      <c r="T72" s="634" t="b">
        <f t="shared" ca="1" si="19"/>
        <v>1</v>
      </c>
      <c r="U72" s="1012"/>
      <c r="V72" s="1012"/>
      <c r="W72" s="1012"/>
      <c r="X72" s="1405"/>
      <c r="Y72" s="1012"/>
      <c r="Z72" s="1405"/>
      <c r="AA72" s="167"/>
      <c r="AB72" s="782" t="s">
        <v>749</v>
      </c>
      <c r="AC72" s="102" t="s">
        <v>1638</v>
      </c>
      <c r="AD72" s="771" t="s">
        <v>1204</v>
      </c>
      <c r="AE72" s="241"/>
      <c r="AF72" s="1121"/>
      <c r="AG72" s="1121"/>
      <c r="AH72" s="1142"/>
      <c r="AI72" s="1142"/>
      <c r="AJ72" s="1142"/>
      <c r="AK72" s="1142"/>
      <c r="AL72" s="1142"/>
      <c r="AM72" s="1142"/>
      <c r="AN72" s="1142"/>
      <c r="AO72" s="241"/>
      <c r="AP72" s="1121"/>
      <c r="AQ72" s="1121"/>
      <c r="AR72" s="1142"/>
      <c r="AS72" s="1142"/>
      <c r="AT72" s="1142"/>
      <c r="AU72" s="1142"/>
      <c r="AV72" s="1142"/>
      <c r="AW72" s="1142"/>
      <c r="AX72" s="1142"/>
      <c r="AY72" s="1106"/>
      <c r="AZ72" s="1106"/>
      <c r="BA72" s="1106"/>
      <c r="BB72" s="167"/>
      <c r="BC72" s="167"/>
      <c r="BD72" s="944" t="s">
        <v>1193</v>
      </c>
      <c r="BE72" s="944"/>
      <c r="BF72" s="944"/>
      <c r="BG72" s="945"/>
      <c r="BH72" s="945"/>
      <c r="BI72" s="167"/>
      <c r="BJ72" s="167"/>
      <c r="BK72" s="167"/>
      <c r="BL72" s="167"/>
      <c r="BM72" s="167"/>
      <c r="BN72" s="167"/>
      <c r="BO72" s="167"/>
      <c r="BP72" s="167"/>
      <c r="BQ72" s="167"/>
      <c r="BR72" s="167"/>
      <c r="BS72" s="167"/>
      <c r="BT72" s="167"/>
      <c r="BU72" s="167"/>
      <c r="BV72" s="167"/>
      <c r="BW72" s="167"/>
      <c r="BX72" s="167"/>
      <c r="BY72" s="167"/>
      <c r="BZ72" s="167"/>
      <c r="CA72" s="167"/>
      <c r="CB72" s="167"/>
      <c r="CC72" s="167"/>
      <c r="CD72" s="167"/>
      <c r="CE72" s="167"/>
      <c r="CF72" s="167"/>
      <c r="CG72" s="167"/>
      <c r="CH72" s="167"/>
      <c r="CI72" s="167"/>
      <c r="CJ72" s="167"/>
      <c r="CK72" s="167"/>
      <c r="CL72" s="167"/>
      <c r="CM72" s="167"/>
      <c r="CN72" s="167"/>
      <c r="CO72" s="167"/>
      <c r="CP72" s="167"/>
      <c r="CQ72" s="167"/>
      <c r="CR72" s="167"/>
      <c r="CS72" s="167"/>
      <c r="CT72" s="167"/>
      <c r="CU72" s="167"/>
      <c r="CV72" s="167"/>
      <c r="CW72" s="167"/>
      <c r="CX72" s="167"/>
      <c r="CY72" s="167"/>
      <c r="CZ72" s="167"/>
      <c r="DA72" s="167"/>
      <c r="DB72" s="167"/>
      <c r="DC72" s="167"/>
      <c r="DD72" s="167"/>
      <c r="DE72" s="167"/>
      <c r="DF72" s="167"/>
      <c r="DG72" s="167"/>
      <c r="DH72" s="167"/>
      <c r="DI72" s="167"/>
      <c r="DJ72" s="167"/>
      <c r="DK72" s="167"/>
      <c r="DL72" s="167"/>
      <c r="DM72" s="167"/>
      <c r="DN72" s="167"/>
      <c r="DO72" s="167"/>
      <c r="DP72" s="167"/>
      <c r="DQ72" s="167"/>
      <c r="DR72" s="167"/>
      <c r="DS72" s="167"/>
      <c r="DT72" s="167"/>
      <c r="DU72" s="167"/>
      <c r="DV72" s="167"/>
      <c r="DW72" s="167"/>
      <c r="DX72" s="167"/>
      <c r="DY72" s="167"/>
      <c r="DZ72" s="167"/>
      <c r="EA72" s="167"/>
      <c r="EB72" s="167"/>
      <c r="EC72" s="167"/>
      <c r="ED72" s="167"/>
      <c r="EE72" s="167"/>
      <c r="EF72" s="167"/>
      <c r="EG72" s="167"/>
      <c r="EH72" s="167"/>
      <c r="EI72" s="167"/>
      <c r="EJ72" s="167"/>
      <c r="EK72" s="167"/>
      <c r="EL72" s="167"/>
      <c r="EM72" s="167"/>
      <c r="EN72" s="167"/>
      <c r="EO72" s="167"/>
      <c r="EP72" s="167"/>
      <c r="EQ72" s="167"/>
      <c r="ER72" s="167"/>
      <c r="ES72" s="167"/>
      <c r="ET72" s="167"/>
      <c r="EU72" s="167"/>
      <c r="EV72" s="167"/>
      <c r="EW72" s="167"/>
      <c r="EX72" s="167"/>
      <c r="EY72" s="167"/>
      <c r="EZ72" s="167"/>
      <c r="FA72" s="167"/>
      <c r="FB72" s="167"/>
      <c r="FC72" s="167"/>
      <c r="FD72" s="167"/>
      <c r="FE72" s="167"/>
      <c r="FF72" s="167"/>
      <c r="FG72" s="167"/>
      <c r="FH72" s="167"/>
      <c r="FI72" s="167"/>
      <c r="FJ72" s="167"/>
      <c r="FK72" s="167"/>
      <c r="FL72" s="167"/>
      <c r="FM72" s="167"/>
      <c r="FN72" s="167"/>
      <c r="FO72" s="167"/>
      <c r="FP72" s="167"/>
      <c r="FQ72" s="167"/>
      <c r="FR72" s="167"/>
      <c r="FS72" s="167"/>
      <c r="FT72" s="167"/>
      <c r="FU72" s="167"/>
      <c r="FV72" s="167"/>
      <c r="FW72" s="167"/>
      <c r="FX72" s="167"/>
      <c r="FY72" s="167"/>
      <c r="FZ72" s="167"/>
      <c r="GA72" s="167"/>
      <c r="GB72" s="167"/>
      <c r="GC72" s="167"/>
      <c r="GD72" s="167"/>
      <c r="GE72" s="167"/>
      <c r="GF72" s="167"/>
      <c r="GG72" s="167"/>
      <c r="GH72" s="167"/>
      <c r="GI72" s="167"/>
      <c r="GJ72" s="167"/>
      <c r="GK72" s="167"/>
      <c r="GL72" s="167"/>
      <c r="GM72" s="167"/>
      <c r="GN72" s="167"/>
      <c r="GO72" s="167"/>
      <c r="GP72" s="167"/>
    </row>
    <row r="73" spans="1:198" s="1057" customFormat="1" ht="16.5" customHeight="1">
      <c r="A73" s="165"/>
      <c r="B73" s="718"/>
      <c r="C73" s="165"/>
      <c r="D73" s="165"/>
      <c r="E73" s="623">
        <v>17</v>
      </c>
      <c r="F73" s="714" t="str">
        <f t="shared" ca="1" si="16"/>
        <v>1</v>
      </c>
      <c r="G73" s="167"/>
      <c r="H73" s="167"/>
      <c r="I73" s="167"/>
      <c r="J73" s="167"/>
      <c r="K73" s="167"/>
      <c r="L73" s="167"/>
      <c r="M73" s="167"/>
      <c r="N73" s="167"/>
      <c r="O73" s="167"/>
      <c r="P73" s="167"/>
      <c r="Q73" s="130"/>
      <c r="R73" s="130"/>
      <c r="S73" s="167"/>
      <c r="T73" s="634" t="b">
        <f t="shared" ca="1" si="19"/>
        <v>1</v>
      </c>
      <c r="U73" s="1012"/>
      <c r="V73" s="1012"/>
      <c r="W73" s="1012"/>
      <c r="X73" s="1405"/>
      <c r="Y73" s="1012"/>
      <c r="Z73" s="1405"/>
      <c r="AA73" s="167"/>
      <c r="AB73" s="446" t="s">
        <v>343</v>
      </c>
      <c r="AC73" s="249" t="s">
        <v>1639</v>
      </c>
      <c r="AD73" s="771"/>
      <c r="AE73" s="771"/>
      <c r="AF73" s="771"/>
      <c r="AG73" s="771"/>
      <c r="AH73" s="771"/>
      <c r="AI73" s="771"/>
      <c r="AJ73" s="771"/>
      <c r="AK73" s="771"/>
      <c r="AL73" s="771"/>
      <c r="AM73" s="771"/>
      <c r="AN73" s="771"/>
      <c r="AO73" s="771"/>
      <c r="AP73" s="771"/>
      <c r="AQ73" s="771"/>
      <c r="AR73" s="771"/>
      <c r="AS73" s="771"/>
      <c r="AT73" s="771"/>
      <c r="AU73" s="771"/>
      <c r="AV73" s="771"/>
      <c r="AW73" s="771"/>
      <c r="AX73" s="771"/>
      <c r="AY73" s="1106"/>
      <c r="AZ73" s="1106"/>
      <c r="BA73" s="1106"/>
      <c r="BB73" s="167"/>
      <c r="BC73" s="167"/>
      <c r="BD73" s="944"/>
      <c r="BE73" s="944"/>
      <c r="BF73" s="944"/>
      <c r="BG73" s="945"/>
      <c r="BH73" s="945"/>
      <c r="BI73" s="167"/>
      <c r="BJ73" s="167"/>
      <c r="BK73" s="167"/>
      <c r="BL73" s="167"/>
      <c r="BM73" s="167"/>
      <c r="BN73" s="167"/>
      <c r="BO73" s="167"/>
      <c r="BP73" s="167"/>
      <c r="BQ73" s="167"/>
      <c r="BR73" s="167"/>
      <c r="BS73" s="167"/>
      <c r="BT73" s="167"/>
      <c r="BU73" s="167"/>
      <c r="BV73" s="167"/>
      <c r="BW73" s="167"/>
      <c r="BX73" s="167"/>
      <c r="BY73" s="167"/>
      <c r="BZ73" s="167"/>
      <c r="CA73" s="167"/>
      <c r="CB73" s="167"/>
      <c r="CC73" s="167"/>
      <c r="CD73" s="167"/>
      <c r="CE73" s="167"/>
      <c r="CF73" s="167"/>
      <c r="CG73" s="167"/>
      <c r="CH73" s="167"/>
      <c r="CI73" s="167"/>
      <c r="CJ73" s="167"/>
      <c r="CK73" s="167"/>
      <c r="CL73" s="167"/>
      <c r="CM73" s="167"/>
      <c r="CN73" s="167"/>
      <c r="CO73" s="167"/>
      <c r="CP73" s="167"/>
      <c r="CQ73" s="167"/>
      <c r="CR73" s="167"/>
      <c r="CS73" s="167"/>
      <c r="CT73" s="167"/>
      <c r="CU73" s="167"/>
      <c r="CV73" s="167"/>
      <c r="CW73" s="167"/>
      <c r="CX73" s="167"/>
      <c r="CY73" s="167"/>
      <c r="CZ73" s="167"/>
      <c r="DA73" s="167"/>
      <c r="DB73" s="167"/>
      <c r="DC73" s="167"/>
      <c r="DD73" s="167"/>
      <c r="DE73" s="167"/>
      <c r="DF73" s="167"/>
      <c r="DG73" s="167"/>
      <c r="DH73" s="167"/>
      <c r="DI73" s="167"/>
      <c r="DJ73" s="167"/>
      <c r="DK73" s="167"/>
      <c r="DL73" s="167"/>
      <c r="DM73" s="167"/>
      <c r="DN73" s="167"/>
      <c r="DO73" s="167"/>
      <c r="DP73" s="167"/>
      <c r="DQ73" s="167"/>
      <c r="DR73" s="167"/>
      <c r="DS73" s="167"/>
      <c r="DT73" s="167"/>
      <c r="DU73" s="167"/>
      <c r="DV73" s="167"/>
      <c r="DW73" s="167"/>
      <c r="DX73" s="167"/>
      <c r="DY73" s="167"/>
      <c r="DZ73" s="167"/>
      <c r="EA73" s="167"/>
      <c r="EB73" s="167"/>
      <c r="EC73" s="167"/>
      <c r="ED73" s="167"/>
      <c r="EE73" s="167"/>
      <c r="EF73" s="167"/>
      <c r="EG73" s="167"/>
      <c r="EH73" s="167"/>
      <c r="EI73" s="167"/>
      <c r="EJ73" s="167"/>
      <c r="EK73" s="167"/>
      <c r="EL73" s="167"/>
      <c r="EM73" s="167"/>
      <c r="EN73" s="167"/>
      <c r="EO73" s="167"/>
      <c r="EP73" s="167"/>
      <c r="EQ73" s="167"/>
      <c r="ER73" s="167"/>
      <c r="ES73" s="167"/>
      <c r="ET73" s="167"/>
      <c r="EU73" s="167"/>
      <c r="EV73" s="167"/>
      <c r="EW73" s="167"/>
      <c r="EX73" s="167"/>
      <c r="EY73" s="167"/>
      <c r="EZ73" s="167"/>
      <c r="FA73" s="167"/>
      <c r="FB73" s="167"/>
      <c r="FC73" s="167"/>
      <c r="FD73" s="167"/>
      <c r="FE73" s="167"/>
      <c r="FF73" s="167"/>
      <c r="FG73" s="167"/>
      <c r="FH73" s="167"/>
      <c r="FI73" s="167"/>
      <c r="FJ73" s="167"/>
      <c r="FK73" s="167"/>
      <c r="FL73" s="167"/>
      <c r="FM73" s="167"/>
      <c r="FN73" s="167"/>
      <c r="FO73" s="167"/>
      <c r="FP73" s="167"/>
      <c r="FQ73" s="167"/>
      <c r="FR73" s="167"/>
      <c r="FS73" s="167"/>
      <c r="FT73" s="167"/>
      <c r="FU73" s="167"/>
      <c r="FV73" s="167"/>
      <c r="FW73" s="167"/>
      <c r="FX73" s="167"/>
      <c r="FY73" s="167"/>
      <c r="FZ73" s="167"/>
      <c r="GA73" s="167"/>
      <c r="GB73" s="167"/>
      <c r="GC73" s="167"/>
      <c r="GD73" s="167"/>
      <c r="GE73" s="167"/>
      <c r="GF73" s="167"/>
      <c r="GG73" s="167"/>
      <c r="GH73" s="167"/>
      <c r="GI73" s="167"/>
      <c r="GJ73" s="167"/>
      <c r="GK73" s="167"/>
      <c r="GL73" s="167"/>
      <c r="GM73" s="167"/>
      <c r="GN73" s="167"/>
      <c r="GO73" s="167"/>
      <c r="GP73" s="167"/>
    </row>
    <row r="74" spans="1:198" s="1057" customFormat="1" ht="16.5" customHeight="1">
      <c r="A74" s="165"/>
      <c r="B74" s="718"/>
      <c r="C74" s="165"/>
      <c r="D74" s="165"/>
      <c r="E74" s="623">
        <v>17</v>
      </c>
      <c r="F74" s="714" t="str">
        <f t="shared" ca="1" si="16"/>
        <v>1</v>
      </c>
      <c r="G74" s="130" t="s">
        <v>1441</v>
      </c>
      <c r="H74" s="167"/>
      <c r="I74" s="167"/>
      <c r="J74" s="167"/>
      <c r="K74" s="167"/>
      <c r="L74" s="167"/>
      <c r="M74" s="167"/>
      <c r="N74" s="167"/>
      <c r="O74" s="167"/>
      <c r="P74" s="167"/>
      <c r="Q74" s="130"/>
      <c r="R74" s="130"/>
      <c r="S74" s="167"/>
      <c r="T74" s="634" t="b">
        <f t="shared" ca="1" si="19"/>
        <v>1</v>
      </c>
      <c r="U74" s="1012"/>
      <c r="V74" s="1012"/>
      <c r="W74" s="1012"/>
      <c r="X74" s="1405"/>
      <c r="Y74" s="1012"/>
      <c r="Z74" s="1405"/>
      <c r="AA74" s="167"/>
      <c r="AB74" s="111" t="s">
        <v>346</v>
      </c>
      <c r="AC74" s="223" t="s">
        <v>1442</v>
      </c>
      <c r="AD74" s="434" t="s">
        <v>491</v>
      </c>
      <c r="AE74" s="241"/>
      <c r="AF74" s="1121"/>
      <c r="AG74" s="1121"/>
      <c r="AH74" s="1142"/>
      <c r="AI74" s="1142"/>
      <c r="AJ74" s="1142"/>
      <c r="AK74" s="1142"/>
      <c r="AL74" s="1142"/>
      <c r="AM74" s="1142"/>
      <c r="AN74" s="1142"/>
      <c r="AO74" s="241"/>
      <c r="AP74" s="1121"/>
      <c r="AQ74" s="1121"/>
      <c r="AR74" s="1142"/>
      <c r="AS74" s="1142"/>
      <c r="AT74" s="1142"/>
      <c r="AU74" s="1142"/>
      <c r="AV74" s="1142"/>
      <c r="AW74" s="1142"/>
      <c r="AX74" s="1142"/>
      <c r="AY74" s="1106"/>
      <c r="AZ74" s="1106"/>
      <c r="BA74" s="1106"/>
      <c r="BB74" s="167"/>
      <c r="BC74" s="167"/>
      <c r="BD74" s="944" t="s">
        <v>1640</v>
      </c>
      <c r="BE74" s="944"/>
      <c r="BF74" s="944"/>
      <c r="BG74" s="945"/>
      <c r="BH74" s="945"/>
      <c r="BI74" s="167"/>
      <c r="BJ74" s="167"/>
      <c r="BK74" s="167"/>
      <c r="BL74" s="167"/>
      <c r="BM74" s="167"/>
      <c r="BN74" s="167"/>
      <c r="BO74" s="167"/>
      <c r="BP74" s="167"/>
      <c r="BQ74" s="167"/>
      <c r="BR74" s="167"/>
      <c r="BS74" s="167"/>
      <c r="BT74" s="167"/>
      <c r="BU74" s="167"/>
      <c r="BV74" s="167"/>
      <c r="BW74" s="167"/>
      <c r="BX74" s="167"/>
      <c r="BY74" s="167"/>
      <c r="BZ74" s="167"/>
      <c r="CA74" s="167"/>
      <c r="CB74" s="167"/>
      <c r="CC74" s="167"/>
      <c r="CD74" s="167"/>
      <c r="CE74" s="167"/>
      <c r="CF74" s="167"/>
      <c r="CG74" s="167"/>
      <c r="CH74" s="167"/>
      <c r="CI74" s="167"/>
      <c r="CJ74" s="167"/>
      <c r="CK74" s="167"/>
      <c r="CL74" s="167"/>
      <c r="CM74" s="167"/>
      <c r="CN74" s="167"/>
      <c r="CO74" s="167"/>
      <c r="CP74" s="167"/>
      <c r="CQ74" s="167"/>
      <c r="CR74" s="167"/>
      <c r="CS74" s="167"/>
      <c r="CT74" s="167"/>
      <c r="CU74" s="167"/>
      <c r="CV74" s="167"/>
      <c r="CW74" s="167"/>
      <c r="CX74" s="167"/>
      <c r="CY74" s="167"/>
      <c r="CZ74" s="167"/>
      <c r="DA74" s="167"/>
      <c r="DB74" s="167"/>
      <c r="DC74" s="167"/>
      <c r="DD74" s="167"/>
      <c r="DE74" s="167"/>
      <c r="DF74" s="167"/>
      <c r="DG74" s="167"/>
      <c r="DH74" s="167"/>
      <c r="DI74" s="167"/>
      <c r="DJ74" s="167"/>
      <c r="DK74" s="167"/>
      <c r="DL74" s="167"/>
      <c r="DM74" s="167"/>
      <c r="DN74" s="167"/>
      <c r="DO74" s="167"/>
      <c r="DP74" s="167"/>
      <c r="DQ74" s="167"/>
      <c r="DR74" s="167"/>
      <c r="DS74" s="167"/>
      <c r="DT74" s="167"/>
      <c r="DU74" s="167"/>
      <c r="DV74" s="167"/>
      <c r="DW74" s="167"/>
      <c r="DX74" s="167"/>
      <c r="DY74" s="167"/>
      <c r="DZ74" s="167"/>
      <c r="EA74" s="167"/>
      <c r="EB74" s="167"/>
      <c r="EC74" s="167"/>
      <c r="ED74" s="167"/>
      <c r="EE74" s="167"/>
      <c r="EF74" s="167"/>
      <c r="EG74" s="167"/>
      <c r="EH74" s="167"/>
      <c r="EI74" s="167"/>
      <c r="EJ74" s="167"/>
      <c r="EK74" s="167"/>
      <c r="EL74" s="167"/>
      <c r="EM74" s="167"/>
      <c r="EN74" s="167"/>
      <c r="EO74" s="167"/>
      <c r="EP74" s="167"/>
      <c r="EQ74" s="167"/>
      <c r="ER74" s="167"/>
      <c r="ES74" s="167"/>
      <c r="ET74" s="167"/>
      <c r="EU74" s="167"/>
      <c r="EV74" s="167"/>
      <c r="EW74" s="167"/>
      <c r="EX74" s="167"/>
      <c r="EY74" s="167"/>
      <c r="EZ74" s="167"/>
      <c r="FA74" s="167"/>
      <c r="FB74" s="167"/>
      <c r="FC74" s="167"/>
      <c r="FD74" s="167"/>
      <c r="FE74" s="167"/>
      <c r="FF74" s="167"/>
      <c r="FG74" s="167"/>
      <c r="FH74" s="167"/>
      <c r="FI74" s="167"/>
      <c r="FJ74" s="167"/>
      <c r="FK74" s="167"/>
      <c r="FL74" s="167"/>
      <c r="FM74" s="167"/>
      <c r="FN74" s="167"/>
      <c r="FO74" s="167"/>
      <c r="FP74" s="167"/>
      <c r="FQ74" s="167"/>
      <c r="FR74" s="167"/>
      <c r="FS74" s="167"/>
      <c r="FT74" s="167"/>
      <c r="FU74" s="167"/>
      <c r="FV74" s="167"/>
      <c r="FW74" s="167"/>
      <c r="FX74" s="167"/>
      <c r="FY74" s="167"/>
      <c r="FZ74" s="167"/>
      <c r="GA74" s="167"/>
      <c r="GB74" s="167"/>
      <c r="GC74" s="167"/>
      <c r="GD74" s="167"/>
      <c r="GE74" s="167"/>
      <c r="GF74" s="167"/>
      <c r="GG74" s="167"/>
      <c r="GH74" s="167"/>
      <c r="GI74" s="167"/>
      <c r="GJ74" s="167"/>
      <c r="GK74" s="167"/>
      <c r="GL74" s="167"/>
      <c r="GM74" s="167"/>
      <c r="GN74" s="167"/>
      <c r="GO74" s="167"/>
      <c r="GP74" s="167"/>
    </row>
    <row r="75" spans="1:198" s="1057" customFormat="1" ht="16.5" customHeight="1">
      <c r="A75" s="165"/>
      <c r="B75" s="718"/>
      <c r="C75" s="165"/>
      <c r="D75" s="165"/>
      <c r="E75" s="623">
        <v>17</v>
      </c>
      <c r="F75" s="714" t="str">
        <f t="shared" ca="1" si="16"/>
        <v>1</v>
      </c>
      <c r="G75" s="566" t="s">
        <v>1444</v>
      </c>
      <c r="H75" s="167"/>
      <c r="I75" s="167"/>
      <c r="J75" s="167"/>
      <c r="K75" s="167"/>
      <c r="L75" s="167"/>
      <c r="M75" s="167"/>
      <c r="N75" s="167"/>
      <c r="O75" s="167"/>
      <c r="P75" s="167"/>
      <c r="Q75" s="130"/>
      <c r="R75" s="130"/>
      <c r="S75" s="167"/>
      <c r="T75" s="634" t="b">
        <f t="shared" ca="1" si="19"/>
        <v>1</v>
      </c>
      <c r="U75" s="1012"/>
      <c r="V75" s="1012"/>
      <c r="W75" s="1012"/>
      <c r="X75" s="1405"/>
      <c r="Y75" s="1012"/>
      <c r="Z75" s="1405"/>
      <c r="AA75" s="167"/>
      <c r="AB75" s="111" t="s">
        <v>373</v>
      </c>
      <c r="AC75" s="223" t="s">
        <v>1445</v>
      </c>
      <c r="AD75" s="434" t="s">
        <v>1446</v>
      </c>
      <c r="AE75" s="241"/>
      <c r="AF75" s="1121"/>
      <c r="AG75" s="1121"/>
      <c r="AH75" s="1142"/>
      <c r="AI75" s="1142"/>
      <c r="AJ75" s="1142"/>
      <c r="AK75" s="1142"/>
      <c r="AL75" s="1142"/>
      <c r="AM75" s="1142"/>
      <c r="AN75" s="1142"/>
      <c r="AO75" s="241"/>
      <c r="AP75" s="1121"/>
      <c r="AQ75" s="1121"/>
      <c r="AR75" s="1142"/>
      <c r="AS75" s="1142"/>
      <c r="AT75" s="1142"/>
      <c r="AU75" s="1142"/>
      <c r="AV75" s="1142"/>
      <c r="AW75" s="1142"/>
      <c r="AX75" s="1142"/>
      <c r="AY75" s="1106"/>
      <c r="AZ75" s="1106"/>
      <c r="BA75" s="1106"/>
      <c r="BB75" s="167"/>
      <c r="BC75" s="167"/>
      <c r="BD75" s="944" t="s">
        <v>1641</v>
      </c>
      <c r="BE75" s="944"/>
      <c r="BF75" s="944"/>
      <c r="BG75" s="945"/>
      <c r="BH75" s="945"/>
      <c r="BI75" s="167"/>
      <c r="BJ75" s="167"/>
      <c r="BK75" s="167"/>
      <c r="BL75" s="167"/>
      <c r="BM75" s="167"/>
      <c r="BN75" s="167"/>
      <c r="BO75" s="167"/>
      <c r="BP75" s="167"/>
      <c r="BQ75" s="167"/>
      <c r="BR75" s="167"/>
      <c r="BS75" s="167"/>
      <c r="BT75" s="167"/>
      <c r="BU75" s="167"/>
      <c r="BV75" s="167"/>
      <c r="BW75" s="167"/>
      <c r="BX75" s="167"/>
      <c r="BY75" s="167"/>
      <c r="BZ75" s="167"/>
      <c r="CA75" s="167"/>
      <c r="CB75" s="167"/>
      <c r="CC75" s="167"/>
      <c r="CD75" s="167"/>
      <c r="CE75" s="167"/>
      <c r="CF75" s="167"/>
      <c r="CG75" s="167"/>
      <c r="CH75" s="167"/>
      <c r="CI75" s="167"/>
      <c r="CJ75" s="167"/>
      <c r="CK75" s="167"/>
      <c r="CL75" s="167"/>
      <c r="CM75" s="167"/>
      <c r="CN75" s="167"/>
      <c r="CO75" s="167"/>
      <c r="CP75" s="167"/>
      <c r="CQ75" s="167"/>
      <c r="CR75" s="167"/>
      <c r="CS75" s="167"/>
      <c r="CT75" s="167"/>
      <c r="CU75" s="167"/>
      <c r="CV75" s="167"/>
      <c r="CW75" s="167"/>
      <c r="CX75" s="167"/>
      <c r="CY75" s="167"/>
      <c r="CZ75" s="167"/>
      <c r="DA75" s="167"/>
      <c r="DB75" s="167"/>
      <c r="DC75" s="167"/>
      <c r="DD75" s="167"/>
      <c r="DE75" s="167"/>
      <c r="DF75" s="167"/>
      <c r="DG75" s="167"/>
      <c r="DH75" s="167"/>
      <c r="DI75" s="167"/>
      <c r="DJ75" s="167"/>
      <c r="DK75" s="167"/>
      <c r="DL75" s="167"/>
      <c r="DM75" s="167"/>
      <c r="DN75" s="167"/>
      <c r="DO75" s="167"/>
      <c r="DP75" s="167"/>
      <c r="DQ75" s="167"/>
      <c r="DR75" s="167"/>
      <c r="DS75" s="167"/>
      <c r="DT75" s="167"/>
      <c r="DU75" s="167"/>
      <c r="DV75" s="167"/>
      <c r="DW75" s="167"/>
      <c r="DX75" s="167"/>
      <c r="DY75" s="167"/>
      <c r="DZ75" s="167"/>
      <c r="EA75" s="167"/>
      <c r="EB75" s="167"/>
      <c r="EC75" s="167"/>
      <c r="ED75" s="167"/>
      <c r="EE75" s="167"/>
      <c r="EF75" s="167"/>
      <c r="EG75" s="167"/>
      <c r="EH75" s="167"/>
      <c r="EI75" s="167"/>
      <c r="EJ75" s="167"/>
      <c r="EK75" s="167"/>
      <c r="EL75" s="167"/>
      <c r="EM75" s="167"/>
      <c r="EN75" s="167"/>
      <c r="EO75" s="167"/>
      <c r="EP75" s="167"/>
      <c r="EQ75" s="167"/>
      <c r="ER75" s="167"/>
      <c r="ES75" s="167"/>
      <c r="ET75" s="167"/>
      <c r="EU75" s="167"/>
      <c r="EV75" s="167"/>
      <c r="EW75" s="167"/>
      <c r="EX75" s="167"/>
      <c r="EY75" s="167"/>
      <c r="EZ75" s="167"/>
      <c r="FA75" s="167"/>
      <c r="FB75" s="167"/>
      <c r="FC75" s="167"/>
      <c r="FD75" s="167"/>
      <c r="FE75" s="167"/>
      <c r="FF75" s="167"/>
      <c r="FG75" s="167"/>
      <c r="FH75" s="167"/>
      <c r="FI75" s="167"/>
      <c r="FJ75" s="167"/>
      <c r="FK75" s="167"/>
      <c r="FL75" s="167"/>
      <c r="FM75" s="167"/>
      <c r="FN75" s="167"/>
      <c r="FO75" s="167"/>
      <c r="FP75" s="167"/>
      <c r="FQ75" s="167"/>
      <c r="FR75" s="167"/>
      <c r="FS75" s="167"/>
      <c r="FT75" s="167"/>
      <c r="FU75" s="167"/>
      <c r="FV75" s="167"/>
      <c r="FW75" s="167"/>
      <c r="FX75" s="167"/>
      <c r="FY75" s="167"/>
      <c r="FZ75" s="167"/>
      <c r="GA75" s="167"/>
      <c r="GB75" s="167"/>
      <c r="GC75" s="167"/>
      <c r="GD75" s="167"/>
      <c r="GE75" s="167"/>
      <c r="GF75" s="167"/>
      <c r="GG75" s="167"/>
      <c r="GH75" s="167"/>
      <c r="GI75" s="167"/>
      <c r="GJ75" s="167"/>
      <c r="GK75" s="167"/>
      <c r="GL75" s="167"/>
      <c r="GM75" s="167"/>
      <c r="GN75" s="167"/>
      <c r="GO75" s="167"/>
      <c r="GP75" s="167"/>
    </row>
    <row r="76" spans="1:198" s="1057" customFormat="1" ht="16.5" customHeight="1">
      <c r="A76" s="165"/>
      <c r="B76" s="718"/>
      <c r="C76" s="165"/>
      <c r="D76" s="165"/>
      <c r="E76" s="623">
        <v>17</v>
      </c>
      <c r="F76" s="714" t="str">
        <f t="shared" ca="1" si="16"/>
        <v>1</v>
      </c>
      <c r="G76" s="130" t="s">
        <v>1448</v>
      </c>
      <c r="H76" s="167"/>
      <c r="I76" s="167"/>
      <c r="J76" s="167"/>
      <c r="K76" s="167"/>
      <c r="L76" s="167"/>
      <c r="M76" s="167"/>
      <c r="N76" s="167"/>
      <c r="O76" s="167"/>
      <c r="P76" s="167"/>
      <c r="Q76" s="130"/>
      <c r="R76" s="130"/>
      <c r="S76" s="167"/>
      <c r="T76" s="634" t="b">
        <f t="shared" ca="1" si="19"/>
        <v>1</v>
      </c>
      <c r="U76" s="1012"/>
      <c r="V76" s="1012"/>
      <c r="W76" s="1012"/>
      <c r="X76" s="1405"/>
      <c r="Y76" s="1012"/>
      <c r="Z76" s="1405"/>
      <c r="AA76" s="167"/>
      <c r="AB76" s="111" t="s">
        <v>377</v>
      </c>
      <c r="AC76" s="223" t="s">
        <v>1449</v>
      </c>
      <c r="AD76" s="434" t="s">
        <v>491</v>
      </c>
      <c r="AE76" s="241"/>
      <c r="AF76" s="1121"/>
      <c r="AG76" s="1121"/>
      <c r="AH76" s="1142"/>
      <c r="AI76" s="1142"/>
      <c r="AJ76" s="1142"/>
      <c r="AK76" s="1142"/>
      <c r="AL76" s="1142"/>
      <c r="AM76" s="1142"/>
      <c r="AN76" s="1142"/>
      <c r="AO76" s="241"/>
      <c r="AP76" s="1121"/>
      <c r="AQ76" s="1121"/>
      <c r="AR76" s="1142"/>
      <c r="AS76" s="1142"/>
      <c r="AT76" s="1142"/>
      <c r="AU76" s="1142"/>
      <c r="AV76" s="1142"/>
      <c r="AW76" s="1142"/>
      <c r="AX76" s="1142"/>
      <c r="AY76" s="1106"/>
      <c r="AZ76" s="1106"/>
      <c r="BA76" s="1106"/>
      <c r="BB76" s="167"/>
      <c r="BC76" s="167"/>
      <c r="BD76" s="944" t="s">
        <v>1642</v>
      </c>
      <c r="BE76" s="944"/>
      <c r="BF76" s="944"/>
      <c r="BG76" s="945"/>
      <c r="BH76" s="945"/>
      <c r="BI76" s="167"/>
      <c r="BJ76" s="167"/>
      <c r="BK76" s="167"/>
      <c r="BL76" s="167"/>
      <c r="BM76" s="167"/>
      <c r="BN76" s="167"/>
      <c r="BO76" s="167"/>
      <c r="BP76" s="167"/>
      <c r="BQ76" s="167"/>
      <c r="BR76" s="167"/>
      <c r="BS76" s="167"/>
      <c r="BT76" s="167"/>
      <c r="BU76" s="167"/>
      <c r="BV76" s="167"/>
      <c r="BW76" s="167"/>
      <c r="BX76" s="167"/>
      <c r="BY76" s="167"/>
      <c r="BZ76" s="167"/>
      <c r="CA76" s="167"/>
      <c r="CB76" s="167"/>
      <c r="CC76" s="167"/>
      <c r="CD76" s="167"/>
      <c r="CE76" s="167"/>
      <c r="CF76" s="167"/>
      <c r="CG76" s="167"/>
      <c r="CH76" s="167"/>
      <c r="CI76" s="167"/>
      <c r="CJ76" s="167"/>
      <c r="CK76" s="167"/>
      <c r="CL76" s="167"/>
      <c r="CM76" s="167"/>
      <c r="CN76" s="167"/>
      <c r="CO76" s="167"/>
      <c r="CP76" s="167"/>
      <c r="CQ76" s="167"/>
      <c r="CR76" s="167"/>
      <c r="CS76" s="167"/>
      <c r="CT76" s="167"/>
      <c r="CU76" s="167"/>
      <c r="CV76" s="167"/>
      <c r="CW76" s="167"/>
      <c r="CX76" s="167"/>
      <c r="CY76" s="167"/>
      <c r="CZ76" s="167"/>
      <c r="DA76" s="167"/>
      <c r="DB76" s="167"/>
      <c r="DC76" s="167"/>
      <c r="DD76" s="167"/>
      <c r="DE76" s="167"/>
      <c r="DF76" s="167"/>
      <c r="DG76" s="167"/>
      <c r="DH76" s="167"/>
      <c r="DI76" s="167"/>
      <c r="DJ76" s="167"/>
      <c r="DK76" s="167"/>
      <c r="DL76" s="167"/>
      <c r="DM76" s="167"/>
      <c r="DN76" s="167"/>
      <c r="DO76" s="167"/>
      <c r="DP76" s="167"/>
      <c r="DQ76" s="167"/>
      <c r="DR76" s="167"/>
      <c r="DS76" s="167"/>
      <c r="DT76" s="167"/>
      <c r="DU76" s="167"/>
      <c r="DV76" s="167"/>
      <c r="DW76" s="167"/>
      <c r="DX76" s="167"/>
      <c r="DY76" s="167"/>
      <c r="DZ76" s="167"/>
      <c r="EA76" s="167"/>
      <c r="EB76" s="167"/>
      <c r="EC76" s="167"/>
      <c r="ED76" s="167"/>
      <c r="EE76" s="167"/>
      <c r="EF76" s="167"/>
      <c r="EG76" s="167"/>
      <c r="EH76" s="167"/>
      <c r="EI76" s="167"/>
      <c r="EJ76" s="167"/>
      <c r="EK76" s="167"/>
      <c r="EL76" s="167"/>
      <c r="EM76" s="167"/>
      <c r="EN76" s="167"/>
      <c r="EO76" s="167"/>
      <c r="EP76" s="167"/>
      <c r="EQ76" s="167"/>
      <c r="ER76" s="167"/>
      <c r="ES76" s="167"/>
      <c r="ET76" s="167"/>
      <c r="EU76" s="167"/>
      <c r="EV76" s="167"/>
      <c r="EW76" s="167"/>
      <c r="EX76" s="167"/>
      <c r="EY76" s="167"/>
      <c r="EZ76" s="167"/>
      <c r="FA76" s="167"/>
      <c r="FB76" s="167"/>
      <c r="FC76" s="167"/>
      <c r="FD76" s="167"/>
      <c r="FE76" s="167"/>
      <c r="FF76" s="167"/>
      <c r="FG76" s="167"/>
      <c r="FH76" s="167"/>
      <c r="FI76" s="167"/>
      <c r="FJ76" s="167"/>
      <c r="FK76" s="167"/>
      <c r="FL76" s="167"/>
      <c r="FM76" s="167"/>
      <c r="FN76" s="167"/>
      <c r="FO76" s="167"/>
      <c r="FP76" s="167"/>
      <c r="FQ76" s="167"/>
      <c r="FR76" s="167"/>
      <c r="FS76" s="167"/>
      <c r="FT76" s="167"/>
      <c r="FU76" s="167"/>
      <c r="FV76" s="167"/>
      <c r="FW76" s="167"/>
      <c r="FX76" s="167"/>
      <c r="FY76" s="167"/>
      <c r="FZ76" s="167"/>
      <c r="GA76" s="167"/>
      <c r="GB76" s="167"/>
      <c r="GC76" s="167"/>
      <c r="GD76" s="167"/>
      <c r="GE76" s="167"/>
      <c r="GF76" s="167"/>
      <c r="GG76" s="167"/>
      <c r="GH76" s="167"/>
      <c r="GI76" s="167"/>
      <c r="GJ76" s="167"/>
      <c r="GK76" s="167"/>
      <c r="GL76" s="167"/>
      <c r="GM76" s="167"/>
      <c r="GN76" s="167"/>
      <c r="GO76" s="167"/>
      <c r="GP76" s="167"/>
    </row>
    <row r="77" spans="1:198" s="1255" customFormat="1" ht="16.5" customHeight="1">
      <c r="A77" s="172"/>
      <c r="B77" s="172"/>
      <c r="C77" s="172"/>
      <c r="D77" s="172"/>
      <c r="E77" s="623">
        <v>17</v>
      </c>
      <c r="F77" s="714" t="str">
        <f t="shared" ca="1" si="16"/>
        <v>1</v>
      </c>
      <c r="G77" s="566" t="s">
        <v>1451</v>
      </c>
      <c r="H77" s="172"/>
      <c r="I77" s="172"/>
      <c r="J77" s="172"/>
      <c r="K77" s="172"/>
      <c r="L77" s="172"/>
      <c r="M77" s="172"/>
      <c r="N77" s="172"/>
      <c r="O77" s="172"/>
      <c r="P77" s="172"/>
      <c r="Q77" s="172"/>
      <c r="R77" s="172"/>
      <c r="S77" s="172"/>
      <c r="T77" s="634" t="b">
        <f t="shared" ca="1" si="19"/>
        <v>1</v>
      </c>
      <c r="U77" s="172"/>
      <c r="V77" s="172"/>
      <c r="W77" s="172"/>
      <c r="X77" s="1499"/>
      <c r="Y77" s="172"/>
      <c r="Z77" s="1499"/>
      <c r="AA77" s="172"/>
      <c r="AB77" s="111" t="s">
        <v>381</v>
      </c>
      <c r="AC77" s="223" t="s">
        <v>1452</v>
      </c>
      <c r="AD77" s="434" t="s">
        <v>1446</v>
      </c>
      <c r="AE77" s="241">
        <f t="shared" ref="AE77:AX77" si="24">IFERROR((AE55-AE74*AE75)/AE76,0)</f>
        <v>0</v>
      </c>
      <c r="AF77" s="1121">
        <f t="shared" si="24"/>
        <v>0</v>
      </c>
      <c r="AG77" s="1121">
        <f t="shared" si="24"/>
        <v>0</v>
      </c>
      <c r="AH77" s="1142">
        <f t="shared" si="24"/>
        <v>0</v>
      </c>
      <c r="AI77" s="1142">
        <f t="shared" si="24"/>
        <v>0</v>
      </c>
      <c r="AJ77" s="1142">
        <f t="shared" si="24"/>
        <v>0</v>
      </c>
      <c r="AK77" s="1142">
        <f t="shared" si="24"/>
        <v>0</v>
      </c>
      <c r="AL77" s="1142">
        <f t="shared" si="24"/>
        <v>0</v>
      </c>
      <c r="AM77" s="1142">
        <f t="shared" si="24"/>
        <v>0</v>
      </c>
      <c r="AN77" s="1142">
        <f t="shared" si="24"/>
        <v>0</v>
      </c>
      <c r="AO77" s="241">
        <f t="shared" si="24"/>
        <v>0</v>
      </c>
      <c r="AP77" s="1121">
        <f t="shared" si="24"/>
        <v>0</v>
      </c>
      <c r="AQ77" s="1121">
        <f t="shared" si="24"/>
        <v>0</v>
      </c>
      <c r="AR77" s="1142">
        <f t="shared" si="24"/>
        <v>0</v>
      </c>
      <c r="AS77" s="1142">
        <f t="shared" si="24"/>
        <v>0</v>
      </c>
      <c r="AT77" s="1142">
        <f t="shared" si="24"/>
        <v>0</v>
      </c>
      <c r="AU77" s="1142">
        <f t="shared" si="24"/>
        <v>0</v>
      </c>
      <c r="AV77" s="1142">
        <f t="shared" si="24"/>
        <v>0</v>
      </c>
      <c r="AW77" s="1142">
        <f t="shared" si="24"/>
        <v>0</v>
      </c>
      <c r="AX77" s="1142">
        <f t="shared" si="24"/>
        <v>0</v>
      </c>
      <c r="AY77" s="1106"/>
      <c r="AZ77" s="1106"/>
      <c r="BA77" s="1106"/>
      <c r="BB77" s="172"/>
      <c r="BC77" s="172"/>
      <c r="BD77" s="944" t="s">
        <v>1643</v>
      </c>
      <c r="BE77" s="944"/>
      <c r="BF77" s="952"/>
      <c r="BG77" s="953"/>
      <c r="BH77" s="953"/>
      <c r="BI77" s="172"/>
      <c r="BJ77" s="172"/>
      <c r="BK77" s="172"/>
      <c r="BL77" s="172"/>
      <c r="BM77" s="172"/>
      <c r="BN77" s="172"/>
      <c r="BO77" s="172"/>
      <c r="BP77" s="172"/>
      <c r="BQ77" s="172"/>
      <c r="BR77" s="172"/>
      <c r="BS77" s="172"/>
      <c r="BT77" s="172"/>
      <c r="BU77" s="172"/>
      <c r="BV77" s="172"/>
      <c r="BW77" s="172"/>
      <c r="BX77" s="172"/>
      <c r="BY77" s="172"/>
      <c r="BZ77" s="172"/>
      <c r="CA77" s="172"/>
      <c r="CB77" s="172"/>
      <c r="CC77" s="172"/>
      <c r="CD77" s="172"/>
      <c r="CE77" s="172"/>
      <c r="CF77" s="172"/>
      <c r="CG77" s="172"/>
      <c r="CH77" s="172"/>
      <c r="CI77" s="172"/>
      <c r="CJ77" s="172"/>
      <c r="CK77" s="172"/>
      <c r="CL77" s="172"/>
      <c r="CM77" s="172"/>
      <c r="CN77" s="172"/>
      <c r="CO77" s="172"/>
      <c r="CP77" s="172"/>
      <c r="CQ77" s="172"/>
      <c r="CR77" s="172"/>
      <c r="CS77" s="172"/>
      <c r="CT77" s="172"/>
      <c r="CU77" s="172"/>
      <c r="CV77" s="172"/>
      <c r="CW77" s="172"/>
      <c r="CX77" s="172"/>
      <c r="CY77" s="172"/>
      <c r="CZ77" s="172"/>
      <c r="DA77" s="172"/>
      <c r="DB77" s="172"/>
      <c r="DC77" s="172"/>
      <c r="DD77" s="172"/>
      <c r="DE77" s="172"/>
      <c r="DF77" s="172"/>
      <c r="DG77" s="172"/>
      <c r="DH77" s="172"/>
      <c r="DI77" s="172"/>
      <c r="DJ77" s="172"/>
      <c r="DK77" s="172"/>
      <c r="DL77" s="172"/>
      <c r="DM77" s="172"/>
      <c r="DN77" s="172"/>
      <c r="DO77" s="172"/>
      <c r="DP77" s="172"/>
      <c r="DQ77" s="172"/>
      <c r="DR77" s="172"/>
      <c r="DS77" s="172"/>
      <c r="DT77" s="172"/>
      <c r="DU77" s="172"/>
      <c r="DV77" s="172"/>
      <c r="DW77" s="172"/>
      <c r="DX77" s="172"/>
      <c r="DY77" s="172"/>
      <c r="DZ77" s="172"/>
      <c r="EA77" s="172"/>
      <c r="EB77" s="172"/>
      <c r="EC77" s="172"/>
      <c r="ED77" s="172"/>
      <c r="EE77" s="172"/>
      <c r="EF77" s="172"/>
      <c r="EG77" s="172"/>
      <c r="EH77" s="172"/>
      <c r="EI77" s="172"/>
      <c r="EJ77" s="172"/>
      <c r="EK77" s="172"/>
      <c r="EL77" s="172"/>
      <c r="EM77" s="172"/>
      <c r="EN77" s="172"/>
      <c r="EO77" s="172"/>
      <c r="EP77" s="172"/>
      <c r="EQ77" s="172"/>
      <c r="ER77" s="172"/>
      <c r="ES77" s="172"/>
      <c r="ET77" s="172"/>
      <c r="EU77" s="172"/>
      <c r="EV77" s="172"/>
      <c r="EW77" s="172"/>
      <c r="EX77" s="172"/>
      <c r="EY77" s="172"/>
      <c r="EZ77" s="172"/>
      <c r="FA77" s="172"/>
      <c r="FB77" s="172"/>
      <c r="FC77" s="172"/>
      <c r="FD77" s="172"/>
      <c r="FE77" s="172"/>
      <c r="FF77" s="172"/>
      <c r="FG77" s="172"/>
      <c r="FH77" s="172"/>
      <c r="FI77" s="172"/>
      <c r="FJ77" s="172"/>
      <c r="FK77" s="172"/>
      <c r="FL77" s="172"/>
      <c r="FM77" s="172"/>
      <c r="FN77" s="172"/>
      <c r="FO77" s="172"/>
      <c r="FP77" s="172"/>
      <c r="FQ77" s="172"/>
      <c r="FR77" s="172"/>
      <c r="FS77" s="172"/>
      <c r="FT77" s="172"/>
      <c r="FU77" s="172"/>
      <c r="FV77" s="172"/>
      <c r="FW77" s="172"/>
      <c r="FX77" s="172"/>
      <c r="FY77" s="172"/>
      <c r="FZ77" s="172"/>
      <c r="GA77" s="172"/>
      <c r="GB77" s="172"/>
      <c r="GC77" s="172"/>
      <c r="GD77" s="172"/>
      <c r="GE77" s="172"/>
      <c r="GF77" s="172"/>
      <c r="GG77" s="172"/>
      <c r="GH77" s="172"/>
      <c r="GI77" s="172"/>
      <c r="GJ77" s="172"/>
      <c r="GK77" s="172"/>
      <c r="GL77" s="172"/>
      <c r="GM77" s="172"/>
      <c r="GN77" s="172"/>
      <c r="GO77" s="172"/>
      <c r="GP77" s="172"/>
    </row>
    <row r="78" spans="1:198" s="1256" customFormat="1" ht="16.5" customHeight="1">
      <c r="A78" s="172"/>
      <c r="B78" s="172"/>
      <c r="C78" s="172"/>
      <c r="D78" s="172"/>
      <c r="E78" s="623">
        <v>17</v>
      </c>
      <c r="F78" s="714" t="str">
        <f t="shared" ca="1" si="16"/>
        <v>1</v>
      </c>
      <c r="G78" s="172"/>
      <c r="H78" s="172"/>
      <c r="I78" s="172"/>
      <c r="J78" s="172"/>
      <c r="K78" s="172"/>
      <c r="L78" s="172"/>
      <c r="M78" s="172"/>
      <c r="N78" s="172"/>
      <c r="O78" s="172"/>
      <c r="P78" s="172"/>
      <c r="Q78" s="172"/>
      <c r="R78" s="172"/>
      <c r="S78" s="172"/>
      <c r="T78" s="634" t="b">
        <f t="shared" ca="1" si="19"/>
        <v>1</v>
      </c>
      <c r="U78" s="172"/>
      <c r="V78" s="172"/>
      <c r="W78" s="172"/>
      <c r="X78" s="1499"/>
      <c r="Y78" s="172"/>
      <c r="Z78" s="1499"/>
      <c r="AA78" s="172"/>
      <c r="AB78" s="111" t="s">
        <v>1363</v>
      </c>
      <c r="AC78" s="102" t="s">
        <v>1644</v>
      </c>
      <c r="AD78" s="434" t="s">
        <v>388</v>
      </c>
      <c r="AE78" s="505">
        <f t="shared" ref="AE78:AX78" si="25">IFERROR(AE77/AE75,0)</f>
        <v>0</v>
      </c>
      <c r="AF78" s="505">
        <f t="shared" si="25"/>
        <v>0</v>
      </c>
      <c r="AG78" s="505">
        <f t="shared" si="25"/>
        <v>0</v>
      </c>
      <c r="AH78" s="505">
        <f t="shared" si="25"/>
        <v>0</v>
      </c>
      <c r="AI78" s="505">
        <f t="shared" si="25"/>
        <v>0</v>
      </c>
      <c r="AJ78" s="505">
        <f t="shared" si="25"/>
        <v>0</v>
      </c>
      <c r="AK78" s="505">
        <f t="shared" si="25"/>
        <v>0</v>
      </c>
      <c r="AL78" s="505">
        <f t="shared" si="25"/>
        <v>0</v>
      </c>
      <c r="AM78" s="505">
        <f t="shared" si="25"/>
        <v>0</v>
      </c>
      <c r="AN78" s="505">
        <f t="shared" si="25"/>
        <v>0</v>
      </c>
      <c r="AO78" s="505">
        <f t="shared" si="25"/>
        <v>0</v>
      </c>
      <c r="AP78" s="505">
        <f t="shared" si="25"/>
        <v>0</v>
      </c>
      <c r="AQ78" s="505">
        <f t="shared" si="25"/>
        <v>0</v>
      </c>
      <c r="AR78" s="505">
        <f t="shared" si="25"/>
        <v>0</v>
      </c>
      <c r="AS78" s="505">
        <f t="shared" si="25"/>
        <v>0</v>
      </c>
      <c r="AT78" s="505">
        <f t="shared" si="25"/>
        <v>0</v>
      </c>
      <c r="AU78" s="505">
        <f t="shared" si="25"/>
        <v>0</v>
      </c>
      <c r="AV78" s="505">
        <f t="shared" si="25"/>
        <v>0</v>
      </c>
      <c r="AW78" s="505">
        <f t="shared" si="25"/>
        <v>0</v>
      </c>
      <c r="AX78" s="505">
        <f t="shared" si="25"/>
        <v>0</v>
      </c>
      <c r="AY78" s="1106"/>
      <c r="AZ78" s="1106"/>
      <c r="BA78" s="1106"/>
      <c r="BB78" s="172"/>
      <c r="BC78" s="172"/>
      <c r="BD78" s="944" t="s">
        <v>1645</v>
      </c>
      <c r="BE78" s="944"/>
      <c r="BF78" s="944"/>
      <c r="BG78" s="945"/>
      <c r="BH78" s="945"/>
      <c r="BI78" s="172"/>
      <c r="BJ78" s="172"/>
      <c r="BK78" s="172"/>
      <c r="BL78" s="172"/>
      <c r="BM78" s="172"/>
      <c r="BN78" s="172"/>
      <c r="BO78" s="172"/>
      <c r="BP78" s="172"/>
      <c r="BQ78" s="172"/>
      <c r="BR78" s="172"/>
      <c r="BS78" s="172"/>
      <c r="BT78" s="172"/>
      <c r="BU78" s="172"/>
      <c r="BV78" s="172"/>
      <c r="BW78" s="172"/>
      <c r="BX78" s="172"/>
      <c r="BY78" s="172"/>
      <c r="BZ78" s="172"/>
      <c r="CA78" s="172"/>
      <c r="CB78" s="172"/>
      <c r="CC78" s="172"/>
      <c r="CD78" s="172"/>
      <c r="CE78" s="172"/>
      <c r="CF78" s="172"/>
      <c r="CG78" s="172"/>
      <c r="CH78" s="172"/>
      <c r="CI78" s="172"/>
      <c r="CJ78" s="172"/>
      <c r="CK78" s="172"/>
      <c r="CL78" s="172"/>
      <c r="CM78" s="172"/>
      <c r="CN78" s="172"/>
      <c r="CO78" s="172"/>
      <c r="CP78" s="172"/>
      <c r="CQ78" s="172"/>
      <c r="CR78" s="172"/>
      <c r="CS78" s="172"/>
      <c r="CT78" s="172"/>
      <c r="CU78" s="172"/>
      <c r="CV78" s="172"/>
      <c r="CW78" s="172"/>
      <c r="CX78" s="172"/>
      <c r="CY78" s="172"/>
      <c r="CZ78" s="172"/>
      <c r="DA78" s="172"/>
      <c r="DB78" s="172"/>
      <c r="DC78" s="172"/>
      <c r="DD78" s="172"/>
      <c r="DE78" s="172"/>
      <c r="DF78" s="172"/>
      <c r="DG78" s="172"/>
      <c r="DH78" s="172"/>
      <c r="DI78" s="172"/>
      <c r="DJ78" s="172"/>
      <c r="DK78" s="172"/>
      <c r="DL78" s="172"/>
      <c r="DM78" s="172"/>
      <c r="DN78" s="172"/>
      <c r="DO78" s="172"/>
      <c r="DP78" s="172"/>
      <c r="DQ78" s="172"/>
      <c r="DR78" s="172"/>
      <c r="DS78" s="172"/>
      <c r="DT78" s="172"/>
      <c r="DU78" s="172"/>
      <c r="DV78" s="172"/>
      <c r="DW78" s="172"/>
      <c r="DX78" s="172"/>
      <c r="DY78" s="172"/>
      <c r="DZ78" s="172"/>
      <c r="EA78" s="172"/>
      <c r="EB78" s="172"/>
      <c r="EC78" s="172"/>
      <c r="ED78" s="172"/>
      <c r="EE78" s="172"/>
      <c r="EF78" s="172"/>
      <c r="EG78" s="172"/>
      <c r="EH78" s="172"/>
      <c r="EI78" s="172"/>
      <c r="EJ78" s="172"/>
      <c r="EK78" s="172"/>
      <c r="EL78" s="172"/>
      <c r="EM78" s="172"/>
      <c r="EN78" s="172"/>
      <c r="EO78" s="172"/>
      <c r="EP78" s="172"/>
      <c r="EQ78" s="172"/>
      <c r="ER78" s="172"/>
      <c r="ES78" s="172"/>
      <c r="ET78" s="172"/>
      <c r="EU78" s="172"/>
      <c r="EV78" s="172"/>
      <c r="EW78" s="172"/>
      <c r="EX78" s="172"/>
      <c r="EY78" s="172"/>
      <c r="EZ78" s="172"/>
      <c r="FA78" s="172"/>
      <c r="FB78" s="172"/>
      <c r="FC78" s="172"/>
      <c r="FD78" s="172"/>
      <c r="FE78" s="172"/>
      <c r="FF78" s="172"/>
      <c r="FG78" s="172"/>
      <c r="FH78" s="172"/>
      <c r="FI78" s="172"/>
      <c r="FJ78" s="172"/>
      <c r="FK78" s="172"/>
      <c r="FL78" s="172"/>
      <c r="FM78" s="172"/>
      <c r="FN78" s="172"/>
      <c r="FO78" s="172"/>
      <c r="FP78" s="172"/>
      <c r="FQ78" s="172"/>
      <c r="FR78" s="172"/>
      <c r="FS78" s="172"/>
      <c r="FT78" s="172"/>
      <c r="FU78" s="172"/>
      <c r="FV78" s="172"/>
      <c r="FW78" s="172"/>
      <c r="FX78" s="172"/>
      <c r="FY78" s="172"/>
      <c r="FZ78" s="172"/>
      <c r="GA78" s="172"/>
      <c r="GB78" s="172"/>
      <c r="GC78" s="172"/>
      <c r="GD78" s="172"/>
      <c r="GE78" s="172"/>
      <c r="GF78" s="172"/>
      <c r="GG78" s="172"/>
      <c r="GH78" s="172"/>
      <c r="GI78" s="172"/>
      <c r="GJ78" s="172"/>
      <c r="GK78" s="172"/>
      <c r="GL78" s="172"/>
      <c r="GM78" s="172"/>
      <c r="GN78" s="172"/>
      <c r="GO78" s="172"/>
      <c r="GP78" s="172"/>
    </row>
    <row r="79" spans="1:198" s="1057" customFormat="1" ht="16.5" customHeight="1">
      <c r="A79" s="165"/>
      <c r="B79" s="718"/>
      <c r="C79" s="165"/>
      <c r="D79" s="165"/>
      <c r="E79" s="623">
        <v>17</v>
      </c>
      <c r="F79" s="714" t="str">
        <f t="shared" ca="1" si="16"/>
        <v>1</v>
      </c>
      <c r="G79" s="167"/>
      <c r="H79" s="167"/>
      <c r="I79" s="167"/>
      <c r="J79" s="167"/>
      <c r="K79" s="167"/>
      <c r="L79" s="167"/>
      <c r="M79" s="167"/>
      <c r="N79" s="167"/>
      <c r="O79" s="167"/>
      <c r="P79" s="167"/>
      <c r="Q79" s="130"/>
      <c r="R79" s="130"/>
      <c r="S79" s="167"/>
      <c r="T79" s="634" t="b">
        <f t="shared" ca="1" si="19"/>
        <v>1</v>
      </c>
      <c r="U79" s="1012"/>
      <c r="V79" s="1012"/>
      <c r="W79" s="1012"/>
      <c r="X79" s="1405"/>
      <c r="Y79" s="1012"/>
      <c r="Z79" s="1405"/>
      <c r="AA79" s="167"/>
      <c r="AB79" s="111" t="s">
        <v>1601</v>
      </c>
      <c r="AC79" s="102" t="s">
        <v>1646</v>
      </c>
      <c r="AD79" s="434" t="s">
        <v>1446</v>
      </c>
      <c r="AE79" s="540">
        <f t="shared" ref="AE79:AX79" si="26">IFERROR(AE55/(AE74+AE76),0)</f>
        <v>0</v>
      </c>
      <c r="AF79" s="1253">
        <f t="shared" si="26"/>
        <v>0</v>
      </c>
      <c r="AG79" s="1253">
        <f t="shared" si="26"/>
        <v>0</v>
      </c>
      <c r="AH79" s="1257">
        <f t="shared" si="26"/>
        <v>0</v>
      </c>
      <c r="AI79" s="1257">
        <f t="shared" si="26"/>
        <v>0</v>
      </c>
      <c r="AJ79" s="1257">
        <f t="shared" si="26"/>
        <v>0</v>
      </c>
      <c r="AK79" s="1257">
        <f t="shared" si="26"/>
        <v>0</v>
      </c>
      <c r="AL79" s="1257">
        <f t="shared" si="26"/>
        <v>0</v>
      </c>
      <c r="AM79" s="1257">
        <f t="shared" si="26"/>
        <v>0</v>
      </c>
      <c r="AN79" s="1257">
        <f t="shared" si="26"/>
        <v>0</v>
      </c>
      <c r="AO79" s="540">
        <f t="shared" si="26"/>
        <v>0</v>
      </c>
      <c r="AP79" s="1253">
        <f t="shared" si="26"/>
        <v>0</v>
      </c>
      <c r="AQ79" s="1253">
        <f t="shared" si="26"/>
        <v>0</v>
      </c>
      <c r="AR79" s="1257">
        <f t="shared" si="26"/>
        <v>0</v>
      </c>
      <c r="AS79" s="1257">
        <f t="shared" si="26"/>
        <v>0</v>
      </c>
      <c r="AT79" s="1257">
        <f t="shared" si="26"/>
        <v>0</v>
      </c>
      <c r="AU79" s="1257">
        <f t="shared" si="26"/>
        <v>0</v>
      </c>
      <c r="AV79" s="1257">
        <f t="shared" si="26"/>
        <v>0</v>
      </c>
      <c r="AW79" s="1257">
        <f t="shared" si="26"/>
        <v>0</v>
      </c>
      <c r="AX79" s="1257">
        <f t="shared" si="26"/>
        <v>0</v>
      </c>
      <c r="AY79" s="1106"/>
      <c r="AZ79" s="1106"/>
      <c r="BA79" s="1106"/>
      <c r="BB79" s="167"/>
      <c r="BC79" s="167"/>
      <c r="BD79" s="944" t="s">
        <v>1647</v>
      </c>
      <c r="BE79" s="944"/>
      <c r="BF79" s="944"/>
      <c r="BG79" s="945"/>
      <c r="BH79" s="945"/>
      <c r="BI79" s="167"/>
      <c r="BJ79" s="167"/>
      <c r="BK79" s="167"/>
      <c r="BL79" s="167"/>
      <c r="BM79" s="167"/>
      <c r="BN79" s="167"/>
      <c r="BO79" s="167"/>
      <c r="BP79" s="167"/>
      <c r="BQ79" s="167"/>
      <c r="BR79" s="167"/>
      <c r="BS79" s="167"/>
      <c r="BT79" s="167"/>
      <c r="BU79" s="167"/>
      <c r="BV79" s="167"/>
      <c r="BW79" s="167"/>
      <c r="BX79" s="167"/>
      <c r="BY79" s="167"/>
      <c r="BZ79" s="167"/>
      <c r="CA79" s="167"/>
      <c r="CB79" s="167"/>
      <c r="CC79" s="167"/>
      <c r="CD79" s="167"/>
      <c r="CE79" s="167"/>
      <c r="CF79" s="167"/>
      <c r="CG79" s="167"/>
      <c r="CH79" s="167"/>
      <c r="CI79" s="167"/>
      <c r="CJ79" s="167"/>
      <c r="CK79" s="167"/>
      <c r="CL79" s="167"/>
      <c r="CM79" s="167"/>
      <c r="CN79" s="167"/>
      <c r="CO79" s="167"/>
      <c r="CP79" s="167"/>
      <c r="CQ79" s="167"/>
      <c r="CR79" s="167"/>
      <c r="CS79" s="167"/>
      <c r="CT79" s="167"/>
      <c r="CU79" s="167"/>
      <c r="CV79" s="167"/>
      <c r="CW79" s="167"/>
      <c r="CX79" s="167"/>
      <c r="CY79" s="167"/>
      <c r="CZ79" s="167"/>
      <c r="DA79" s="167"/>
      <c r="DB79" s="167"/>
      <c r="DC79" s="167"/>
      <c r="DD79" s="167"/>
      <c r="DE79" s="167"/>
      <c r="DF79" s="167"/>
      <c r="DG79" s="167"/>
      <c r="DH79" s="167"/>
      <c r="DI79" s="167"/>
      <c r="DJ79" s="167"/>
      <c r="DK79" s="167"/>
      <c r="DL79" s="167"/>
      <c r="DM79" s="167"/>
      <c r="DN79" s="167"/>
      <c r="DO79" s="167"/>
      <c r="DP79" s="167"/>
      <c r="DQ79" s="167"/>
      <c r="DR79" s="167"/>
      <c r="DS79" s="167"/>
      <c r="DT79" s="167"/>
      <c r="DU79" s="167"/>
      <c r="DV79" s="167"/>
      <c r="DW79" s="167"/>
      <c r="DX79" s="167"/>
      <c r="DY79" s="167"/>
      <c r="DZ79" s="167"/>
      <c r="EA79" s="167"/>
      <c r="EB79" s="167"/>
      <c r="EC79" s="167"/>
      <c r="ED79" s="167"/>
      <c r="EE79" s="167"/>
      <c r="EF79" s="167"/>
      <c r="EG79" s="167"/>
      <c r="EH79" s="167"/>
      <c r="EI79" s="167"/>
      <c r="EJ79" s="167"/>
      <c r="EK79" s="167"/>
      <c r="EL79" s="167"/>
      <c r="EM79" s="167"/>
      <c r="EN79" s="167"/>
      <c r="EO79" s="167"/>
      <c r="EP79" s="167"/>
      <c r="EQ79" s="167"/>
      <c r="ER79" s="167"/>
      <c r="ES79" s="167"/>
      <c r="ET79" s="167"/>
      <c r="EU79" s="167"/>
      <c r="EV79" s="167"/>
      <c r="EW79" s="167"/>
      <c r="EX79" s="167"/>
      <c r="EY79" s="167"/>
      <c r="EZ79" s="167"/>
      <c r="FA79" s="167"/>
      <c r="FB79" s="167"/>
      <c r="FC79" s="167"/>
      <c r="FD79" s="167"/>
      <c r="FE79" s="167"/>
      <c r="FF79" s="167"/>
      <c r="FG79" s="167"/>
      <c r="FH79" s="167"/>
      <c r="FI79" s="167"/>
      <c r="FJ79" s="167"/>
      <c r="FK79" s="167"/>
      <c r="FL79" s="167"/>
      <c r="FM79" s="167"/>
      <c r="FN79" s="167"/>
      <c r="FO79" s="167"/>
      <c r="FP79" s="167"/>
      <c r="FQ79" s="167"/>
      <c r="FR79" s="167"/>
      <c r="FS79" s="167"/>
      <c r="FT79" s="167"/>
      <c r="FU79" s="167"/>
      <c r="FV79" s="167"/>
      <c r="FW79" s="167"/>
      <c r="FX79" s="167"/>
      <c r="FY79" s="167"/>
      <c r="FZ79" s="167"/>
      <c r="GA79" s="167"/>
      <c r="GB79" s="167"/>
      <c r="GC79" s="167"/>
      <c r="GD79" s="167"/>
      <c r="GE79" s="167"/>
      <c r="GF79" s="167"/>
      <c r="GG79" s="167"/>
      <c r="GH79" s="167"/>
      <c r="GI79" s="167"/>
      <c r="GJ79" s="167"/>
      <c r="GK79" s="167"/>
      <c r="GL79" s="167"/>
      <c r="GM79" s="167"/>
      <c r="GN79" s="167"/>
      <c r="GO79" s="167"/>
      <c r="GP79" s="167"/>
    </row>
    <row r="80" spans="1:198" s="1057" customFormat="1" ht="33.75" customHeight="1">
      <c r="A80" s="165"/>
      <c r="B80" s="718"/>
      <c r="C80" s="165"/>
      <c r="D80" s="165"/>
      <c r="E80" s="623">
        <v>35</v>
      </c>
      <c r="F80" s="714" t="str">
        <f t="shared" ca="1" si="16"/>
        <v>1</v>
      </c>
      <c r="G80" s="167"/>
      <c r="H80" s="167"/>
      <c r="I80" s="167"/>
      <c r="J80" s="167"/>
      <c r="K80" s="167"/>
      <c r="L80" s="167"/>
      <c r="M80" s="167"/>
      <c r="N80" s="167"/>
      <c r="O80" s="167"/>
      <c r="P80" s="167"/>
      <c r="Q80" s="130"/>
      <c r="R80" s="130"/>
      <c r="S80" s="167"/>
      <c r="T80" s="634" t="b">
        <f t="shared" ca="1" si="19"/>
        <v>1</v>
      </c>
      <c r="U80" s="1012"/>
      <c r="V80" s="1012"/>
      <c r="W80" s="1012"/>
      <c r="X80" s="1405"/>
      <c r="Y80" s="1012"/>
      <c r="Z80" s="1405"/>
      <c r="AA80" s="167"/>
      <c r="AB80" s="111" t="s">
        <v>520</v>
      </c>
      <c r="AC80" s="249" t="s">
        <v>1459</v>
      </c>
      <c r="AD80" s="440" t="s">
        <v>1204</v>
      </c>
      <c r="AE80" s="241"/>
      <c r="AF80" s="1121"/>
      <c r="AG80" s="1121"/>
      <c r="AH80" s="1142"/>
      <c r="AI80" s="1142"/>
      <c r="AJ80" s="1142"/>
      <c r="AK80" s="1142"/>
      <c r="AL80" s="1142"/>
      <c r="AM80" s="1142"/>
      <c r="AN80" s="1142"/>
      <c r="AO80" s="241"/>
      <c r="AP80" s="1121"/>
      <c r="AQ80" s="1121"/>
      <c r="AR80" s="1142"/>
      <c r="AS80" s="1142"/>
      <c r="AT80" s="1142"/>
      <c r="AU80" s="1142"/>
      <c r="AV80" s="1142"/>
      <c r="AW80" s="1142"/>
      <c r="AX80" s="1142"/>
      <c r="AY80" s="1106"/>
      <c r="AZ80" s="1106"/>
      <c r="BA80" s="1106"/>
      <c r="BB80" s="167"/>
      <c r="BC80" s="167"/>
      <c r="BD80" s="944" t="s">
        <v>1460</v>
      </c>
      <c r="BE80" s="944"/>
      <c r="BF80" s="944"/>
      <c r="BG80" s="945"/>
      <c r="BH80" s="945"/>
      <c r="BI80" s="167"/>
      <c r="BJ80" s="167"/>
      <c r="BK80" s="167"/>
      <c r="BL80" s="167"/>
      <c r="BM80" s="167"/>
      <c r="BN80" s="167"/>
      <c r="BO80" s="167"/>
      <c r="BP80" s="167"/>
      <c r="BQ80" s="167"/>
      <c r="BR80" s="167"/>
      <c r="BS80" s="167"/>
      <c r="BT80" s="167"/>
      <c r="BU80" s="167"/>
      <c r="BV80" s="167"/>
      <c r="BW80" s="167"/>
      <c r="BX80" s="167"/>
      <c r="BY80" s="167"/>
      <c r="BZ80" s="167"/>
      <c r="CA80" s="167"/>
      <c r="CB80" s="167"/>
      <c r="CC80" s="167"/>
      <c r="CD80" s="167"/>
      <c r="CE80" s="167"/>
      <c r="CF80" s="167"/>
      <c r="CG80" s="167"/>
      <c r="CH80" s="167"/>
      <c r="CI80" s="167"/>
      <c r="CJ80" s="167"/>
      <c r="CK80" s="167"/>
      <c r="CL80" s="167"/>
      <c r="CM80" s="167"/>
      <c r="CN80" s="167"/>
      <c r="CO80" s="167"/>
      <c r="CP80" s="167"/>
      <c r="CQ80" s="167"/>
      <c r="CR80" s="167"/>
      <c r="CS80" s="167"/>
      <c r="CT80" s="167"/>
      <c r="CU80" s="167"/>
      <c r="CV80" s="167"/>
      <c r="CW80" s="167"/>
      <c r="CX80" s="167"/>
      <c r="CY80" s="167"/>
      <c r="CZ80" s="167"/>
      <c r="DA80" s="167"/>
      <c r="DB80" s="167"/>
      <c r="DC80" s="167"/>
      <c r="DD80" s="167"/>
      <c r="DE80" s="167"/>
      <c r="DF80" s="167"/>
      <c r="DG80" s="167"/>
      <c r="DH80" s="167"/>
      <c r="DI80" s="167"/>
      <c r="DJ80" s="167"/>
      <c r="DK80" s="167"/>
      <c r="DL80" s="167"/>
      <c r="DM80" s="167"/>
      <c r="DN80" s="167"/>
      <c r="DO80" s="167"/>
      <c r="DP80" s="167"/>
      <c r="DQ80" s="167"/>
      <c r="DR80" s="167"/>
      <c r="DS80" s="167"/>
      <c r="DT80" s="167"/>
      <c r="DU80" s="167"/>
      <c r="DV80" s="167"/>
      <c r="DW80" s="167"/>
      <c r="DX80" s="167"/>
      <c r="DY80" s="167"/>
      <c r="DZ80" s="167"/>
      <c r="EA80" s="167"/>
      <c r="EB80" s="167"/>
      <c r="EC80" s="167"/>
      <c r="ED80" s="167"/>
      <c r="EE80" s="167"/>
      <c r="EF80" s="167"/>
      <c r="EG80" s="167"/>
      <c r="EH80" s="167"/>
      <c r="EI80" s="167"/>
      <c r="EJ80" s="167"/>
      <c r="EK80" s="167"/>
      <c r="EL80" s="167"/>
      <c r="EM80" s="167"/>
      <c r="EN80" s="167"/>
      <c r="EO80" s="167"/>
      <c r="EP80" s="167"/>
      <c r="EQ80" s="167"/>
      <c r="ER80" s="167"/>
      <c r="ES80" s="167"/>
      <c r="ET80" s="167"/>
      <c r="EU80" s="167"/>
      <c r="EV80" s="167"/>
      <c r="EW80" s="167"/>
      <c r="EX80" s="167"/>
      <c r="EY80" s="167"/>
      <c r="EZ80" s="167"/>
      <c r="FA80" s="167"/>
      <c r="FB80" s="167"/>
      <c r="FC80" s="167"/>
      <c r="FD80" s="167"/>
      <c r="FE80" s="167"/>
      <c r="FF80" s="167"/>
      <c r="FG80" s="167"/>
      <c r="FH80" s="167"/>
      <c r="FI80" s="167"/>
      <c r="FJ80" s="167"/>
      <c r="FK80" s="167"/>
      <c r="FL80" s="167"/>
      <c r="FM80" s="167"/>
      <c r="FN80" s="167"/>
      <c r="FO80" s="167"/>
      <c r="FP80" s="167"/>
      <c r="FQ80" s="167"/>
      <c r="FR80" s="167"/>
      <c r="FS80" s="167"/>
      <c r="FT80" s="167"/>
      <c r="FU80" s="167"/>
      <c r="FV80" s="167"/>
      <c r="FW80" s="167"/>
      <c r="FX80" s="167"/>
      <c r="FY80" s="167"/>
      <c r="FZ80" s="167"/>
      <c r="GA80" s="167"/>
      <c r="GB80" s="167"/>
      <c r="GC80" s="167"/>
      <c r="GD80" s="167"/>
      <c r="GE80" s="167"/>
      <c r="GF80" s="167"/>
      <c r="GG80" s="167"/>
      <c r="GH80" s="167"/>
      <c r="GI80" s="167"/>
      <c r="GJ80" s="167"/>
      <c r="GK80" s="167"/>
      <c r="GL80" s="167"/>
      <c r="GM80" s="167"/>
      <c r="GN80" s="167"/>
      <c r="GO80" s="167"/>
      <c r="GP80" s="167"/>
    </row>
    <row r="81" spans="5:53" ht="9.9499999999999993" customHeight="1">
      <c r="E81" s="623">
        <v>10.199999999999999</v>
      </c>
      <c r="U81" s="116" t="s">
        <v>172</v>
      </c>
      <c r="V81" s="109" t="s">
        <v>1648</v>
      </c>
    </row>
    <row r="82" spans="5:53" ht="11.25" hidden="1" customHeight="1">
      <c r="E82" s="623">
        <v>0</v>
      </c>
    </row>
    <row r="83" spans="5:53" ht="14.65" customHeight="1">
      <c r="E83" s="623">
        <v>15</v>
      </c>
      <c r="AB83" s="1476" t="s">
        <v>557</v>
      </c>
      <c r="AC83" s="1476"/>
      <c r="AD83" s="1476"/>
      <c r="AE83" s="1476"/>
      <c r="AF83" s="1476"/>
      <c r="AG83" s="1476"/>
      <c r="AH83" s="1476"/>
      <c r="AI83" s="1476"/>
      <c r="AJ83" s="1476"/>
      <c r="AK83" s="1476"/>
      <c r="AL83" s="1476"/>
      <c r="AM83" s="1476"/>
      <c r="AN83" s="1476"/>
      <c r="AO83" s="1476"/>
      <c r="AP83" s="1476"/>
      <c r="AQ83" s="1476"/>
      <c r="AR83" s="1476"/>
      <c r="AS83" s="1476"/>
      <c r="AT83" s="1476"/>
      <c r="AU83" s="1476"/>
      <c r="AV83" s="1476"/>
      <c r="AW83" s="1476"/>
      <c r="AX83" s="1476"/>
      <c r="AY83" s="1476"/>
      <c r="AZ83" s="1476"/>
      <c r="BA83" s="1476"/>
    </row>
    <row r="84" spans="5:53" ht="14.65" customHeight="1">
      <c r="E84" s="623">
        <v>15</v>
      </c>
      <c r="AA84" s="713"/>
      <c r="AB84" s="1500"/>
      <c r="AC84" s="1495"/>
      <c r="AD84" s="1495"/>
      <c r="AE84" s="1495"/>
      <c r="AF84" s="1495"/>
      <c r="AG84" s="1495"/>
      <c r="AH84" s="1495"/>
      <c r="AI84" s="1495"/>
      <c r="AJ84" s="1495"/>
      <c r="AK84" s="1495"/>
      <c r="AL84" s="1495"/>
      <c r="AM84" s="1495"/>
      <c r="AN84" s="1495"/>
      <c r="AO84" s="1495"/>
      <c r="AP84" s="1495"/>
      <c r="AQ84" s="1495"/>
      <c r="AR84" s="1495"/>
      <c r="AS84" s="1495"/>
      <c r="AT84" s="1495"/>
      <c r="AU84" s="1495"/>
      <c r="AV84" s="1495"/>
      <c r="AW84" s="1495"/>
      <c r="AX84" s="1495"/>
      <c r="AY84" s="1495"/>
      <c r="AZ84" s="1495"/>
      <c r="BA84" s="1495"/>
    </row>
    <row r="85" spans="5:53" ht="14.65" hidden="1" customHeight="1">
      <c r="E85" s="623">
        <v>15</v>
      </c>
      <c r="T85" s="634" t="b">
        <f>ROW(W85)&gt;ROW(W$85)</f>
        <v>0</v>
      </c>
      <c r="W85" s="113" t="s">
        <v>170</v>
      </c>
      <c r="AA85" s="709" t="s">
        <v>157</v>
      </c>
      <c r="AB85" s="1494"/>
      <c r="AC85" s="1495"/>
      <c r="AD85" s="1495"/>
      <c r="AE85" s="1495"/>
      <c r="AF85" s="1495"/>
      <c r="AG85" s="1495"/>
      <c r="AH85" s="1495"/>
      <c r="AI85" s="1495"/>
      <c r="AJ85" s="1495"/>
      <c r="AK85" s="1495"/>
      <c r="AL85" s="1495"/>
      <c r="AM85" s="1495"/>
      <c r="AN85" s="1495"/>
      <c r="AO85" s="1495"/>
      <c r="AP85" s="1495"/>
      <c r="AQ85" s="1495"/>
      <c r="AR85" s="1495"/>
      <c r="AS85" s="1495"/>
      <c r="AT85" s="1495"/>
      <c r="AU85" s="1495"/>
      <c r="AV85" s="1495"/>
      <c r="AW85" s="1495"/>
      <c r="AX85" s="1495"/>
      <c r="AY85" s="1495"/>
      <c r="AZ85" s="1495"/>
      <c r="BA85" s="1495"/>
    </row>
    <row r="86" spans="5:53" ht="14.65" customHeight="1">
      <c r="E86" s="623">
        <v>15</v>
      </c>
      <c r="W86" s="109" t="s">
        <v>1020</v>
      </c>
      <c r="AA86" s="150"/>
      <c r="AB86" s="1420" t="s">
        <v>558</v>
      </c>
      <c r="AC86" s="1421"/>
      <c r="AD86" s="299"/>
      <c r="AE86" s="299"/>
      <c r="AF86" s="299"/>
      <c r="AG86" s="299"/>
      <c r="AH86" s="299"/>
      <c r="AI86" s="299"/>
      <c r="AJ86" s="299"/>
      <c r="AK86" s="299"/>
      <c r="AL86" s="299"/>
      <c r="AM86" s="299"/>
      <c r="AN86" s="299"/>
      <c r="AO86" s="299"/>
      <c r="AP86" s="299"/>
      <c r="AQ86" s="299"/>
      <c r="AR86" s="299"/>
      <c r="AS86" s="299"/>
      <c r="AT86" s="299"/>
      <c r="AU86" s="299"/>
      <c r="AV86" s="299"/>
      <c r="AW86" s="299"/>
      <c r="AX86" s="299"/>
      <c r="AY86" s="299"/>
      <c r="AZ86" s="299"/>
      <c r="BA86" s="271"/>
    </row>
  </sheetData>
  <sheetProtection formatColumns="0" formatRows="0" insertRows="0" deleteColumns="0" deleteRows="0" sort="0" autoFilter="0"/>
  <mergeCells count="14">
    <mergeCell ref="X27:X53"/>
    <mergeCell ref="Z27:Z53"/>
    <mergeCell ref="AB83:BA83"/>
    <mergeCell ref="AB84:BA84"/>
    <mergeCell ref="AB85:BA85"/>
    <mergeCell ref="X54:X80"/>
    <mergeCell ref="Z54:Z80"/>
    <mergeCell ref="AZ24:AZ25"/>
    <mergeCell ref="BA24:BA25"/>
    <mergeCell ref="AB86:AC86"/>
    <mergeCell ref="AB24:AB25"/>
    <mergeCell ref="AC24:AC25"/>
    <mergeCell ref="AD24:AD25"/>
    <mergeCell ref="AY24:AY25"/>
  </mergeCells>
  <dataValidations count="1">
    <dataValidation type="decimal" allowBlank="1" showErrorMessage="1" errorTitle="Ошибка" error="Допускается ввод только действительных чисел!" sqref="AE41:AX42 AE28:AX28 AE44:AX44 AE30:AX39 AE55 AF55 AG55 AH55 AI55 AJ55 AK55 AL55 AM55 AN55 AO55 AP55 AQ55 AR55 AS55 AT55 AU55 AV55 AW55 AX55 AE57 AF57 AG57 AH57 AI57 AJ57 AK57 AL57 AM57 AN57 AO57 AP57 AQ57 AR57 AS57 AT57 AU57 AV57 AW57 AX57 AE58 AF58 AG58 AH58 AI58 AJ58 AK58 AL58 AM58 AN58 AO58 AP58 AQ58 AR58 AS58 AT58 AU58 AV58 AW58 AX58 AE59 AF59 AG59 AH59 AI59 AJ59 AK59 AL59 AM59 AN59 AO59 AP59 AQ59 AR59 AS59 AT59 AU59 AV59 AW59 AX59 AE60 AF60 AG60 AH60 AI60 AJ60 AK60 AL60 AM60 AN60 AO60 AP60 AQ60 AR60 AS60 AT60 AU60 AV60 AW60 AX60 AE61 AF61 AG61 AH61 AI61 AJ61 AK61 AL61 AM61 AN61 AO61 AP61 AQ61 AR61 AS61 AT61 AU61 AV61 AW61 AX61 AE62 AF62 AG62 AH62 AI62 AJ62 AK62 AL62 AM62 AN62 AO62 AP62 AQ62 AR62 AS62 AT62 AU62 AV62 AW62 AX62 AE63 AF63 AG63 AH63 AI63 AJ63 AK63 AL63 AM63 AN63 AO63 AP63 AQ63 AR63 AS63 AT63 AU63 AV63 AW63 AX63 AE64 AF64 AG64 AH64 AI64 AJ64 AK64 AL64 AM64 AN64 AO64 AP64 AQ64 AR64 AS64 AT64 AU64 AV64 AW64 AX64 AE65 AF65 AG65 AH65 AI65 AJ65 AK65 AL65 AM65 AN65 AO65 AP65 AQ65 AR65 AS65 AT65 AU65 AV65 AW65 AX65 AE66 AF66 AG66 AH66 AI66 AJ66 AK66 AL66 AM66 AN66 AO66 AP66 AQ66 AR66 AS66 AT66 AU66 AV66 AW66 AX66 AE68 AF68 AG68 AH68 AI68 AJ68 AK68 AL68 AM68 AN68 AO68 AP68 AQ68 AR68 AS68 AT68 AU68 AV68 AW68 AX68 AE69 AF69 AG69 AH69 AI69 AJ69 AK69 AL69 AM69 AN69 AO69 AP69 AQ69 AR69 AS69 AT69 AU69 AV69 AW69 AX69 AE71 AF71 AG71 AH71 AI71 AJ71 AK71 AL71 AM71 AN71 AO71 AP71 AQ71 AR71 AS71 AT71 AU71 AV71 AW71 AX71">
      <formula1>-9.99999999999999E+23</formula1>
      <formula2>9.99999999999999E+23</formula2>
    </dataValidation>
  </dataValidation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C2"/>
  <sheetViews>
    <sheetView workbookViewId="0"/>
  </sheetViews>
  <sheetFormatPr defaultRowHeight="11.25" customHeight="1"/>
  <cols>
    <col min="1" max="1" width="37.140625" customWidth="1"/>
    <col min="2" max="2" width="25.7109375" customWidth="1"/>
    <col min="3" max="3" width="64.5703125" customWidth="1"/>
  </cols>
  <sheetData>
    <row r="1" spans="1:3" ht="11.25" customHeight="1">
      <c r="A1" s="984" t="s">
        <v>74</v>
      </c>
      <c r="B1" s="984" t="s">
        <v>75</v>
      </c>
      <c r="C1" s="984" t="s">
        <v>76</v>
      </c>
    </row>
    <row r="2" spans="1:3" ht="11.25" customHeight="1">
      <c r="A2" s="985"/>
      <c r="B2" s="985"/>
      <c r="C2" s="985"/>
    </row>
  </sheetData>
  <sheetProtection insertRows="0" deleteColumns="0" deleteRows="0" sort="0" autoFilter="0"/>
  <pageMargins left="0.7" right="0.7" top="0.75" bottom="0.75" header="0.3" footer="0.3"/>
  <pageSetup orientation="portrait"/>
  <headerFooter>
    <oddHeader>&amp;L&amp;C&amp;R</oddHeader>
    <oddFooter>&amp;L&amp;C&amp;R</oddFooter>
    <evenHeader>&amp;L&amp;C&amp;R</evenHeader>
    <evenFooter>&amp;L&amp;C&amp;R</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sheetPr>
  <dimension ref="A1:GD124"/>
  <sheetViews>
    <sheetView showGridLines="0" workbookViewId="0">
      <pane xSplit="29" ySplit="27" topLeftCell="AD74" activePane="bottomRight" state="frozen"/>
      <selection pane="topRight" activeCell="AD1" sqref="AD1"/>
      <selection pane="bottomLeft" activeCell="A28" sqref="A28"/>
      <selection pane="bottomRight" activeCell="AB86" sqref="AB86"/>
    </sheetView>
  </sheetViews>
  <sheetFormatPr defaultColWidth="9.140625" defaultRowHeight="11.25" customHeight="1"/>
  <cols>
    <col min="1" max="1" width="3.5703125" style="1012" hidden="1" customWidth="1"/>
    <col min="2" max="2" width="8.5703125" style="718" hidden="1" customWidth="1"/>
    <col min="3" max="4" width="3.5703125" style="1012" hidden="1" customWidth="1"/>
    <col min="5" max="5" width="8.42578125" style="717" hidden="1" customWidth="1"/>
    <col min="6" max="6" width="3.5703125" style="1012" hidden="1" customWidth="1"/>
    <col min="7" max="16" width="3.5703125" style="394" hidden="1" customWidth="1"/>
    <col min="17" max="17" width="3.5703125" style="753" hidden="1" customWidth="1"/>
    <col min="18" max="18" width="14.140625" style="719" hidden="1" customWidth="1"/>
    <col min="19" max="19" width="8.140625" style="394" hidden="1" customWidth="1"/>
    <col min="20" max="20" width="8" style="1012" hidden="1" customWidth="1"/>
    <col min="21" max="21" width="6" style="1012" hidden="1" customWidth="1"/>
    <col min="22" max="23" width="6.28515625" style="1012" hidden="1" customWidth="1"/>
    <col min="24" max="24" width="5.85546875" style="1012" hidden="1" customWidth="1"/>
    <col min="25" max="25" width="5.7109375" style="1012" hidden="1" customWidth="1"/>
    <col min="26" max="26" width="5.42578125" style="1012" hidden="1" customWidth="1"/>
    <col min="27" max="27" width="3" style="394" customWidth="1"/>
    <col min="28" max="28" width="90" style="254" customWidth="1"/>
    <col min="29" max="29" width="23.5703125" style="152" customWidth="1"/>
    <col min="30" max="32" width="14.28515625" style="394" customWidth="1"/>
    <col min="33" max="179" width="14.28515625" style="394" hidden="1" customWidth="1"/>
    <col min="180" max="180" width="3" style="394" customWidth="1"/>
    <col min="181" max="181" width="9.140625" style="394" hidden="1"/>
    <col min="182" max="182" width="8.5703125" style="930" hidden="1" customWidth="1"/>
    <col min="183" max="183" width="8.5703125" style="1272" hidden="1" customWidth="1"/>
    <col min="184" max="184" width="8.5703125" style="1273" hidden="1" customWidth="1"/>
    <col min="185" max="185" width="8.5703125" style="1274" hidden="1" customWidth="1"/>
    <col min="186" max="186" width="8.5703125" style="1275" hidden="1" customWidth="1"/>
  </cols>
  <sheetData>
    <row r="1" spans="1:186" s="1012" customFormat="1" ht="12" hidden="1" customHeight="1">
      <c r="B1" s="614"/>
      <c r="E1" s="614"/>
      <c r="F1" s="634" t="s">
        <v>77</v>
      </c>
      <c r="G1" s="150"/>
      <c r="H1" s="150"/>
      <c r="I1" s="150"/>
      <c r="J1" s="150"/>
      <c r="K1" s="150"/>
      <c r="L1" s="150"/>
      <c r="M1" s="150"/>
      <c r="N1" s="150"/>
      <c r="O1" s="150"/>
      <c r="P1" s="150"/>
      <c r="Q1" s="394" t="s">
        <v>1649</v>
      </c>
      <c r="R1" s="566"/>
      <c r="S1" s="150"/>
      <c r="T1" s="634" t="s">
        <v>78</v>
      </c>
      <c r="U1" s="634" t="s">
        <v>83</v>
      </c>
      <c r="V1" s="634" t="s">
        <v>79</v>
      </c>
      <c r="W1" s="634" t="s">
        <v>80</v>
      </c>
      <c r="X1" s="634" t="s">
        <v>81</v>
      </c>
      <c r="Y1" s="645" t="s">
        <v>274</v>
      </c>
      <c r="Z1" s="634" t="s">
        <v>85</v>
      </c>
      <c r="AA1" s="645" t="s">
        <v>82</v>
      </c>
      <c r="AB1" s="645" t="s">
        <v>84</v>
      </c>
      <c r="AC1" s="109"/>
      <c r="FZ1" s="912" t="s">
        <v>275</v>
      </c>
      <c r="GA1" s="930" t="s">
        <v>276</v>
      </c>
      <c r="GB1" s="930" t="s">
        <v>277</v>
      </c>
      <c r="GC1" s="930" t="s">
        <v>280</v>
      </c>
      <c r="GD1" s="930" t="s">
        <v>281</v>
      </c>
    </row>
    <row r="2" spans="1:186" s="718" customFormat="1" ht="12" hidden="1" customHeight="1">
      <c r="B2" s="703" t="s">
        <v>15</v>
      </c>
      <c r="G2" s="721"/>
      <c r="H2" s="721"/>
      <c r="I2" s="721"/>
      <c r="J2" s="721"/>
      <c r="K2" s="721"/>
      <c r="L2" s="721"/>
      <c r="M2" s="721"/>
      <c r="N2" s="721"/>
      <c r="O2" s="721"/>
      <c r="P2" s="721"/>
      <c r="Q2" s="753"/>
      <c r="R2" s="721"/>
      <c r="S2" s="721"/>
      <c r="AB2" s="618"/>
      <c r="AC2" s="618"/>
      <c r="AG2" s="635" t="b">
        <f t="shared" ref="AG2:BL2" si="0">AG6&lt;=last_year_vis</f>
        <v>0</v>
      </c>
      <c r="AH2" s="635" t="b">
        <f t="shared" si="0"/>
        <v>0</v>
      </c>
      <c r="AI2" s="635" t="b">
        <f t="shared" si="0"/>
        <v>0</v>
      </c>
      <c r="AJ2" s="635" t="b">
        <f t="shared" si="0"/>
        <v>0</v>
      </c>
      <c r="AK2" s="635" t="b">
        <f t="shared" si="0"/>
        <v>0</v>
      </c>
      <c r="AL2" s="635" t="b">
        <f t="shared" si="0"/>
        <v>0</v>
      </c>
      <c r="AM2" s="635" t="b">
        <f t="shared" si="0"/>
        <v>0</v>
      </c>
      <c r="AN2" s="635" t="b">
        <f t="shared" si="0"/>
        <v>0</v>
      </c>
      <c r="AO2" s="635" t="b">
        <f t="shared" si="0"/>
        <v>0</v>
      </c>
      <c r="AP2" s="635" t="b">
        <f t="shared" si="0"/>
        <v>0</v>
      </c>
      <c r="AQ2" s="635" t="b">
        <f t="shared" si="0"/>
        <v>0</v>
      </c>
      <c r="AR2" s="635" t="b">
        <f t="shared" si="0"/>
        <v>0</v>
      </c>
      <c r="AS2" s="635" t="b">
        <f t="shared" si="0"/>
        <v>0</v>
      </c>
      <c r="AT2" s="635" t="b">
        <f t="shared" si="0"/>
        <v>0</v>
      </c>
      <c r="AU2" s="635" t="b">
        <f t="shared" si="0"/>
        <v>0</v>
      </c>
      <c r="AV2" s="635" t="b">
        <f t="shared" si="0"/>
        <v>0</v>
      </c>
      <c r="AW2" s="635" t="b">
        <f t="shared" si="0"/>
        <v>0</v>
      </c>
      <c r="AX2" s="635" t="b">
        <f t="shared" si="0"/>
        <v>0</v>
      </c>
      <c r="AY2" s="635" t="b">
        <f t="shared" si="0"/>
        <v>0</v>
      </c>
      <c r="AZ2" s="635" t="b">
        <f t="shared" si="0"/>
        <v>0</v>
      </c>
      <c r="BA2" s="635" t="b">
        <f t="shared" si="0"/>
        <v>0</v>
      </c>
      <c r="BB2" s="635" t="b">
        <f t="shared" si="0"/>
        <v>0</v>
      </c>
      <c r="BC2" s="635" t="b">
        <f t="shared" si="0"/>
        <v>0</v>
      </c>
      <c r="BD2" s="635" t="b">
        <f t="shared" si="0"/>
        <v>0</v>
      </c>
      <c r="BE2" s="635" t="b">
        <f t="shared" si="0"/>
        <v>0</v>
      </c>
      <c r="BF2" s="635" t="b">
        <f t="shared" si="0"/>
        <v>0</v>
      </c>
      <c r="BG2" s="635" t="b">
        <f t="shared" si="0"/>
        <v>0</v>
      </c>
      <c r="BH2" s="635" t="b">
        <f t="shared" si="0"/>
        <v>0</v>
      </c>
      <c r="BI2" s="635" t="b">
        <f t="shared" si="0"/>
        <v>0</v>
      </c>
      <c r="BJ2" s="635" t="b">
        <f t="shared" si="0"/>
        <v>0</v>
      </c>
      <c r="BK2" s="635" t="b">
        <f t="shared" si="0"/>
        <v>0</v>
      </c>
      <c r="BL2" s="635" t="b">
        <f t="shared" si="0"/>
        <v>0</v>
      </c>
      <c r="BM2" s="635" t="b">
        <f t="shared" ref="BM2:CR2" si="1">BM6&lt;=last_year_vis</f>
        <v>0</v>
      </c>
      <c r="BN2" s="635" t="b">
        <f t="shared" si="1"/>
        <v>0</v>
      </c>
      <c r="BO2" s="635" t="b">
        <f t="shared" si="1"/>
        <v>0</v>
      </c>
      <c r="BP2" s="635" t="b">
        <f t="shared" si="1"/>
        <v>0</v>
      </c>
      <c r="BQ2" s="635" t="b">
        <f t="shared" si="1"/>
        <v>0</v>
      </c>
      <c r="BR2" s="635" t="b">
        <f t="shared" si="1"/>
        <v>0</v>
      </c>
      <c r="BS2" s="635" t="b">
        <f t="shared" si="1"/>
        <v>0</v>
      </c>
      <c r="BT2" s="635" t="b">
        <f t="shared" si="1"/>
        <v>0</v>
      </c>
      <c r="BU2" s="635" t="b">
        <f t="shared" si="1"/>
        <v>0</v>
      </c>
      <c r="BV2" s="635" t="b">
        <f t="shared" si="1"/>
        <v>0</v>
      </c>
      <c r="BW2" s="635" t="b">
        <f t="shared" si="1"/>
        <v>0</v>
      </c>
      <c r="BX2" s="635" t="b">
        <f t="shared" si="1"/>
        <v>0</v>
      </c>
      <c r="BY2" s="635" t="b">
        <f t="shared" si="1"/>
        <v>0</v>
      </c>
      <c r="BZ2" s="635" t="b">
        <f t="shared" si="1"/>
        <v>0</v>
      </c>
      <c r="CA2" s="635" t="b">
        <f t="shared" si="1"/>
        <v>0</v>
      </c>
      <c r="CB2" s="635" t="b">
        <f t="shared" si="1"/>
        <v>0</v>
      </c>
      <c r="CC2" s="635" t="b">
        <f t="shared" si="1"/>
        <v>0</v>
      </c>
      <c r="CD2" s="635" t="b">
        <f t="shared" si="1"/>
        <v>0</v>
      </c>
      <c r="CE2" s="635" t="b">
        <f t="shared" si="1"/>
        <v>0</v>
      </c>
      <c r="CF2" s="635" t="b">
        <f t="shared" si="1"/>
        <v>0</v>
      </c>
      <c r="CG2" s="635" t="b">
        <f t="shared" si="1"/>
        <v>0</v>
      </c>
      <c r="CH2" s="635" t="b">
        <f t="shared" si="1"/>
        <v>0</v>
      </c>
      <c r="CI2" s="635" t="b">
        <f t="shared" si="1"/>
        <v>0</v>
      </c>
      <c r="CJ2" s="635" t="b">
        <f t="shared" si="1"/>
        <v>0</v>
      </c>
      <c r="CK2" s="635" t="b">
        <f t="shared" si="1"/>
        <v>0</v>
      </c>
      <c r="CL2" s="635" t="b">
        <f t="shared" si="1"/>
        <v>0</v>
      </c>
      <c r="CM2" s="635" t="b">
        <f t="shared" si="1"/>
        <v>0</v>
      </c>
      <c r="CN2" s="635" t="b">
        <f t="shared" si="1"/>
        <v>0</v>
      </c>
      <c r="CO2" s="635" t="b">
        <f t="shared" si="1"/>
        <v>0</v>
      </c>
      <c r="CP2" s="635" t="b">
        <f t="shared" si="1"/>
        <v>0</v>
      </c>
      <c r="CQ2" s="635" t="b">
        <f t="shared" si="1"/>
        <v>0</v>
      </c>
      <c r="CR2" s="635" t="b">
        <f t="shared" si="1"/>
        <v>0</v>
      </c>
      <c r="CS2" s="635" t="b">
        <f t="shared" ref="CS2:DX2" si="2">CS6&lt;=last_year_vis</f>
        <v>0</v>
      </c>
      <c r="CT2" s="635" t="b">
        <f t="shared" si="2"/>
        <v>0</v>
      </c>
      <c r="CU2" s="635" t="b">
        <f t="shared" si="2"/>
        <v>0</v>
      </c>
      <c r="CV2" s="635" t="b">
        <f t="shared" si="2"/>
        <v>0</v>
      </c>
      <c r="CW2" s="635" t="b">
        <f t="shared" si="2"/>
        <v>0</v>
      </c>
      <c r="CX2" s="635" t="b">
        <f t="shared" si="2"/>
        <v>0</v>
      </c>
      <c r="CY2" s="635" t="b">
        <f t="shared" si="2"/>
        <v>0</v>
      </c>
      <c r="CZ2" s="635" t="b">
        <f t="shared" si="2"/>
        <v>0</v>
      </c>
      <c r="DA2" s="635" t="b">
        <f t="shared" si="2"/>
        <v>0</v>
      </c>
      <c r="DB2" s="635" t="b">
        <f t="shared" si="2"/>
        <v>0</v>
      </c>
      <c r="DC2" s="635" t="b">
        <f t="shared" si="2"/>
        <v>0</v>
      </c>
      <c r="DD2" s="635" t="b">
        <f t="shared" si="2"/>
        <v>0</v>
      </c>
      <c r="DE2" s="635" t="b">
        <f t="shared" si="2"/>
        <v>0</v>
      </c>
      <c r="DF2" s="635" t="b">
        <f t="shared" si="2"/>
        <v>0</v>
      </c>
      <c r="DG2" s="635" t="b">
        <f t="shared" si="2"/>
        <v>0</v>
      </c>
      <c r="DH2" s="635" t="b">
        <f t="shared" si="2"/>
        <v>0</v>
      </c>
      <c r="DI2" s="635" t="b">
        <f t="shared" si="2"/>
        <v>0</v>
      </c>
      <c r="DJ2" s="635" t="b">
        <f t="shared" si="2"/>
        <v>0</v>
      </c>
      <c r="DK2" s="635" t="b">
        <f t="shared" si="2"/>
        <v>0</v>
      </c>
      <c r="DL2" s="635" t="b">
        <f t="shared" si="2"/>
        <v>0</v>
      </c>
      <c r="DM2" s="635" t="b">
        <f t="shared" si="2"/>
        <v>0</v>
      </c>
      <c r="DN2" s="635" t="b">
        <f t="shared" si="2"/>
        <v>0</v>
      </c>
      <c r="DO2" s="635" t="b">
        <f t="shared" si="2"/>
        <v>0</v>
      </c>
      <c r="DP2" s="635" t="b">
        <f t="shared" si="2"/>
        <v>0</v>
      </c>
      <c r="DQ2" s="635" t="b">
        <f t="shared" si="2"/>
        <v>0</v>
      </c>
      <c r="DR2" s="635" t="b">
        <f t="shared" si="2"/>
        <v>0</v>
      </c>
      <c r="DS2" s="635" t="b">
        <f t="shared" si="2"/>
        <v>0</v>
      </c>
      <c r="DT2" s="635" t="b">
        <f t="shared" si="2"/>
        <v>0</v>
      </c>
      <c r="DU2" s="635" t="b">
        <f t="shared" si="2"/>
        <v>0</v>
      </c>
      <c r="DV2" s="635" t="b">
        <f t="shared" si="2"/>
        <v>0</v>
      </c>
      <c r="DW2" s="635" t="b">
        <f t="shared" si="2"/>
        <v>0</v>
      </c>
      <c r="DX2" s="635" t="b">
        <f t="shared" si="2"/>
        <v>0</v>
      </c>
      <c r="DY2" s="635" t="b">
        <f t="shared" ref="DY2:FD2" si="3">DY6&lt;=last_year_vis</f>
        <v>0</v>
      </c>
      <c r="DZ2" s="635" t="b">
        <f t="shared" si="3"/>
        <v>0</v>
      </c>
      <c r="EA2" s="635" t="b">
        <f t="shared" si="3"/>
        <v>0</v>
      </c>
      <c r="EB2" s="635" t="b">
        <f t="shared" si="3"/>
        <v>0</v>
      </c>
      <c r="EC2" s="635" t="b">
        <f t="shared" si="3"/>
        <v>0</v>
      </c>
      <c r="ED2" s="635" t="b">
        <f t="shared" si="3"/>
        <v>0</v>
      </c>
      <c r="EE2" s="635" t="b">
        <f t="shared" si="3"/>
        <v>0</v>
      </c>
      <c r="EF2" s="635" t="b">
        <f t="shared" si="3"/>
        <v>0</v>
      </c>
      <c r="EG2" s="635" t="b">
        <f t="shared" si="3"/>
        <v>0</v>
      </c>
      <c r="EH2" s="635" t="b">
        <f t="shared" si="3"/>
        <v>0</v>
      </c>
      <c r="EI2" s="635" t="b">
        <f t="shared" si="3"/>
        <v>0</v>
      </c>
      <c r="EJ2" s="635" t="b">
        <f t="shared" si="3"/>
        <v>0</v>
      </c>
      <c r="EK2" s="635" t="b">
        <f t="shared" si="3"/>
        <v>0</v>
      </c>
      <c r="EL2" s="635" t="b">
        <f t="shared" si="3"/>
        <v>0</v>
      </c>
      <c r="EM2" s="635" t="b">
        <f t="shared" si="3"/>
        <v>0</v>
      </c>
      <c r="EN2" s="635" t="b">
        <f t="shared" si="3"/>
        <v>0</v>
      </c>
      <c r="EO2" s="635" t="b">
        <f t="shared" si="3"/>
        <v>0</v>
      </c>
      <c r="EP2" s="635" t="b">
        <f t="shared" si="3"/>
        <v>0</v>
      </c>
      <c r="EQ2" s="635" t="b">
        <f t="shared" si="3"/>
        <v>0</v>
      </c>
      <c r="ER2" s="635" t="b">
        <f t="shared" si="3"/>
        <v>0</v>
      </c>
      <c r="ES2" s="635" t="b">
        <f t="shared" si="3"/>
        <v>0</v>
      </c>
      <c r="ET2" s="635" t="b">
        <f t="shared" si="3"/>
        <v>0</v>
      </c>
      <c r="EU2" s="635" t="b">
        <f t="shared" si="3"/>
        <v>0</v>
      </c>
      <c r="EV2" s="635" t="b">
        <f t="shared" si="3"/>
        <v>0</v>
      </c>
      <c r="EW2" s="635" t="b">
        <f t="shared" si="3"/>
        <v>0</v>
      </c>
      <c r="EX2" s="635" t="b">
        <f t="shared" si="3"/>
        <v>0</v>
      </c>
      <c r="EY2" s="635" t="b">
        <f t="shared" si="3"/>
        <v>0</v>
      </c>
      <c r="EZ2" s="635" t="b">
        <f t="shared" si="3"/>
        <v>0</v>
      </c>
      <c r="FA2" s="635" t="b">
        <f t="shared" si="3"/>
        <v>0</v>
      </c>
      <c r="FB2" s="635" t="b">
        <f t="shared" si="3"/>
        <v>0</v>
      </c>
      <c r="FC2" s="635" t="b">
        <f t="shared" si="3"/>
        <v>0</v>
      </c>
      <c r="FD2" s="635" t="b">
        <f t="shared" si="3"/>
        <v>0</v>
      </c>
      <c r="FE2" s="635" t="b">
        <f t="shared" ref="FE2:FW2" si="4">FE6&lt;=last_year_vis</f>
        <v>0</v>
      </c>
      <c r="FF2" s="635" t="b">
        <f t="shared" si="4"/>
        <v>0</v>
      </c>
      <c r="FG2" s="635" t="b">
        <f t="shared" si="4"/>
        <v>0</v>
      </c>
      <c r="FH2" s="635" t="b">
        <f t="shared" si="4"/>
        <v>0</v>
      </c>
      <c r="FI2" s="635" t="b">
        <f t="shared" si="4"/>
        <v>0</v>
      </c>
      <c r="FJ2" s="635" t="b">
        <f t="shared" si="4"/>
        <v>0</v>
      </c>
      <c r="FK2" s="635" t="b">
        <f t="shared" si="4"/>
        <v>0</v>
      </c>
      <c r="FL2" s="635" t="b">
        <f t="shared" si="4"/>
        <v>0</v>
      </c>
      <c r="FM2" s="635" t="b">
        <f t="shared" si="4"/>
        <v>0</v>
      </c>
      <c r="FN2" s="635" t="b">
        <f t="shared" si="4"/>
        <v>0</v>
      </c>
      <c r="FO2" s="635" t="b">
        <f t="shared" si="4"/>
        <v>0</v>
      </c>
      <c r="FP2" s="635" t="b">
        <f t="shared" si="4"/>
        <v>0</v>
      </c>
      <c r="FQ2" s="635" t="b">
        <f t="shared" si="4"/>
        <v>0</v>
      </c>
      <c r="FR2" s="635" t="b">
        <f t="shared" si="4"/>
        <v>0</v>
      </c>
      <c r="FS2" s="635" t="b">
        <f t="shared" si="4"/>
        <v>0</v>
      </c>
      <c r="FT2" s="635" t="b">
        <f t="shared" si="4"/>
        <v>0</v>
      </c>
      <c r="FU2" s="635" t="b">
        <f t="shared" si="4"/>
        <v>0</v>
      </c>
      <c r="FV2" s="635" t="b">
        <f t="shared" si="4"/>
        <v>0</v>
      </c>
      <c r="FW2" s="635" t="b">
        <f t="shared" si="4"/>
        <v>0</v>
      </c>
      <c r="FZ2" s="905"/>
      <c r="GA2" s="933"/>
      <c r="GB2" s="933"/>
      <c r="GC2" s="933"/>
      <c r="GD2" s="933"/>
    </row>
    <row r="3" spans="1:186" s="1012" customFormat="1" ht="12" hidden="1" customHeight="1">
      <c r="B3" s="614"/>
      <c r="E3" s="614"/>
      <c r="G3" s="150"/>
      <c r="H3" s="150"/>
      <c r="I3" s="150"/>
      <c r="J3" s="150"/>
      <c r="K3" s="150"/>
      <c r="L3" s="150"/>
      <c r="M3" s="150"/>
      <c r="N3" s="150"/>
      <c r="O3" s="150"/>
      <c r="P3" s="150"/>
      <c r="Q3" s="394"/>
      <c r="R3" s="566"/>
      <c r="S3" s="150"/>
      <c r="AB3" s="109"/>
      <c r="AC3" s="109"/>
      <c r="FZ3" s="912"/>
      <c r="GA3" s="930"/>
      <c r="GB3" s="930"/>
      <c r="GC3" s="930"/>
      <c r="GD3" s="930"/>
    </row>
    <row r="4" spans="1:186" s="1012" customFormat="1" ht="12" hidden="1" customHeight="1">
      <c r="B4" s="614"/>
      <c r="E4" s="614"/>
      <c r="G4" s="150"/>
      <c r="H4" s="150"/>
      <c r="I4" s="150"/>
      <c r="J4" s="150"/>
      <c r="K4" s="150"/>
      <c r="L4" s="150"/>
      <c r="M4" s="150"/>
      <c r="N4" s="150"/>
      <c r="O4" s="150"/>
      <c r="P4" s="150"/>
      <c r="Q4" s="394"/>
      <c r="R4" s="566"/>
      <c r="S4" s="150"/>
      <c r="AB4" s="109"/>
      <c r="AC4" s="109"/>
      <c r="FZ4" s="912"/>
      <c r="GA4" s="930"/>
      <c r="GB4" s="930"/>
      <c r="GC4" s="930"/>
      <c r="GD4" s="930"/>
    </row>
    <row r="5" spans="1:186" s="717" customFormat="1" ht="12" hidden="1" customHeight="1">
      <c r="A5" s="614"/>
      <c r="B5" s="614"/>
      <c r="C5" s="614"/>
      <c r="D5" s="614"/>
      <c r="E5" s="623" t="s">
        <v>16</v>
      </c>
      <c r="G5" s="722"/>
      <c r="H5" s="722"/>
      <c r="I5" s="722"/>
      <c r="J5" s="722"/>
      <c r="K5" s="722"/>
      <c r="L5" s="722"/>
      <c r="M5" s="722"/>
      <c r="N5" s="722"/>
      <c r="O5" s="722"/>
      <c r="P5" s="722"/>
      <c r="Q5" s="754"/>
      <c r="R5" s="722"/>
      <c r="S5" s="722"/>
      <c r="AA5" s="623">
        <v>3</v>
      </c>
      <c r="AB5" s="629">
        <v>90</v>
      </c>
      <c r="AC5" s="629">
        <v>23.63</v>
      </c>
      <c r="AD5" s="623">
        <v>14.25</v>
      </c>
      <c r="AE5" s="623">
        <v>14.25</v>
      </c>
      <c r="AF5" s="623">
        <v>14.25</v>
      </c>
      <c r="AG5" s="623">
        <v>14.25</v>
      </c>
      <c r="AH5" s="623">
        <v>14.25</v>
      </c>
      <c r="AI5" s="623">
        <v>14.25</v>
      </c>
      <c r="AJ5" s="623">
        <v>14.25</v>
      </c>
      <c r="AK5" s="623">
        <v>14.25</v>
      </c>
      <c r="AL5" s="623">
        <v>14.25</v>
      </c>
      <c r="AM5" s="623">
        <v>14.25</v>
      </c>
      <c r="AN5" s="623">
        <v>14.25</v>
      </c>
      <c r="AO5" s="623">
        <v>14.25</v>
      </c>
      <c r="AP5" s="623">
        <v>14.25</v>
      </c>
      <c r="AQ5" s="623">
        <v>14.25</v>
      </c>
      <c r="AR5" s="623">
        <v>14.25</v>
      </c>
      <c r="AS5" s="623">
        <v>14.25</v>
      </c>
      <c r="AT5" s="623">
        <v>14.25</v>
      </c>
      <c r="AU5" s="623">
        <v>14.25</v>
      </c>
      <c r="AV5" s="623">
        <v>14.25</v>
      </c>
      <c r="AW5" s="623">
        <v>14.25</v>
      </c>
      <c r="AX5" s="623">
        <v>14.25</v>
      </c>
      <c r="AY5" s="623">
        <v>14.25</v>
      </c>
      <c r="AZ5" s="623">
        <v>14.25</v>
      </c>
      <c r="BA5" s="623">
        <v>14.25</v>
      </c>
      <c r="BB5" s="623">
        <v>14.25</v>
      </c>
      <c r="BC5" s="623">
        <v>14.25</v>
      </c>
      <c r="BD5" s="623">
        <v>14.25</v>
      </c>
      <c r="BE5" s="623">
        <v>14.25</v>
      </c>
      <c r="BF5" s="623">
        <v>14.25</v>
      </c>
      <c r="BG5" s="623">
        <v>14.25</v>
      </c>
      <c r="BH5" s="623">
        <v>14.25</v>
      </c>
      <c r="BI5" s="623">
        <v>14.25</v>
      </c>
      <c r="BJ5" s="623">
        <v>14.25</v>
      </c>
      <c r="BK5" s="623">
        <v>14.25</v>
      </c>
      <c r="BL5" s="623">
        <v>14.25</v>
      </c>
      <c r="BM5" s="623">
        <v>14.25</v>
      </c>
      <c r="BN5" s="623">
        <v>14.25</v>
      </c>
      <c r="BO5" s="623">
        <v>14.25</v>
      </c>
      <c r="BP5" s="623">
        <v>14.25</v>
      </c>
      <c r="BQ5" s="623">
        <v>14.25</v>
      </c>
      <c r="BR5" s="623">
        <v>14.25</v>
      </c>
      <c r="BS5" s="623">
        <v>14.25</v>
      </c>
      <c r="BT5" s="623">
        <v>14.25</v>
      </c>
      <c r="BU5" s="623">
        <v>14.25</v>
      </c>
      <c r="BV5" s="623">
        <v>14.25</v>
      </c>
      <c r="BW5" s="623">
        <v>14.25</v>
      </c>
      <c r="BX5" s="623">
        <v>14.25</v>
      </c>
      <c r="BY5" s="623">
        <v>14.25</v>
      </c>
      <c r="BZ5" s="623">
        <v>14.25</v>
      </c>
      <c r="CA5" s="623">
        <v>14.25</v>
      </c>
      <c r="CB5" s="623">
        <v>14.25</v>
      </c>
      <c r="CC5" s="623">
        <v>14.25</v>
      </c>
      <c r="CD5" s="623">
        <v>14.25</v>
      </c>
      <c r="CE5" s="623">
        <v>14.25</v>
      </c>
      <c r="CF5" s="623">
        <v>14.25</v>
      </c>
      <c r="CG5" s="623">
        <v>14.25</v>
      </c>
      <c r="CH5" s="623">
        <v>14.25</v>
      </c>
      <c r="CI5" s="623">
        <v>14.25</v>
      </c>
      <c r="CJ5" s="623">
        <v>14.25</v>
      </c>
      <c r="CK5" s="623">
        <v>14.25</v>
      </c>
      <c r="CL5" s="623">
        <v>14.25</v>
      </c>
      <c r="CM5" s="623">
        <v>14.25</v>
      </c>
      <c r="CN5" s="623">
        <v>14.25</v>
      </c>
      <c r="CO5" s="623">
        <v>14.25</v>
      </c>
      <c r="CP5" s="623">
        <v>14.25</v>
      </c>
      <c r="CQ5" s="623">
        <v>14.25</v>
      </c>
      <c r="CR5" s="623">
        <v>14.25</v>
      </c>
      <c r="CS5" s="623">
        <v>14.25</v>
      </c>
      <c r="CT5" s="623">
        <v>14.25</v>
      </c>
      <c r="CU5" s="623">
        <v>14.25</v>
      </c>
      <c r="CV5" s="623">
        <v>14.25</v>
      </c>
      <c r="CW5" s="623">
        <v>14.25</v>
      </c>
      <c r="CX5" s="623">
        <v>14.25</v>
      </c>
      <c r="CY5" s="623">
        <v>14.25</v>
      </c>
      <c r="CZ5" s="623">
        <v>14.25</v>
      </c>
      <c r="DA5" s="623">
        <v>14.25</v>
      </c>
      <c r="DB5" s="623">
        <v>14.25</v>
      </c>
      <c r="DC5" s="623">
        <v>14.25</v>
      </c>
      <c r="DD5" s="623">
        <v>14.25</v>
      </c>
      <c r="DE5" s="623">
        <v>14.25</v>
      </c>
      <c r="DF5" s="623">
        <v>14.25</v>
      </c>
      <c r="DG5" s="623">
        <v>14.25</v>
      </c>
      <c r="DH5" s="623">
        <v>14.25</v>
      </c>
      <c r="DI5" s="623">
        <v>14.25</v>
      </c>
      <c r="DJ5" s="623">
        <v>14.25</v>
      </c>
      <c r="DK5" s="623">
        <v>14.25</v>
      </c>
      <c r="DL5" s="623">
        <v>14.25</v>
      </c>
      <c r="DM5" s="623">
        <v>14.25</v>
      </c>
      <c r="DN5" s="623">
        <v>14.25</v>
      </c>
      <c r="DO5" s="623">
        <v>14.25</v>
      </c>
      <c r="DP5" s="623">
        <v>14.25</v>
      </c>
      <c r="DQ5" s="623">
        <v>14.25</v>
      </c>
      <c r="DR5" s="623">
        <v>14.25</v>
      </c>
      <c r="DS5" s="623">
        <v>14.25</v>
      </c>
      <c r="DT5" s="623">
        <v>14.25</v>
      </c>
      <c r="DU5" s="623">
        <v>14.25</v>
      </c>
      <c r="DV5" s="623">
        <v>14.25</v>
      </c>
      <c r="DW5" s="623">
        <v>14.25</v>
      </c>
      <c r="DX5" s="623">
        <v>14.25</v>
      </c>
      <c r="DY5" s="623">
        <v>14.25</v>
      </c>
      <c r="DZ5" s="623">
        <v>14.25</v>
      </c>
      <c r="EA5" s="623">
        <v>14.25</v>
      </c>
      <c r="EB5" s="623">
        <v>14.25</v>
      </c>
      <c r="EC5" s="623">
        <v>14.25</v>
      </c>
      <c r="ED5" s="623">
        <v>14.25</v>
      </c>
      <c r="EE5" s="623">
        <v>14.25</v>
      </c>
      <c r="EF5" s="623">
        <v>14.25</v>
      </c>
      <c r="EG5" s="623">
        <v>14.25</v>
      </c>
      <c r="EH5" s="623">
        <v>14.25</v>
      </c>
      <c r="EI5" s="623">
        <v>14.25</v>
      </c>
      <c r="EJ5" s="623">
        <v>14.25</v>
      </c>
      <c r="EK5" s="623">
        <v>14.25</v>
      </c>
      <c r="EL5" s="623">
        <v>14.25</v>
      </c>
      <c r="EM5" s="623">
        <v>14.25</v>
      </c>
      <c r="EN5" s="623">
        <v>14.25</v>
      </c>
      <c r="EO5" s="623">
        <v>14.25</v>
      </c>
      <c r="EP5" s="623">
        <v>14.25</v>
      </c>
      <c r="EQ5" s="623">
        <v>14.25</v>
      </c>
      <c r="ER5" s="623">
        <v>14.25</v>
      </c>
      <c r="ES5" s="623">
        <v>14.25</v>
      </c>
      <c r="ET5" s="623">
        <v>14.25</v>
      </c>
      <c r="EU5" s="623">
        <v>14.25</v>
      </c>
      <c r="EV5" s="623">
        <v>14.25</v>
      </c>
      <c r="EW5" s="623">
        <v>14.25</v>
      </c>
      <c r="EX5" s="623">
        <v>14.25</v>
      </c>
      <c r="EY5" s="623">
        <v>14.25</v>
      </c>
      <c r="EZ5" s="623">
        <v>14.25</v>
      </c>
      <c r="FA5" s="623">
        <v>14.25</v>
      </c>
      <c r="FB5" s="623">
        <v>14.25</v>
      </c>
      <c r="FC5" s="623">
        <v>14.25</v>
      </c>
      <c r="FD5" s="623">
        <v>14.25</v>
      </c>
      <c r="FE5" s="623">
        <v>14.25</v>
      </c>
      <c r="FF5" s="623">
        <v>14.25</v>
      </c>
      <c r="FG5" s="623">
        <v>14.25</v>
      </c>
      <c r="FH5" s="623">
        <v>14.25</v>
      </c>
      <c r="FI5" s="623">
        <v>14.25</v>
      </c>
      <c r="FJ5" s="623">
        <v>14.25</v>
      </c>
      <c r="FK5" s="623">
        <v>14.25</v>
      </c>
      <c r="FL5" s="623">
        <v>14.25</v>
      </c>
      <c r="FM5" s="623">
        <v>14.25</v>
      </c>
      <c r="FN5" s="623">
        <v>14.25</v>
      </c>
      <c r="FO5" s="623">
        <v>14.25</v>
      </c>
      <c r="FP5" s="623">
        <v>14.25</v>
      </c>
      <c r="FQ5" s="623">
        <v>14.25</v>
      </c>
      <c r="FR5" s="623">
        <v>14.25</v>
      </c>
      <c r="FS5" s="623">
        <v>14.25</v>
      </c>
      <c r="FT5" s="623">
        <v>14.25</v>
      </c>
      <c r="FU5" s="623">
        <v>14.25</v>
      </c>
      <c r="FV5" s="623">
        <v>14.25</v>
      </c>
      <c r="FW5" s="623">
        <v>14.25</v>
      </c>
      <c r="FX5" s="623">
        <v>3</v>
      </c>
      <c r="FZ5" s="905"/>
      <c r="GA5" s="933"/>
      <c r="GB5" s="933"/>
      <c r="GC5" s="933"/>
      <c r="GD5" s="933"/>
    </row>
    <row r="6" spans="1:186" s="1012" customFormat="1" ht="12" hidden="1" customHeight="1">
      <c r="B6" s="614"/>
      <c r="E6" s="623"/>
      <c r="G6" s="150"/>
      <c r="H6" s="150"/>
      <c r="I6" s="150"/>
      <c r="J6" s="150"/>
      <c r="K6" s="150"/>
      <c r="L6" s="150"/>
      <c r="M6" s="150"/>
      <c r="N6" s="150"/>
      <c r="O6" s="150"/>
      <c r="P6" s="150"/>
      <c r="Q6" s="394"/>
      <c r="R6" s="566"/>
      <c r="S6" s="150"/>
      <c r="AB6" s="109"/>
      <c r="AC6" s="109"/>
      <c r="AD6" s="113">
        <f>god</f>
        <v>2026</v>
      </c>
      <c r="AE6" s="113">
        <f>god</f>
        <v>2026</v>
      </c>
      <c r="AF6" s="113">
        <f>god</f>
        <v>2026</v>
      </c>
      <c r="AG6" s="113">
        <f>god+1</f>
        <v>2027</v>
      </c>
      <c r="AH6" s="113">
        <f>god+1</f>
        <v>2027</v>
      </c>
      <c r="AI6" s="113">
        <f>god+1</f>
        <v>2027</v>
      </c>
      <c r="AJ6" s="113">
        <f>god+2</f>
        <v>2028</v>
      </c>
      <c r="AK6" s="113">
        <f>god+2</f>
        <v>2028</v>
      </c>
      <c r="AL6" s="113">
        <f>god+2</f>
        <v>2028</v>
      </c>
      <c r="AM6" s="113">
        <f>god+3</f>
        <v>2029</v>
      </c>
      <c r="AN6" s="113">
        <f>god+3</f>
        <v>2029</v>
      </c>
      <c r="AO6" s="113">
        <f>god+3</f>
        <v>2029</v>
      </c>
      <c r="AP6" s="113">
        <f>god+4</f>
        <v>2030</v>
      </c>
      <c r="AQ6" s="113">
        <f>god+4</f>
        <v>2030</v>
      </c>
      <c r="AR6" s="113">
        <f>god+4</f>
        <v>2030</v>
      </c>
      <c r="AS6" s="113">
        <f>god+5</f>
        <v>2031</v>
      </c>
      <c r="AT6" s="113">
        <f>god+5</f>
        <v>2031</v>
      </c>
      <c r="AU6" s="113">
        <f>god+5</f>
        <v>2031</v>
      </c>
      <c r="AV6" s="113">
        <f>god+6</f>
        <v>2032</v>
      </c>
      <c r="AW6" s="113">
        <f>god+6</f>
        <v>2032</v>
      </c>
      <c r="AX6" s="113">
        <f>god+6</f>
        <v>2032</v>
      </c>
      <c r="AY6" s="113">
        <f>god+7</f>
        <v>2033</v>
      </c>
      <c r="AZ6" s="113">
        <f>god+7</f>
        <v>2033</v>
      </c>
      <c r="BA6" s="113">
        <f>god+7</f>
        <v>2033</v>
      </c>
      <c r="BB6" s="113">
        <f>god+8</f>
        <v>2034</v>
      </c>
      <c r="BC6" s="113">
        <f>god+8</f>
        <v>2034</v>
      </c>
      <c r="BD6" s="113">
        <f>god+8</f>
        <v>2034</v>
      </c>
      <c r="BE6" s="113">
        <f>god+9</f>
        <v>2035</v>
      </c>
      <c r="BF6" s="113">
        <f>god+9</f>
        <v>2035</v>
      </c>
      <c r="BG6" s="113">
        <f>god+9</f>
        <v>2035</v>
      </c>
      <c r="BH6" s="113">
        <f>god+10</f>
        <v>2036</v>
      </c>
      <c r="BI6" s="113">
        <f>god+10</f>
        <v>2036</v>
      </c>
      <c r="BJ6" s="113">
        <f>god+10</f>
        <v>2036</v>
      </c>
      <c r="BK6" s="113">
        <f>god+11</f>
        <v>2037</v>
      </c>
      <c r="BL6" s="113">
        <f>god+11</f>
        <v>2037</v>
      </c>
      <c r="BM6" s="113">
        <f>god+11</f>
        <v>2037</v>
      </c>
      <c r="BN6" s="113">
        <f>god+12</f>
        <v>2038</v>
      </c>
      <c r="BO6" s="113">
        <f>god+12</f>
        <v>2038</v>
      </c>
      <c r="BP6" s="113">
        <f>god+12</f>
        <v>2038</v>
      </c>
      <c r="BQ6" s="113">
        <f>god+13</f>
        <v>2039</v>
      </c>
      <c r="BR6" s="113">
        <f>god+13</f>
        <v>2039</v>
      </c>
      <c r="BS6" s="113">
        <f>god+13</f>
        <v>2039</v>
      </c>
      <c r="BT6" s="113">
        <f>god+14</f>
        <v>2040</v>
      </c>
      <c r="BU6" s="113">
        <f>god+14</f>
        <v>2040</v>
      </c>
      <c r="BV6" s="113">
        <f>god+14</f>
        <v>2040</v>
      </c>
      <c r="BW6" s="113">
        <f>god+15</f>
        <v>2041</v>
      </c>
      <c r="BX6" s="113">
        <f>god+15</f>
        <v>2041</v>
      </c>
      <c r="BY6" s="113">
        <f>god+15</f>
        <v>2041</v>
      </c>
      <c r="BZ6" s="113">
        <f>god+16</f>
        <v>2042</v>
      </c>
      <c r="CA6" s="113">
        <f>god+16</f>
        <v>2042</v>
      </c>
      <c r="CB6" s="113">
        <f>god+16</f>
        <v>2042</v>
      </c>
      <c r="CC6" s="113">
        <f>god+17</f>
        <v>2043</v>
      </c>
      <c r="CD6" s="113">
        <f>god+17</f>
        <v>2043</v>
      </c>
      <c r="CE6" s="113">
        <f>god+17</f>
        <v>2043</v>
      </c>
      <c r="CF6" s="113">
        <f>god+18</f>
        <v>2044</v>
      </c>
      <c r="CG6" s="113">
        <f>god+18</f>
        <v>2044</v>
      </c>
      <c r="CH6" s="113">
        <f>god+18</f>
        <v>2044</v>
      </c>
      <c r="CI6" s="113">
        <f>god+19</f>
        <v>2045</v>
      </c>
      <c r="CJ6" s="113">
        <f>god+19</f>
        <v>2045</v>
      </c>
      <c r="CK6" s="113">
        <f>god+19</f>
        <v>2045</v>
      </c>
      <c r="CL6" s="113">
        <f>god+20</f>
        <v>2046</v>
      </c>
      <c r="CM6" s="113">
        <f>god+20</f>
        <v>2046</v>
      </c>
      <c r="CN6" s="113">
        <f>god+20</f>
        <v>2046</v>
      </c>
      <c r="CO6" s="113">
        <f>god+21</f>
        <v>2047</v>
      </c>
      <c r="CP6" s="113">
        <f>god+21</f>
        <v>2047</v>
      </c>
      <c r="CQ6" s="113">
        <f>god+21</f>
        <v>2047</v>
      </c>
      <c r="CR6" s="113">
        <f>god+22</f>
        <v>2048</v>
      </c>
      <c r="CS6" s="113">
        <f>god+22</f>
        <v>2048</v>
      </c>
      <c r="CT6" s="113">
        <f>god+22</f>
        <v>2048</v>
      </c>
      <c r="CU6" s="113">
        <f>god+23</f>
        <v>2049</v>
      </c>
      <c r="CV6" s="113">
        <f>god+23</f>
        <v>2049</v>
      </c>
      <c r="CW6" s="113">
        <f>god+23</f>
        <v>2049</v>
      </c>
      <c r="CX6" s="113">
        <f>god+24</f>
        <v>2050</v>
      </c>
      <c r="CY6" s="113">
        <f>god+24</f>
        <v>2050</v>
      </c>
      <c r="CZ6" s="113">
        <f>god+24</f>
        <v>2050</v>
      </c>
      <c r="DA6" s="113">
        <f>god+25</f>
        <v>2051</v>
      </c>
      <c r="DB6" s="113">
        <f>god+25</f>
        <v>2051</v>
      </c>
      <c r="DC6" s="113">
        <f>god+25</f>
        <v>2051</v>
      </c>
      <c r="DD6" s="113">
        <f>god+26</f>
        <v>2052</v>
      </c>
      <c r="DE6" s="113">
        <f>god+26</f>
        <v>2052</v>
      </c>
      <c r="DF6" s="113">
        <f>god+26</f>
        <v>2052</v>
      </c>
      <c r="DG6" s="113">
        <f>god+27</f>
        <v>2053</v>
      </c>
      <c r="DH6" s="113">
        <f>god+27</f>
        <v>2053</v>
      </c>
      <c r="DI6" s="113">
        <f>god+27</f>
        <v>2053</v>
      </c>
      <c r="DJ6" s="113">
        <f>god+28</f>
        <v>2054</v>
      </c>
      <c r="DK6" s="113">
        <f>god+28</f>
        <v>2054</v>
      </c>
      <c r="DL6" s="113">
        <f>god+28</f>
        <v>2054</v>
      </c>
      <c r="DM6" s="113">
        <f>god+29</f>
        <v>2055</v>
      </c>
      <c r="DN6" s="113">
        <f>god+29</f>
        <v>2055</v>
      </c>
      <c r="DO6" s="113">
        <f>god+29</f>
        <v>2055</v>
      </c>
      <c r="DP6" s="113">
        <f>god+30</f>
        <v>2056</v>
      </c>
      <c r="DQ6" s="113">
        <f>god+30</f>
        <v>2056</v>
      </c>
      <c r="DR6" s="113">
        <f>god+30</f>
        <v>2056</v>
      </c>
      <c r="DS6" s="113">
        <f>god+31</f>
        <v>2057</v>
      </c>
      <c r="DT6" s="113">
        <f>god+31</f>
        <v>2057</v>
      </c>
      <c r="DU6" s="113">
        <f>god+31</f>
        <v>2057</v>
      </c>
      <c r="DV6" s="113">
        <f>god+32</f>
        <v>2058</v>
      </c>
      <c r="DW6" s="113">
        <f>god+32</f>
        <v>2058</v>
      </c>
      <c r="DX6" s="113">
        <f>god+32</f>
        <v>2058</v>
      </c>
      <c r="DY6" s="113">
        <f>god+33</f>
        <v>2059</v>
      </c>
      <c r="DZ6" s="113">
        <f>god+33</f>
        <v>2059</v>
      </c>
      <c r="EA6" s="113">
        <f>god+33</f>
        <v>2059</v>
      </c>
      <c r="EB6" s="113">
        <f>god+34</f>
        <v>2060</v>
      </c>
      <c r="EC6" s="113">
        <f>god+34</f>
        <v>2060</v>
      </c>
      <c r="ED6" s="113">
        <f>god+34</f>
        <v>2060</v>
      </c>
      <c r="EE6" s="113">
        <f>god+35</f>
        <v>2061</v>
      </c>
      <c r="EF6" s="113">
        <f>god+35</f>
        <v>2061</v>
      </c>
      <c r="EG6" s="113">
        <f>god+35</f>
        <v>2061</v>
      </c>
      <c r="EH6" s="113">
        <f>god+36</f>
        <v>2062</v>
      </c>
      <c r="EI6" s="113">
        <f>god+36</f>
        <v>2062</v>
      </c>
      <c r="EJ6" s="113">
        <f>god+36</f>
        <v>2062</v>
      </c>
      <c r="EK6" s="113">
        <f>god+37</f>
        <v>2063</v>
      </c>
      <c r="EL6" s="113">
        <f>god+37</f>
        <v>2063</v>
      </c>
      <c r="EM6" s="113">
        <f>god+37</f>
        <v>2063</v>
      </c>
      <c r="EN6" s="113">
        <f>god+38</f>
        <v>2064</v>
      </c>
      <c r="EO6" s="113">
        <f>god+38</f>
        <v>2064</v>
      </c>
      <c r="EP6" s="113">
        <f>god+38</f>
        <v>2064</v>
      </c>
      <c r="EQ6" s="113">
        <f>god+39</f>
        <v>2065</v>
      </c>
      <c r="ER6" s="113">
        <f>god+39</f>
        <v>2065</v>
      </c>
      <c r="ES6" s="113">
        <f>god+39</f>
        <v>2065</v>
      </c>
      <c r="ET6" s="113">
        <f>god+40</f>
        <v>2066</v>
      </c>
      <c r="EU6" s="113">
        <f>god+40</f>
        <v>2066</v>
      </c>
      <c r="EV6" s="113">
        <f>god+40</f>
        <v>2066</v>
      </c>
      <c r="EW6" s="113">
        <f>god+41</f>
        <v>2067</v>
      </c>
      <c r="EX6" s="113">
        <f>god+41</f>
        <v>2067</v>
      </c>
      <c r="EY6" s="113">
        <f>god+41</f>
        <v>2067</v>
      </c>
      <c r="EZ6" s="113">
        <f>god+42</f>
        <v>2068</v>
      </c>
      <c r="FA6" s="113">
        <f>god+42</f>
        <v>2068</v>
      </c>
      <c r="FB6" s="113">
        <f>god+42</f>
        <v>2068</v>
      </c>
      <c r="FC6" s="113">
        <f>god+43</f>
        <v>2069</v>
      </c>
      <c r="FD6" s="113">
        <f>god+43</f>
        <v>2069</v>
      </c>
      <c r="FE6" s="113">
        <f>god+43</f>
        <v>2069</v>
      </c>
      <c r="FF6" s="113">
        <f>god+44</f>
        <v>2070</v>
      </c>
      <c r="FG6" s="113">
        <f>god+44</f>
        <v>2070</v>
      </c>
      <c r="FH6" s="113">
        <f>god+44</f>
        <v>2070</v>
      </c>
      <c r="FI6" s="113">
        <f>god+45</f>
        <v>2071</v>
      </c>
      <c r="FJ6" s="113">
        <f>god+45</f>
        <v>2071</v>
      </c>
      <c r="FK6" s="113">
        <f>god+45</f>
        <v>2071</v>
      </c>
      <c r="FL6" s="113">
        <f>god+46</f>
        <v>2072</v>
      </c>
      <c r="FM6" s="113">
        <f>god+46</f>
        <v>2072</v>
      </c>
      <c r="FN6" s="113">
        <f>god+46</f>
        <v>2072</v>
      </c>
      <c r="FO6" s="113">
        <f>god+47</f>
        <v>2073</v>
      </c>
      <c r="FP6" s="113">
        <f>god+47</f>
        <v>2073</v>
      </c>
      <c r="FQ6" s="113">
        <f>god+47</f>
        <v>2073</v>
      </c>
      <c r="FR6" s="113">
        <f>god+48</f>
        <v>2074</v>
      </c>
      <c r="FS6" s="113">
        <f>god+48</f>
        <v>2074</v>
      </c>
      <c r="FT6" s="113">
        <f>god+48</f>
        <v>2074</v>
      </c>
      <c r="FU6" s="113">
        <f>god+49</f>
        <v>2075</v>
      </c>
      <c r="FV6" s="113">
        <f>god+49</f>
        <v>2075</v>
      </c>
      <c r="FW6" s="113">
        <f>god+49</f>
        <v>2075</v>
      </c>
      <c r="FZ6" s="912"/>
      <c r="GA6" s="930"/>
      <c r="GB6" s="930"/>
      <c r="GC6" s="930"/>
      <c r="GD6" s="930"/>
    </row>
    <row r="7" spans="1:186" ht="12" hidden="1" customHeight="1">
      <c r="F7" s="150"/>
      <c r="Q7" s="394"/>
      <c r="T7" s="150"/>
      <c r="U7" s="150"/>
      <c r="V7" s="150"/>
      <c r="W7" s="150"/>
      <c r="X7" s="150"/>
      <c r="Y7" s="150"/>
      <c r="Z7" s="150"/>
      <c r="AB7" s="152"/>
      <c r="AD7" s="150" t="str">
        <f t="shared" ref="AD7:BI7" si="5">AD26</f>
        <v>Предложение организации</v>
      </c>
      <c r="AE7" s="150" t="str">
        <f t="shared" si="5"/>
        <v>Принято органом регулирования</v>
      </c>
      <c r="AF7" s="150" t="str">
        <f t="shared" si="5"/>
        <v>Отклонение, %</v>
      </c>
      <c r="AG7" s="150" t="str">
        <f t="shared" si="5"/>
        <v>Предложение организации</v>
      </c>
      <c r="AH7" s="150" t="str">
        <f t="shared" si="5"/>
        <v>Принято органом регулирования</v>
      </c>
      <c r="AI7" s="150" t="str">
        <f t="shared" si="5"/>
        <v>Отклонение, %</v>
      </c>
      <c r="AJ7" s="150" t="str">
        <f t="shared" si="5"/>
        <v>Предложение организации</v>
      </c>
      <c r="AK7" s="150" t="str">
        <f t="shared" si="5"/>
        <v>Принято органом регулирования</v>
      </c>
      <c r="AL7" s="150" t="str">
        <f t="shared" si="5"/>
        <v>Отклонение, %</v>
      </c>
      <c r="AM7" s="150" t="str">
        <f t="shared" si="5"/>
        <v>Предложение организации</v>
      </c>
      <c r="AN7" s="150" t="str">
        <f t="shared" si="5"/>
        <v>Принято органом регулирования</v>
      </c>
      <c r="AO7" s="150" t="str">
        <f t="shared" si="5"/>
        <v>Отклонение, %</v>
      </c>
      <c r="AP7" s="150" t="str">
        <f t="shared" si="5"/>
        <v>Предложение организации</v>
      </c>
      <c r="AQ7" s="150" t="str">
        <f t="shared" si="5"/>
        <v>Принято органом регулирования</v>
      </c>
      <c r="AR7" s="150" t="str">
        <f t="shared" si="5"/>
        <v>Отклонение, %</v>
      </c>
      <c r="AS7" s="150" t="str">
        <f t="shared" si="5"/>
        <v>Предложение организации</v>
      </c>
      <c r="AT7" s="150" t="str">
        <f t="shared" si="5"/>
        <v>Принято органом регулирования</v>
      </c>
      <c r="AU7" s="150" t="str">
        <f t="shared" si="5"/>
        <v>Отклонение, %</v>
      </c>
      <c r="AV7" s="150" t="str">
        <f t="shared" si="5"/>
        <v>Предложение организации</v>
      </c>
      <c r="AW7" s="150" t="str">
        <f t="shared" si="5"/>
        <v>Принято органом регулирования</v>
      </c>
      <c r="AX7" s="150" t="str">
        <f t="shared" si="5"/>
        <v>Отклонение, %</v>
      </c>
      <c r="AY7" s="150" t="str">
        <f t="shared" si="5"/>
        <v>Предложение организации</v>
      </c>
      <c r="AZ7" s="150" t="str">
        <f t="shared" si="5"/>
        <v>Принято органом регулирования</v>
      </c>
      <c r="BA7" s="150" t="str">
        <f t="shared" si="5"/>
        <v>Отклонение, %</v>
      </c>
      <c r="BB7" s="150" t="str">
        <f t="shared" si="5"/>
        <v>Предложение организации</v>
      </c>
      <c r="BC7" s="150" t="str">
        <f t="shared" si="5"/>
        <v>Принято органом регулирования</v>
      </c>
      <c r="BD7" s="150" t="str">
        <f t="shared" si="5"/>
        <v>Отклонение, %</v>
      </c>
      <c r="BE7" s="150" t="str">
        <f t="shared" si="5"/>
        <v>Предложение организации</v>
      </c>
      <c r="BF7" s="150" t="str">
        <f t="shared" si="5"/>
        <v>Принято органом регулирования</v>
      </c>
      <c r="BG7" s="150" t="str">
        <f t="shared" si="5"/>
        <v>Отклонение, %</v>
      </c>
      <c r="BH7" s="150" t="str">
        <f t="shared" si="5"/>
        <v>Предложение организации</v>
      </c>
      <c r="BI7" s="150" t="str">
        <f t="shared" si="5"/>
        <v>Принято органом регулирования</v>
      </c>
      <c r="BJ7" s="150" t="str">
        <f t="shared" ref="BJ7:CO7" si="6">BJ26</f>
        <v>Отклонение, %</v>
      </c>
      <c r="BK7" s="150" t="str">
        <f t="shared" si="6"/>
        <v>Предложение организации</v>
      </c>
      <c r="BL7" s="150" t="str">
        <f t="shared" si="6"/>
        <v>Принято органом регулирования</v>
      </c>
      <c r="BM7" s="150" t="str">
        <f t="shared" si="6"/>
        <v>Отклонение, %</v>
      </c>
      <c r="BN7" s="150" t="str">
        <f t="shared" si="6"/>
        <v>Предложение организации</v>
      </c>
      <c r="BO7" s="150" t="str">
        <f t="shared" si="6"/>
        <v>Принято органом регулирования</v>
      </c>
      <c r="BP7" s="150" t="str">
        <f t="shared" si="6"/>
        <v>Отклонение, %</v>
      </c>
      <c r="BQ7" s="150" t="str">
        <f t="shared" si="6"/>
        <v>Предложение организации</v>
      </c>
      <c r="BR7" s="150" t="str">
        <f t="shared" si="6"/>
        <v>Принято органом регулирования</v>
      </c>
      <c r="BS7" s="150" t="str">
        <f t="shared" si="6"/>
        <v>Отклонение, %</v>
      </c>
      <c r="BT7" s="150" t="str">
        <f t="shared" si="6"/>
        <v>Предложение организации</v>
      </c>
      <c r="BU7" s="150" t="str">
        <f t="shared" si="6"/>
        <v>Принято органом регулирования</v>
      </c>
      <c r="BV7" s="150" t="str">
        <f t="shared" si="6"/>
        <v>Отклонение, %</v>
      </c>
      <c r="BW7" s="150" t="str">
        <f t="shared" si="6"/>
        <v>Предложение организации</v>
      </c>
      <c r="BX7" s="150" t="str">
        <f t="shared" si="6"/>
        <v>Принято органом регулирования</v>
      </c>
      <c r="BY7" s="150" t="str">
        <f t="shared" si="6"/>
        <v>Отклонение, %</v>
      </c>
      <c r="BZ7" s="150" t="str">
        <f t="shared" si="6"/>
        <v>Предложение организации</v>
      </c>
      <c r="CA7" s="150" t="str">
        <f t="shared" si="6"/>
        <v>Принято органом регулирования</v>
      </c>
      <c r="CB7" s="150" t="str">
        <f t="shared" si="6"/>
        <v>Отклонение, %</v>
      </c>
      <c r="CC7" s="150" t="str">
        <f t="shared" si="6"/>
        <v>Предложение организации</v>
      </c>
      <c r="CD7" s="150" t="str">
        <f t="shared" si="6"/>
        <v>Принято органом регулирования</v>
      </c>
      <c r="CE7" s="150" t="str">
        <f t="shared" si="6"/>
        <v>Отклонение, %</v>
      </c>
      <c r="CF7" s="150" t="str">
        <f t="shared" si="6"/>
        <v>Предложение организации</v>
      </c>
      <c r="CG7" s="150" t="str">
        <f t="shared" si="6"/>
        <v>Принято органом регулирования</v>
      </c>
      <c r="CH7" s="150" t="str">
        <f t="shared" si="6"/>
        <v>Отклонение, %</v>
      </c>
      <c r="CI7" s="150" t="str">
        <f t="shared" si="6"/>
        <v>Предложение организации</v>
      </c>
      <c r="CJ7" s="150" t="str">
        <f t="shared" si="6"/>
        <v>Принято органом регулирования</v>
      </c>
      <c r="CK7" s="150" t="str">
        <f t="shared" si="6"/>
        <v>Отклонение, %</v>
      </c>
      <c r="CL7" s="150" t="str">
        <f t="shared" si="6"/>
        <v>Предложение организации</v>
      </c>
      <c r="CM7" s="150" t="str">
        <f t="shared" si="6"/>
        <v>Принято органом регулирования</v>
      </c>
      <c r="CN7" s="150" t="str">
        <f t="shared" si="6"/>
        <v>Отклонение, %</v>
      </c>
      <c r="CO7" s="150" t="str">
        <f t="shared" si="6"/>
        <v>Предложение организации</v>
      </c>
      <c r="CP7" s="150" t="str">
        <f t="shared" ref="CP7:DU7" si="7">CP26</f>
        <v>Принято органом регулирования</v>
      </c>
      <c r="CQ7" s="150" t="str">
        <f t="shared" si="7"/>
        <v>Отклонение, %</v>
      </c>
      <c r="CR7" s="150" t="str">
        <f t="shared" si="7"/>
        <v>Предложение организации</v>
      </c>
      <c r="CS7" s="150" t="str">
        <f t="shared" si="7"/>
        <v>Принято органом регулирования</v>
      </c>
      <c r="CT7" s="150" t="str">
        <f t="shared" si="7"/>
        <v>Отклонение, %</v>
      </c>
      <c r="CU7" s="150" t="str">
        <f t="shared" si="7"/>
        <v>Предложение организации</v>
      </c>
      <c r="CV7" s="150" t="str">
        <f t="shared" si="7"/>
        <v>Принято органом регулирования</v>
      </c>
      <c r="CW7" s="150" t="str">
        <f t="shared" si="7"/>
        <v>Отклонение, %</v>
      </c>
      <c r="CX7" s="150" t="str">
        <f t="shared" si="7"/>
        <v>Предложение организации</v>
      </c>
      <c r="CY7" s="150" t="str">
        <f t="shared" si="7"/>
        <v>Принято органом регулирования</v>
      </c>
      <c r="CZ7" s="150" t="str">
        <f t="shared" si="7"/>
        <v>Отклонение, %</v>
      </c>
      <c r="DA7" s="150" t="str">
        <f t="shared" si="7"/>
        <v>Предложение организации</v>
      </c>
      <c r="DB7" s="150" t="str">
        <f t="shared" si="7"/>
        <v>Принято органом регулирования</v>
      </c>
      <c r="DC7" s="150" t="str">
        <f t="shared" si="7"/>
        <v>Отклонение, %</v>
      </c>
      <c r="DD7" s="150" t="str">
        <f t="shared" si="7"/>
        <v>Предложение организации</v>
      </c>
      <c r="DE7" s="150" t="str">
        <f t="shared" si="7"/>
        <v>Принято органом регулирования</v>
      </c>
      <c r="DF7" s="150" t="str">
        <f t="shared" si="7"/>
        <v>Отклонение, %</v>
      </c>
      <c r="DG7" s="150" t="str">
        <f t="shared" si="7"/>
        <v>Предложение организации</v>
      </c>
      <c r="DH7" s="150" t="str">
        <f t="shared" si="7"/>
        <v>Принято органом регулирования</v>
      </c>
      <c r="DI7" s="150" t="str">
        <f t="shared" si="7"/>
        <v>Отклонение, %</v>
      </c>
      <c r="DJ7" s="150" t="str">
        <f t="shared" si="7"/>
        <v>Предложение организации</v>
      </c>
      <c r="DK7" s="150" t="str">
        <f t="shared" si="7"/>
        <v>Принято органом регулирования</v>
      </c>
      <c r="DL7" s="150" t="str">
        <f t="shared" si="7"/>
        <v>Отклонение, %</v>
      </c>
      <c r="DM7" s="150" t="str">
        <f t="shared" si="7"/>
        <v>Предложение организации</v>
      </c>
      <c r="DN7" s="150" t="str">
        <f t="shared" si="7"/>
        <v>Принято органом регулирования</v>
      </c>
      <c r="DO7" s="150" t="str">
        <f t="shared" si="7"/>
        <v>Отклонение, %</v>
      </c>
      <c r="DP7" s="150" t="str">
        <f t="shared" si="7"/>
        <v>Предложение организации</v>
      </c>
      <c r="DQ7" s="150" t="str">
        <f t="shared" si="7"/>
        <v>Принято органом регулирования</v>
      </c>
      <c r="DR7" s="150" t="str">
        <f t="shared" si="7"/>
        <v>Отклонение, %</v>
      </c>
      <c r="DS7" s="150" t="str">
        <f t="shared" si="7"/>
        <v>Предложение организации</v>
      </c>
      <c r="DT7" s="150" t="str">
        <f t="shared" si="7"/>
        <v>Принято органом регулирования</v>
      </c>
      <c r="DU7" s="150" t="str">
        <f t="shared" si="7"/>
        <v>Отклонение, %</v>
      </c>
      <c r="DV7" s="150" t="str">
        <f t="shared" ref="DV7:FA7" si="8">DV26</f>
        <v>Предложение организации</v>
      </c>
      <c r="DW7" s="150" t="str">
        <f t="shared" si="8"/>
        <v>Принято органом регулирования</v>
      </c>
      <c r="DX7" s="150" t="str">
        <f t="shared" si="8"/>
        <v>Отклонение, %</v>
      </c>
      <c r="DY7" s="150" t="str">
        <f t="shared" si="8"/>
        <v>Предложение организации</v>
      </c>
      <c r="DZ7" s="150" t="str">
        <f t="shared" si="8"/>
        <v>Принято органом регулирования</v>
      </c>
      <c r="EA7" s="150" t="str">
        <f t="shared" si="8"/>
        <v>Отклонение, %</v>
      </c>
      <c r="EB7" s="150" t="str">
        <f t="shared" si="8"/>
        <v>Предложение организации</v>
      </c>
      <c r="EC7" s="150" t="str">
        <f t="shared" si="8"/>
        <v>Принято органом регулирования</v>
      </c>
      <c r="ED7" s="150" t="str">
        <f t="shared" si="8"/>
        <v>Отклонение, %</v>
      </c>
      <c r="EE7" s="150" t="str">
        <f t="shared" si="8"/>
        <v>Предложение организации</v>
      </c>
      <c r="EF7" s="150" t="str">
        <f t="shared" si="8"/>
        <v>Принято органом регулирования</v>
      </c>
      <c r="EG7" s="150" t="str">
        <f t="shared" si="8"/>
        <v>Отклонение, %</v>
      </c>
      <c r="EH7" s="150" t="str">
        <f t="shared" si="8"/>
        <v>Предложение организации</v>
      </c>
      <c r="EI7" s="150" t="str">
        <f t="shared" si="8"/>
        <v>Принято органом регулирования</v>
      </c>
      <c r="EJ7" s="150" t="str">
        <f t="shared" si="8"/>
        <v>Отклонение, %</v>
      </c>
      <c r="EK7" s="150" t="str">
        <f t="shared" si="8"/>
        <v>Предложение организации</v>
      </c>
      <c r="EL7" s="150" t="str">
        <f t="shared" si="8"/>
        <v>Принято органом регулирования</v>
      </c>
      <c r="EM7" s="150" t="str">
        <f t="shared" si="8"/>
        <v>Отклонение, %</v>
      </c>
      <c r="EN7" s="150" t="str">
        <f t="shared" si="8"/>
        <v>Предложение организации</v>
      </c>
      <c r="EO7" s="150" t="str">
        <f t="shared" si="8"/>
        <v>Принято органом регулирования</v>
      </c>
      <c r="EP7" s="150" t="str">
        <f t="shared" si="8"/>
        <v>Отклонение, %</v>
      </c>
      <c r="EQ7" s="150" t="str">
        <f t="shared" si="8"/>
        <v>Предложение организации</v>
      </c>
      <c r="ER7" s="150" t="str">
        <f t="shared" si="8"/>
        <v>Принято органом регулирования</v>
      </c>
      <c r="ES7" s="150" t="str">
        <f t="shared" si="8"/>
        <v>Отклонение, %</v>
      </c>
      <c r="ET7" s="150" t="str">
        <f t="shared" si="8"/>
        <v>Предложение организации</v>
      </c>
      <c r="EU7" s="150" t="str">
        <f t="shared" si="8"/>
        <v>Принято органом регулирования</v>
      </c>
      <c r="EV7" s="150" t="str">
        <f t="shared" si="8"/>
        <v>Отклонение, %</v>
      </c>
      <c r="EW7" s="150" t="str">
        <f t="shared" si="8"/>
        <v>Предложение организации</v>
      </c>
      <c r="EX7" s="150" t="str">
        <f t="shared" si="8"/>
        <v>Принято органом регулирования</v>
      </c>
      <c r="EY7" s="150" t="str">
        <f t="shared" si="8"/>
        <v>Отклонение, %</v>
      </c>
      <c r="EZ7" s="150" t="str">
        <f t="shared" si="8"/>
        <v>Предложение организации</v>
      </c>
      <c r="FA7" s="150" t="str">
        <f t="shared" si="8"/>
        <v>Принято органом регулирования</v>
      </c>
      <c r="FB7" s="150" t="str">
        <f t="shared" ref="FB7:FW7" si="9">FB26</f>
        <v>Отклонение, %</v>
      </c>
      <c r="FC7" s="150" t="str">
        <f t="shared" si="9"/>
        <v>Предложение организации</v>
      </c>
      <c r="FD7" s="150" t="str">
        <f t="shared" si="9"/>
        <v>Принято органом регулирования</v>
      </c>
      <c r="FE7" s="150" t="str">
        <f t="shared" si="9"/>
        <v>Отклонение, %</v>
      </c>
      <c r="FF7" s="150" t="str">
        <f t="shared" si="9"/>
        <v>Предложение организации</v>
      </c>
      <c r="FG7" s="150" t="str">
        <f t="shared" si="9"/>
        <v>Принято органом регулирования</v>
      </c>
      <c r="FH7" s="150" t="str">
        <f t="shared" si="9"/>
        <v>Отклонение, %</v>
      </c>
      <c r="FI7" s="150" t="str">
        <f t="shared" si="9"/>
        <v>Предложение организации</v>
      </c>
      <c r="FJ7" s="150" t="str">
        <f t="shared" si="9"/>
        <v>Принято органом регулирования</v>
      </c>
      <c r="FK7" s="150" t="str">
        <f t="shared" si="9"/>
        <v>Отклонение, %</v>
      </c>
      <c r="FL7" s="150" t="str">
        <f t="shared" si="9"/>
        <v>Предложение организации</v>
      </c>
      <c r="FM7" s="150" t="str">
        <f t="shared" si="9"/>
        <v>Принято органом регулирования</v>
      </c>
      <c r="FN7" s="150" t="str">
        <f t="shared" si="9"/>
        <v>Отклонение, %</v>
      </c>
      <c r="FO7" s="150" t="str">
        <f t="shared" si="9"/>
        <v>Предложение организации</v>
      </c>
      <c r="FP7" s="150" t="str">
        <f t="shared" si="9"/>
        <v>Принято органом регулирования</v>
      </c>
      <c r="FQ7" s="150" t="str">
        <f t="shared" si="9"/>
        <v>Отклонение, %</v>
      </c>
      <c r="FR7" s="150" t="str">
        <f t="shared" si="9"/>
        <v>Предложение организации</v>
      </c>
      <c r="FS7" s="150" t="str">
        <f t="shared" si="9"/>
        <v>Принято органом регулирования</v>
      </c>
      <c r="FT7" s="150" t="str">
        <f t="shared" si="9"/>
        <v>Отклонение, %</v>
      </c>
      <c r="FU7" s="150" t="str">
        <f t="shared" si="9"/>
        <v>Предложение организации</v>
      </c>
      <c r="FV7" s="150" t="str">
        <f t="shared" si="9"/>
        <v>Принято органом регулирования</v>
      </c>
      <c r="FW7" s="150" t="str">
        <f t="shared" si="9"/>
        <v>Отклонение, %</v>
      </c>
      <c r="GA7" s="930"/>
      <c r="GB7" s="930"/>
      <c r="GC7" s="930"/>
      <c r="GD7" s="930"/>
    </row>
    <row r="8" spans="1:186" ht="12" hidden="1" customHeight="1">
      <c r="F8" s="150"/>
      <c r="Q8" s="394"/>
      <c r="T8" s="150"/>
      <c r="U8" s="150"/>
      <c r="V8" s="150"/>
      <c r="W8" s="150"/>
      <c r="X8" s="150"/>
      <c r="Y8" s="150"/>
      <c r="Z8" s="150"/>
      <c r="AB8" s="152"/>
      <c r="AD8" s="150" t="str">
        <f t="shared" ref="AD8:BI8" si="10">AD6&amp;AD7</f>
        <v>2026Предложение организации</v>
      </c>
      <c r="AE8" s="150" t="str">
        <f t="shared" si="10"/>
        <v>2026Принято органом регулирования</v>
      </c>
      <c r="AF8" s="150" t="str">
        <f t="shared" si="10"/>
        <v>2026Отклонение, %</v>
      </c>
      <c r="AG8" s="150" t="str">
        <f t="shared" si="10"/>
        <v>2027Предложение организации</v>
      </c>
      <c r="AH8" s="150" t="str">
        <f t="shared" si="10"/>
        <v>2027Принято органом регулирования</v>
      </c>
      <c r="AI8" s="150" t="str">
        <f t="shared" si="10"/>
        <v>2027Отклонение, %</v>
      </c>
      <c r="AJ8" s="150" t="str">
        <f t="shared" si="10"/>
        <v>2028Предложение организации</v>
      </c>
      <c r="AK8" s="150" t="str">
        <f t="shared" si="10"/>
        <v>2028Принято органом регулирования</v>
      </c>
      <c r="AL8" s="150" t="str">
        <f t="shared" si="10"/>
        <v>2028Отклонение, %</v>
      </c>
      <c r="AM8" s="150" t="str">
        <f t="shared" si="10"/>
        <v>2029Предложение организации</v>
      </c>
      <c r="AN8" s="150" t="str">
        <f t="shared" si="10"/>
        <v>2029Принято органом регулирования</v>
      </c>
      <c r="AO8" s="150" t="str">
        <f t="shared" si="10"/>
        <v>2029Отклонение, %</v>
      </c>
      <c r="AP8" s="150" t="str">
        <f t="shared" si="10"/>
        <v>2030Предложение организации</v>
      </c>
      <c r="AQ8" s="150" t="str">
        <f t="shared" si="10"/>
        <v>2030Принято органом регулирования</v>
      </c>
      <c r="AR8" s="150" t="str">
        <f t="shared" si="10"/>
        <v>2030Отклонение, %</v>
      </c>
      <c r="AS8" s="150" t="str">
        <f t="shared" si="10"/>
        <v>2031Предложение организации</v>
      </c>
      <c r="AT8" s="150" t="str">
        <f t="shared" si="10"/>
        <v>2031Принято органом регулирования</v>
      </c>
      <c r="AU8" s="150" t="str">
        <f t="shared" si="10"/>
        <v>2031Отклонение, %</v>
      </c>
      <c r="AV8" s="150" t="str">
        <f t="shared" si="10"/>
        <v>2032Предложение организации</v>
      </c>
      <c r="AW8" s="150" t="str">
        <f t="shared" si="10"/>
        <v>2032Принято органом регулирования</v>
      </c>
      <c r="AX8" s="150" t="str">
        <f t="shared" si="10"/>
        <v>2032Отклонение, %</v>
      </c>
      <c r="AY8" s="150" t="str">
        <f t="shared" si="10"/>
        <v>2033Предложение организации</v>
      </c>
      <c r="AZ8" s="150" t="str">
        <f t="shared" si="10"/>
        <v>2033Принято органом регулирования</v>
      </c>
      <c r="BA8" s="150" t="str">
        <f t="shared" si="10"/>
        <v>2033Отклонение, %</v>
      </c>
      <c r="BB8" s="150" t="str">
        <f t="shared" si="10"/>
        <v>2034Предложение организации</v>
      </c>
      <c r="BC8" s="150" t="str">
        <f t="shared" si="10"/>
        <v>2034Принято органом регулирования</v>
      </c>
      <c r="BD8" s="150" t="str">
        <f t="shared" si="10"/>
        <v>2034Отклонение, %</v>
      </c>
      <c r="BE8" s="150" t="str">
        <f t="shared" si="10"/>
        <v>2035Предложение организации</v>
      </c>
      <c r="BF8" s="150" t="str">
        <f t="shared" si="10"/>
        <v>2035Принято органом регулирования</v>
      </c>
      <c r="BG8" s="150" t="str">
        <f t="shared" si="10"/>
        <v>2035Отклонение, %</v>
      </c>
      <c r="BH8" s="150" t="str">
        <f t="shared" si="10"/>
        <v>2036Предложение организации</v>
      </c>
      <c r="BI8" s="150" t="str">
        <f t="shared" si="10"/>
        <v>2036Принято органом регулирования</v>
      </c>
      <c r="BJ8" s="150" t="str">
        <f t="shared" ref="BJ8:CO8" si="11">BJ6&amp;BJ7</f>
        <v>2036Отклонение, %</v>
      </c>
      <c r="BK8" s="150" t="str">
        <f t="shared" si="11"/>
        <v>2037Предложение организации</v>
      </c>
      <c r="BL8" s="150" t="str">
        <f t="shared" si="11"/>
        <v>2037Принято органом регулирования</v>
      </c>
      <c r="BM8" s="150" t="str">
        <f t="shared" si="11"/>
        <v>2037Отклонение, %</v>
      </c>
      <c r="BN8" s="150" t="str">
        <f t="shared" si="11"/>
        <v>2038Предложение организации</v>
      </c>
      <c r="BO8" s="150" t="str">
        <f t="shared" si="11"/>
        <v>2038Принято органом регулирования</v>
      </c>
      <c r="BP8" s="150" t="str">
        <f t="shared" si="11"/>
        <v>2038Отклонение, %</v>
      </c>
      <c r="BQ8" s="150" t="str">
        <f t="shared" si="11"/>
        <v>2039Предложение организации</v>
      </c>
      <c r="BR8" s="150" t="str">
        <f t="shared" si="11"/>
        <v>2039Принято органом регулирования</v>
      </c>
      <c r="BS8" s="150" t="str">
        <f t="shared" si="11"/>
        <v>2039Отклонение, %</v>
      </c>
      <c r="BT8" s="150" t="str">
        <f t="shared" si="11"/>
        <v>2040Предложение организации</v>
      </c>
      <c r="BU8" s="150" t="str">
        <f t="shared" si="11"/>
        <v>2040Принято органом регулирования</v>
      </c>
      <c r="BV8" s="150" t="str">
        <f t="shared" si="11"/>
        <v>2040Отклонение, %</v>
      </c>
      <c r="BW8" s="150" t="str">
        <f t="shared" si="11"/>
        <v>2041Предложение организации</v>
      </c>
      <c r="BX8" s="150" t="str">
        <f t="shared" si="11"/>
        <v>2041Принято органом регулирования</v>
      </c>
      <c r="BY8" s="150" t="str">
        <f t="shared" si="11"/>
        <v>2041Отклонение, %</v>
      </c>
      <c r="BZ8" s="150" t="str">
        <f t="shared" si="11"/>
        <v>2042Предложение организации</v>
      </c>
      <c r="CA8" s="150" t="str">
        <f t="shared" si="11"/>
        <v>2042Принято органом регулирования</v>
      </c>
      <c r="CB8" s="150" t="str">
        <f t="shared" si="11"/>
        <v>2042Отклонение, %</v>
      </c>
      <c r="CC8" s="150" t="str">
        <f t="shared" si="11"/>
        <v>2043Предложение организации</v>
      </c>
      <c r="CD8" s="150" t="str">
        <f t="shared" si="11"/>
        <v>2043Принято органом регулирования</v>
      </c>
      <c r="CE8" s="150" t="str">
        <f t="shared" si="11"/>
        <v>2043Отклонение, %</v>
      </c>
      <c r="CF8" s="150" t="str">
        <f t="shared" si="11"/>
        <v>2044Предложение организации</v>
      </c>
      <c r="CG8" s="150" t="str">
        <f t="shared" si="11"/>
        <v>2044Принято органом регулирования</v>
      </c>
      <c r="CH8" s="150" t="str">
        <f t="shared" si="11"/>
        <v>2044Отклонение, %</v>
      </c>
      <c r="CI8" s="150" t="str">
        <f t="shared" si="11"/>
        <v>2045Предложение организации</v>
      </c>
      <c r="CJ8" s="150" t="str">
        <f t="shared" si="11"/>
        <v>2045Принято органом регулирования</v>
      </c>
      <c r="CK8" s="150" t="str">
        <f t="shared" si="11"/>
        <v>2045Отклонение, %</v>
      </c>
      <c r="CL8" s="150" t="str">
        <f t="shared" si="11"/>
        <v>2046Предложение организации</v>
      </c>
      <c r="CM8" s="150" t="str">
        <f t="shared" si="11"/>
        <v>2046Принято органом регулирования</v>
      </c>
      <c r="CN8" s="150" t="str">
        <f t="shared" si="11"/>
        <v>2046Отклонение, %</v>
      </c>
      <c r="CO8" s="150" t="str">
        <f t="shared" si="11"/>
        <v>2047Предложение организации</v>
      </c>
      <c r="CP8" s="150" t="str">
        <f t="shared" ref="CP8:DU8" si="12">CP6&amp;CP7</f>
        <v>2047Принято органом регулирования</v>
      </c>
      <c r="CQ8" s="150" t="str">
        <f t="shared" si="12"/>
        <v>2047Отклонение, %</v>
      </c>
      <c r="CR8" s="150" t="str">
        <f t="shared" si="12"/>
        <v>2048Предложение организации</v>
      </c>
      <c r="CS8" s="150" t="str">
        <f t="shared" si="12"/>
        <v>2048Принято органом регулирования</v>
      </c>
      <c r="CT8" s="150" t="str">
        <f t="shared" si="12"/>
        <v>2048Отклонение, %</v>
      </c>
      <c r="CU8" s="150" t="str">
        <f t="shared" si="12"/>
        <v>2049Предложение организации</v>
      </c>
      <c r="CV8" s="150" t="str">
        <f t="shared" si="12"/>
        <v>2049Принято органом регулирования</v>
      </c>
      <c r="CW8" s="150" t="str">
        <f t="shared" si="12"/>
        <v>2049Отклонение, %</v>
      </c>
      <c r="CX8" s="150" t="str">
        <f t="shared" si="12"/>
        <v>2050Предложение организации</v>
      </c>
      <c r="CY8" s="150" t="str">
        <f t="shared" si="12"/>
        <v>2050Принято органом регулирования</v>
      </c>
      <c r="CZ8" s="150" t="str">
        <f t="shared" si="12"/>
        <v>2050Отклонение, %</v>
      </c>
      <c r="DA8" s="150" t="str">
        <f t="shared" si="12"/>
        <v>2051Предложение организации</v>
      </c>
      <c r="DB8" s="150" t="str">
        <f t="shared" si="12"/>
        <v>2051Принято органом регулирования</v>
      </c>
      <c r="DC8" s="150" t="str">
        <f t="shared" si="12"/>
        <v>2051Отклонение, %</v>
      </c>
      <c r="DD8" s="150" t="str">
        <f t="shared" si="12"/>
        <v>2052Предложение организации</v>
      </c>
      <c r="DE8" s="150" t="str">
        <f t="shared" si="12"/>
        <v>2052Принято органом регулирования</v>
      </c>
      <c r="DF8" s="150" t="str">
        <f t="shared" si="12"/>
        <v>2052Отклонение, %</v>
      </c>
      <c r="DG8" s="150" t="str">
        <f t="shared" si="12"/>
        <v>2053Предложение организации</v>
      </c>
      <c r="DH8" s="150" t="str">
        <f t="shared" si="12"/>
        <v>2053Принято органом регулирования</v>
      </c>
      <c r="DI8" s="150" t="str">
        <f t="shared" si="12"/>
        <v>2053Отклонение, %</v>
      </c>
      <c r="DJ8" s="150" t="str">
        <f t="shared" si="12"/>
        <v>2054Предложение организации</v>
      </c>
      <c r="DK8" s="150" t="str">
        <f t="shared" si="12"/>
        <v>2054Принято органом регулирования</v>
      </c>
      <c r="DL8" s="150" t="str">
        <f t="shared" si="12"/>
        <v>2054Отклонение, %</v>
      </c>
      <c r="DM8" s="150" t="str">
        <f t="shared" si="12"/>
        <v>2055Предложение организации</v>
      </c>
      <c r="DN8" s="150" t="str">
        <f t="shared" si="12"/>
        <v>2055Принято органом регулирования</v>
      </c>
      <c r="DO8" s="150" t="str">
        <f t="shared" si="12"/>
        <v>2055Отклонение, %</v>
      </c>
      <c r="DP8" s="150" t="str">
        <f t="shared" si="12"/>
        <v>2056Предложение организации</v>
      </c>
      <c r="DQ8" s="150" t="str">
        <f t="shared" si="12"/>
        <v>2056Принято органом регулирования</v>
      </c>
      <c r="DR8" s="150" t="str">
        <f t="shared" si="12"/>
        <v>2056Отклонение, %</v>
      </c>
      <c r="DS8" s="150" t="str">
        <f t="shared" si="12"/>
        <v>2057Предложение организации</v>
      </c>
      <c r="DT8" s="150" t="str">
        <f t="shared" si="12"/>
        <v>2057Принято органом регулирования</v>
      </c>
      <c r="DU8" s="150" t="str">
        <f t="shared" si="12"/>
        <v>2057Отклонение, %</v>
      </c>
      <c r="DV8" s="150" t="str">
        <f t="shared" ref="DV8:FA8" si="13">DV6&amp;DV7</f>
        <v>2058Предложение организации</v>
      </c>
      <c r="DW8" s="150" t="str">
        <f t="shared" si="13"/>
        <v>2058Принято органом регулирования</v>
      </c>
      <c r="DX8" s="150" t="str">
        <f t="shared" si="13"/>
        <v>2058Отклонение, %</v>
      </c>
      <c r="DY8" s="150" t="str">
        <f t="shared" si="13"/>
        <v>2059Предложение организации</v>
      </c>
      <c r="DZ8" s="150" t="str">
        <f t="shared" si="13"/>
        <v>2059Принято органом регулирования</v>
      </c>
      <c r="EA8" s="150" t="str">
        <f t="shared" si="13"/>
        <v>2059Отклонение, %</v>
      </c>
      <c r="EB8" s="150" t="str">
        <f t="shared" si="13"/>
        <v>2060Предложение организации</v>
      </c>
      <c r="EC8" s="150" t="str">
        <f t="shared" si="13"/>
        <v>2060Принято органом регулирования</v>
      </c>
      <c r="ED8" s="150" t="str">
        <f t="shared" si="13"/>
        <v>2060Отклонение, %</v>
      </c>
      <c r="EE8" s="150" t="str">
        <f t="shared" si="13"/>
        <v>2061Предложение организации</v>
      </c>
      <c r="EF8" s="150" t="str">
        <f t="shared" si="13"/>
        <v>2061Принято органом регулирования</v>
      </c>
      <c r="EG8" s="150" t="str">
        <f t="shared" si="13"/>
        <v>2061Отклонение, %</v>
      </c>
      <c r="EH8" s="150" t="str">
        <f t="shared" si="13"/>
        <v>2062Предложение организации</v>
      </c>
      <c r="EI8" s="150" t="str">
        <f t="shared" si="13"/>
        <v>2062Принято органом регулирования</v>
      </c>
      <c r="EJ8" s="150" t="str">
        <f t="shared" si="13"/>
        <v>2062Отклонение, %</v>
      </c>
      <c r="EK8" s="150" t="str">
        <f t="shared" si="13"/>
        <v>2063Предложение организации</v>
      </c>
      <c r="EL8" s="150" t="str">
        <f t="shared" si="13"/>
        <v>2063Принято органом регулирования</v>
      </c>
      <c r="EM8" s="150" t="str">
        <f t="shared" si="13"/>
        <v>2063Отклонение, %</v>
      </c>
      <c r="EN8" s="150" t="str">
        <f t="shared" si="13"/>
        <v>2064Предложение организации</v>
      </c>
      <c r="EO8" s="150" t="str">
        <f t="shared" si="13"/>
        <v>2064Принято органом регулирования</v>
      </c>
      <c r="EP8" s="150" t="str">
        <f t="shared" si="13"/>
        <v>2064Отклонение, %</v>
      </c>
      <c r="EQ8" s="150" t="str">
        <f t="shared" si="13"/>
        <v>2065Предложение организации</v>
      </c>
      <c r="ER8" s="150" t="str">
        <f t="shared" si="13"/>
        <v>2065Принято органом регулирования</v>
      </c>
      <c r="ES8" s="150" t="str">
        <f t="shared" si="13"/>
        <v>2065Отклонение, %</v>
      </c>
      <c r="ET8" s="150" t="str">
        <f t="shared" si="13"/>
        <v>2066Предложение организации</v>
      </c>
      <c r="EU8" s="150" t="str">
        <f t="shared" si="13"/>
        <v>2066Принято органом регулирования</v>
      </c>
      <c r="EV8" s="150" t="str">
        <f t="shared" si="13"/>
        <v>2066Отклонение, %</v>
      </c>
      <c r="EW8" s="150" t="str">
        <f t="shared" si="13"/>
        <v>2067Предложение организации</v>
      </c>
      <c r="EX8" s="150" t="str">
        <f t="shared" si="13"/>
        <v>2067Принято органом регулирования</v>
      </c>
      <c r="EY8" s="150" t="str">
        <f t="shared" si="13"/>
        <v>2067Отклонение, %</v>
      </c>
      <c r="EZ8" s="150" t="str">
        <f t="shared" si="13"/>
        <v>2068Предложение организации</v>
      </c>
      <c r="FA8" s="150" t="str">
        <f t="shared" si="13"/>
        <v>2068Принято органом регулирования</v>
      </c>
      <c r="FB8" s="150" t="str">
        <f t="shared" ref="FB8:GG8" si="14">FB6&amp;FB7</f>
        <v>2068Отклонение, %</v>
      </c>
      <c r="FC8" s="150" t="str">
        <f t="shared" si="14"/>
        <v>2069Предложение организации</v>
      </c>
      <c r="FD8" s="150" t="str">
        <f t="shared" si="14"/>
        <v>2069Принято органом регулирования</v>
      </c>
      <c r="FE8" s="150" t="str">
        <f t="shared" si="14"/>
        <v>2069Отклонение, %</v>
      </c>
      <c r="FF8" s="150" t="str">
        <f t="shared" si="14"/>
        <v>2070Предложение организации</v>
      </c>
      <c r="FG8" s="150" t="str">
        <f t="shared" si="14"/>
        <v>2070Принято органом регулирования</v>
      </c>
      <c r="FH8" s="150" t="str">
        <f t="shared" si="14"/>
        <v>2070Отклонение, %</v>
      </c>
      <c r="FI8" s="150" t="str">
        <f t="shared" si="14"/>
        <v>2071Предложение организации</v>
      </c>
      <c r="FJ8" s="150" t="str">
        <f t="shared" si="14"/>
        <v>2071Принято органом регулирования</v>
      </c>
      <c r="FK8" s="150" t="str">
        <f t="shared" si="14"/>
        <v>2071Отклонение, %</v>
      </c>
      <c r="FL8" s="150" t="str">
        <f t="shared" si="14"/>
        <v>2072Предложение организации</v>
      </c>
      <c r="FM8" s="150" t="str">
        <f t="shared" si="14"/>
        <v>2072Принято органом регулирования</v>
      </c>
      <c r="FN8" s="150" t="str">
        <f t="shared" si="14"/>
        <v>2072Отклонение, %</v>
      </c>
      <c r="FO8" s="150" t="str">
        <f t="shared" si="14"/>
        <v>2073Предложение организации</v>
      </c>
      <c r="FP8" s="150" t="str">
        <f t="shared" si="14"/>
        <v>2073Принято органом регулирования</v>
      </c>
      <c r="FQ8" s="150" t="str">
        <f t="shared" si="14"/>
        <v>2073Отклонение, %</v>
      </c>
      <c r="FR8" s="150" t="str">
        <f t="shared" si="14"/>
        <v>2074Предложение организации</v>
      </c>
      <c r="FS8" s="150" t="str">
        <f t="shared" si="14"/>
        <v>2074Принято органом регулирования</v>
      </c>
      <c r="FT8" s="150" t="str">
        <f t="shared" si="14"/>
        <v>2074Отклонение, %</v>
      </c>
      <c r="FU8" s="150" t="str">
        <f t="shared" si="14"/>
        <v>2075Предложение организации</v>
      </c>
      <c r="FV8" s="150" t="str">
        <f t="shared" si="14"/>
        <v>2075Принято органом регулирования</v>
      </c>
      <c r="FW8" s="150" t="str">
        <f t="shared" si="14"/>
        <v>2075Отклонение, %</v>
      </c>
      <c r="GA8" s="930"/>
      <c r="GB8" s="930"/>
      <c r="GC8" s="930"/>
      <c r="GD8" s="930"/>
    </row>
    <row r="9" spans="1:186" s="928" customFormat="1" ht="12" hidden="1" customHeight="1">
      <c r="A9" s="890" t="s">
        <v>327</v>
      </c>
      <c r="B9" s="878"/>
      <c r="E9" s="878"/>
      <c r="R9" s="892"/>
      <c r="AD9" s="891">
        <f>god</f>
        <v>2026</v>
      </c>
      <c r="AE9" s="891">
        <f>god</f>
        <v>2026</v>
      </c>
      <c r="AF9" s="891">
        <f>god</f>
        <v>2026</v>
      </c>
      <c r="AG9" s="891">
        <f>god+1</f>
        <v>2027</v>
      </c>
      <c r="AH9" s="891">
        <f>god+1</f>
        <v>2027</v>
      </c>
      <c r="AI9" s="891">
        <f>god+1</f>
        <v>2027</v>
      </c>
      <c r="AJ9" s="891">
        <f>god+2</f>
        <v>2028</v>
      </c>
      <c r="AK9" s="891">
        <f>god+2</f>
        <v>2028</v>
      </c>
      <c r="AL9" s="891">
        <f>god+2</f>
        <v>2028</v>
      </c>
      <c r="AM9" s="891">
        <f>god+3</f>
        <v>2029</v>
      </c>
      <c r="AN9" s="891">
        <f>god+3</f>
        <v>2029</v>
      </c>
      <c r="AO9" s="891">
        <f>god+3</f>
        <v>2029</v>
      </c>
      <c r="AP9" s="891">
        <f>god+4</f>
        <v>2030</v>
      </c>
      <c r="AQ9" s="891">
        <f>god+4</f>
        <v>2030</v>
      </c>
      <c r="AR9" s="891">
        <f>god+4</f>
        <v>2030</v>
      </c>
      <c r="AS9" s="891">
        <f>god+5</f>
        <v>2031</v>
      </c>
      <c r="AT9" s="891">
        <f>god+5</f>
        <v>2031</v>
      </c>
      <c r="AU9" s="891">
        <f>god+5</f>
        <v>2031</v>
      </c>
      <c r="AV9" s="891">
        <f>god+6</f>
        <v>2032</v>
      </c>
      <c r="AW9" s="891">
        <f>god+6</f>
        <v>2032</v>
      </c>
      <c r="AX9" s="891">
        <f>god+6</f>
        <v>2032</v>
      </c>
      <c r="AY9" s="891">
        <f>god+7</f>
        <v>2033</v>
      </c>
      <c r="AZ9" s="891">
        <f>god+7</f>
        <v>2033</v>
      </c>
      <c r="BA9" s="891">
        <f>god+7</f>
        <v>2033</v>
      </c>
      <c r="BB9" s="891">
        <f>god+8</f>
        <v>2034</v>
      </c>
      <c r="BC9" s="891">
        <f>god+8</f>
        <v>2034</v>
      </c>
      <c r="BD9" s="891">
        <f>god+8</f>
        <v>2034</v>
      </c>
      <c r="BE9" s="891">
        <f>god+9</f>
        <v>2035</v>
      </c>
      <c r="BF9" s="891">
        <f>god+9</f>
        <v>2035</v>
      </c>
      <c r="BG9" s="891">
        <f>god+9</f>
        <v>2035</v>
      </c>
      <c r="BH9" s="891">
        <f>god+10</f>
        <v>2036</v>
      </c>
      <c r="BI9" s="891">
        <f>god+10</f>
        <v>2036</v>
      </c>
      <c r="BJ9" s="891">
        <f>god+10</f>
        <v>2036</v>
      </c>
      <c r="BK9" s="891">
        <f>god+11</f>
        <v>2037</v>
      </c>
      <c r="BL9" s="891">
        <f>god+11</f>
        <v>2037</v>
      </c>
      <c r="BM9" s="891">
        <f>god+11</f>
        <v>2037</v>
      </c>
      <c r="BN9" s="891">
        <f>god+12</f>
        <v>2038</v>
      </c>
      <c r="BO9" s="891">
        <f>god+12</f>
        <v>2038</v>
      </c>
      <c r="BP9" s="891">
        <f>god+12</f>
        <v>2038</v>
      </c>
      <c r="BQ9" s="891">
        <f>god+13</f>
        <v>2039</v>
      </c>
      <c r="BR9" s="891">
        <f>god+13</f>
        <v>2039</v>
      </c>
      <c r="BS9" s="891">
        <f>god+13</f>
        <v>2039</v>
      </c>
      <c r="BT9" s="891">
        <f>god+14</f>
        <v>2040</v>
      </c>
      <c r="BU9" s="891">
        <f>god+14</f>
        <v>2040</v>
      </c>
      <c r="BV9" s="891">
        <f>god+14</f>
        <v>2040</v>
      </c>
      <c r="BW9" s="891">
        <f>god+15</f>
        <v>2041</v>
      </c>
      <c r="BX9" s="891">
        <f>god+15</f>
        <v>2041</v>
      </c>
      <c r="BY9" s="891">
        <f>god+15</f>
        <v>2041</v>
      </c>
      <c r="BZ9" s="891">
        <f>god+16</f>
        <v>2042</v>
      </c>
      <c r="CA9" s="891">
        <f>god+16</f>
        <v>2042</v>
      </c>
      <c r="CB9" s="891">
        <f>god+16</f>
        <v>2042</v>
      </c>
      <c r="CC9" s="891">
        <f>god+17</f>
        <v>2043</v>
      </c>
      <c r="CD9" s="891">
        <f>god+17</f>
        <v>2043</v>
      </c>
      <c r="CE9" s="891">
        <f>god+17</f>
        <v>2043</v>
      </c>
      <c r="CF9" s="891">
        <f>god+18</f>
        <v>2044</v>
      </c>
      <c r="CG9" s="891">
        <f>god+18</f>
        <v>2044</v>
      </c>
      <c r="CH9" s="891">
        <f>god+18</f>
        <v>2044</v>
      </c>
      <c r="CI9" s="891">
        <f>god+19</f>
        <v>2045</v>
      </c>
      <c r="CJ9" s="891">
        <f>god+19</f>
        <v>2045</v>
      </c>
      <c r="CK9" s="891">
        <f>god+19</f>
        <v>2045</v>
      </c>
      <c r="CL9" s="891">
        <f>god+20</f>
        <v>2046</v>
      </c>
      <c r="CM9" s="891">
        <f>god+20</f>
        <v>2046</v>
      </c>
      <c r="CN9" s="891">
        <f>god+20</f>
        <v>2046</v>
      </c>
      <c r="CO9" s="891">
        <f>god+21</f>
        <v>2047</v>
      </c>
      <c r="CP9" s="891">
        <f>god+21</f>
        <v>2047</v>
      </c>
      <c r="CQ9" s="891">
        <f>god+21</f>
        <v>2047</v>
      </c>
      <c r="CR9" s="891">
        <f>god+22</f>
        <v>2048</v>
      </c>
      <c r="CS9" s="891">
        <f>god+22</f>
        <v>2048</v>
      </c>
      <c r="CT9" s="891">
        <f>god+22</f>
        <v>2048</v>
      </c>
      <c r="CU9" s="891">
        <f>god+23</f>
        <v>2049</v>
      </c>
      <c r="CV9" s="891">
        <f>god+23</f>
        <v>2049</v>
      </c>
      <c r="CW9" s="891">
        <f>god+23</f>
        <v>2049</v>
      </c>
      <c r="CX9" s="891">
        <f>god+24</f>
        <v>2050</v>
      </c>
      <c r="CY9" s="891">
        <f>god+24</f>
        <v>2050</v>
      </c>
      <c r="CZ9" s="891">
        <f>god+24</f>
        <v>2050</v>
      </c>
      <c r="DA9" s="891">
        <f>god+25</f>
        <v>2051</v>
      </c>
      <c r="DB9" s="891">
        <f>god+25</f>
        <v>2051</v>
      </c>
      <c r="DC9" s="891">
        <f>god+25</f>
        <v>2051</v>
      </c>
      <c r="DD9" s="891">
        <f>god+26</f>
        <v>2052</v>
      </c>
      <c r="DE9" s="891">
        <f>god+26</f>
        <v>2052</v>
      </c>
      <c r="DF9" s="891">
        <f>god+26</f>
        <v>2052</v>
      </c>
      <c r="DG9" s="891">
        <f>god+27</f>
        <v>2053</v>
      </c>
      <c r="DH9" s="891">
        <f>god+27</f>
        <v>2053</v>
      </c>
      <c r="DI9" s="891">
        <f>god+27</f>
        <v>2053</v>
      </c>
      <c r="DJ9" s="891">
        <f>god+28</f>
        <v>2054</v>
      </c>
      <c r="DK9" s="891">
        <f>god+28</f>
        <v>2054</v>
      </c>
      <c r="DL9" s="891">
        <f>god+28</f>
        <v>2054</v>
      </c>
      <c r="DM9" s="891">
        <f>god+29</f>
        <v>2055</v>
      </c>
      <c r="DN9" s="891">
        <f>god+29</f>
        <v>2055</v>
      </c>
      <c r="DO9" s="891">
        <f>god+29</f>
        <v>2055</v>
      </c>
      <c r="DP9" s="891">
        <f>god+30</f>
        <v>2056</v>
      </c>
      <c r="DQ9" s="891">
        <f>god+30</f>
        <v>2056</v>
      </c>
      <c r="DR9" s="891">
        <f>god+30</f>
        <v>2056</v>
      </c>
      <c r="DS9" s="891">
        <f>god+31</f>
        <v>2057</v>
      </c>
      <c r="DT9" s="891">
        <f>god+31</f>
        <v>2057</v>
      </c>
      <c r="DU9" s="891">
        <f>god+31</f>
        <v>2057</v>
      </c>
      <c r="DV9" s="891">
        <f>god+32</f>
        <v>2058</v>
      </c>
      <c r="DW9" s="891">
        <f>god+32</f>
        <v>2058</v>
      </c>
      <c r="DX9" s="891">
        <f>god+32</f>
        <v>2058</v>
      </c>
      <c r="DY9" s="891">
        <f>god+33</f>
        <v>2059</v>
      </c>
      <c r="DZ9" s="891">
        <f>god+33</f>
        <v>2059</v>
      </c>
      <c r="EA9" s="891">
        <f>god+33</f>
        <v>2059</v>
      </c>
      <c r="EB9" s="891">
        <f>god+34</f>
        <v>2060</v>
      </c>
      <c r="EC9" s="891">
        <f>god+34</f>
        <v>2060</v>
      </c>
      <c r="ED9" s="891">
        <f>god+34</f>
        <v>2060</v>
      </c>
      <c r="EE9" s="891">
        <f>god+35</f>
        <v>2061</v>
      </c>
      <c r="EF9" s="891">
        <f>god+35</f>
        <v>2061</v>
      </c>
      <c r="EG9" s="891">
        <f>god+35</f>
        <v>2061</v>
      </c>
      <c r="EH9" s="891">
        <f>god+36</f>
        <v>2062</v>
      </c>
      <c r="EI9" s="891">
        <f>god+36</f>
        <v>2062</v>
      </c>
      <c r="EJ9" s="891">
        <f>god+36</f>
        <v>2062</v>
      </c>
      <c r="EK9" s="891">
        <f>god+37</f>
        <v>2063</v>
      </c>
      <c r="EL9" s="891">
        <f>god+37</f>
        <v>2063</v>
      </c>
      <c r="EM9" s="891">
        <f>god+37</f>
        <v>2063</v>
      </c>
      <c r="EN9" s="891">
        <f>god+38</f>
        <v>2064</v>
      </c>
      <c r="EO9" s="891">
        <f>god+38</f>
        <v>2064</v>
      </c>
      <c r="EP9" s="891">
        <f>god+38</f>
        <v>2064</v>
      </c>
      <c r="EQ9" s="891">
        <f>god+39</f>
        <v>2065</v>
      </c>
      <c r="ER9" s="891">
        <f>god+39</f>
        <v>2065</v>
      </c>
      <c r="ES9" s="891">
        <f>god+39</f>
        <v>2065</v>
      </c>
      <c r="ET9" s="891">
        <f>god+40</f>
        <v>2066</v>
      </c>
      <c r="EU9" s="891">
        <f>god+40</f>
        <v>2066</v>
      </c>
      <c r="EV9" s="891">
        <f>god+40</f>
        <v>2066</v>
      </c>
      <c r="EW9" s="891">
        <f>god+41</f>
        <v>2067</v>
      </c>
      <c r="EX9" s="891">
        <f>god+41</f>
        <v>2067</v>
      </c>
      <c r="EY9" s="891">
        <f>god+41</f>
        <v>2067</v>
      </c>
      <c r="EZ9" s="891">
        <f>god+42</f>
        <v>2068</v>
      </c>
      <c r="FA9" s="891">
        <f>god+42</f>
        <v>2068</v>
      </c>
      <c r="FB9" s="891">
        <f>god+42</f>
        <v>2068</v>
      </c>
      <c r="FC9" s="891">
        <f>god+43</f>
        <v>2069</v>
      </c>
      <c r="FD9" s="891">
        <f>god+43</f>
        <v>2069</v>
      </c>
      <c r="FE9" s="891">
        <f>god+43</f>
        <v>2069</v>
      </c>
      <c r="FF9" s="891">
        <f>god+44</f>
        <v>2070</v>
      </c>
      <c r="FG9" s="891">
        <f>god+44</f>
        <v>2070</v>
      </c>
      <c r="FH9" s="891">
        <f>god+44</f>
        <v>2070</v>
      </c>
      <c r="FI9" s="891">
        <f>god+45</f>
        <v>2071</v>
      </c>
      <c r="FJ9" s="891">
        <f>god+45</f>
        <v>2071</v>
      </c>
      <c r="FK9" s="891">
        <f>god+45</f>
        <v>2071</v>
      </c>
      <c r="FL9" s="891">
        <f>god+46</f>
        <v>2072</v>
      </c>
      <c r="FM9" s="891">
        <f>god+46</f>
        <v>2072</v>
      </c>
      <c r="FN9" s="891">
        <f>god+46</f>
        <v>2072</v>
      </c>
      <c r="FO9" s="891">
        <f>god+47</f>
        <v>2073</v>
      </c>
      <c r="FP9" s="891">
        <f>god+47</f>
        <v>2073</v>
      </c>
      <c r="FQ9" s="891">
        <f>god+47</f>
        <v>2073</v>
      </c>
      <c r="FR9" s="891">
        <f>god+48</f>
        <v>2074</v>
      </c>
      <c r="FS9" s="891">
        <f>god+48</f>
        <v>2074</v>
      </c>
      <c r="FT9" s="891">
        <f>god+48</f>
        <v>2074</v>
      </c>
      <c r="FU9" s="891">
        <f>god+49</f>
        <v>2075</v>
      </c>
      <c r="FV9" s="891">
        <f>god+49</f>
        <v>2075</v>
      </c>
      <c r="FW9" s="891">
        <f>god+49</f>
        <v>2075</v>
      </c>
      <c r="FZ9" s="912"/>
      <c r="GA9" s="930"/>
      <c r="GB9" s="930"/>
      <c r="GC9" s="930"/>
      <c r="GD9" s="930"/>
    </row>
    <row r="10" spans="1:186" s="928" customFormat="1" ht="12" hidden="1" customHeight="1">
      <c r="A10" s="890" t="s">
        <v>328</v>
      </c>
      <c r="B10" s="878"/>
      <c r="E10" s="878"/>
      <c r="R10" s="892"/>
      <c r="AD10" s="891" t="str">
        <f t="shared" ref="AD10:BI10" si="15">AD26</f>
        <v>Предложение организации</v>
      </c>
      <c r="AE10" s="891" t="str">
        <f t="shared" si="15"/>
        <v>Принято органом регулирования</v>
      </c>
      <c r="AF10" s="891" t="str">
        <f t="shared" si="15"/>
        <v>Отклонение, %</v>
      </c>
      <c r="AG10" s="891" t="str">
        <f t="shared" si="15"/>
        <v>Предложение организации</v>
      </c>
      <c r="AH10" s="891" t="str">
        <f t="shared" si="15"/>
        <v>Принято органом регулирования</v>
      </c>
      <c r="AI10" s="891" t="str">
        <f t="shared" si="15"/>
        <v>Отклонение, %</v>
      </c>
      <c r="AJ10" s="891" t="str">
        <f t="shared" si="15"/>
        <v>Предложение организации</v>
      </c>
      <c r="AK10" s="891" t="str">
        <f t="shared" si="15"/>
        <v>Принято органом регулирования</v>
      </c>
      <c r="AL10" s="891" t="str">
        <f t="shared" si="15"/>
        <v>Отклонение, %</v>
      </c>
      <c r="AM10" s="891" t="str">
        <f t="shared" si="15"/>
        <v>Предложение организации</v>
      </c>
      <c r="AN10" s="891" t="str">
        <f t="shared" si="15"/>
        <v>Принято органом регулирования</v>
      </c>
      <c r="AO10" s="891" t="str">
        <f t="shared" si="15"/>
        <v>Отклонение, %</v>
      </c>
      <c r="AP10" s="891" t="str">
        <f t="shared" si="15"/>
        <v>Предложение организации</v>
      </c>
      <c r="AQ10" s="891" t="str">
        <f t="shared" si="15"/>
        <v>Принято органом регулирования</v>
      </c>
      <c r="AR10" s="891" t="str">
        <f t="shared" si="15"/>
        <v>Отклонение, %</v>
      </c>
      <c r="AS10" s="891" t="str">
        <f t="shared" si="15"/>
        <v>Предложение организации</v>
      </c>
      <c r="AT10" s="891" t="str">
        <f t="shared" si="15"/>
        <v>Принято органом регулирования</v>
      </c>
      <c r="AU10" s="891" t="str">
        <f t="shared" si="15"/>
        <v>Отклонение, %</v>
      </c>
      <c r="AV10" s="891" t="str">
        <f t="shared" si="15"/>
        <v>Предложение организации</v>
      </c>
      <c r="AW10" s="891" t="str">
        <f t="shared" si="15"/>
        <v>Принято органом регулирования</v>
      </c>
      <c r="AX10" s="891" t="str">
        <f t="shared" si="15"/>
        <v>Отклонение, %</v>
      </c>
      <c r="AY10" s="891" t="str">
        <f t="shared" si="15"/>
        <v>Предложение организации</v>
      </c>
      <c r="AZ10" s="891" t="str">
        <f t="shared" si="15"/>
        <v>Принято органом регулирования</v>
      </c>
      <c r="BA10" s="891" t="str">
        <f t="shared" si="15"/>
        <v>Отклонение, %</v>
      </c>
      <c r="BB10" s="891" t="str">
        <f t="shared" si="15"/>
        <v>Предложение организации</v>
      </c>
      <c r="BC10" s="891" t="str">
        <f t="shared" si="15"/>
        <v>Принято органом регулирования</v>
      </c>
      <c r="BD10" s="891" t="str">
        <f t="shared" si="15"/>
        <v>Отклонение, %</v>
      </c>
      <c r="BE10" s="891" t="str">
        <f t="shared" si="15"/>
        <v>Предложение организации</v>
      </c>
      <c r="BF10" s="891" t="str">
        <f t="shared" si="15"/>
        <v>Принято органом регулирования</v>
      </c>
      <c r="BG10" s="891" t="str">
        <f t="shared" si="15"/>
        <v>Отклонение, %</v>
      </c>
      <c r="BH10" s="891" t="str">
        <f t="shared" si="15"/>
        <v>Предложение организации</v>
      </c>
      <c r="BI10" s="891" t="str">
        <f t="shared" si="15"/>
        <v>Принято органом регулирования</v>
      </c>
      <c r="BJ10" s="891" t="str">
        <f t="shared" ref="BJ10:CO10" si="16">BJ26</f>
        <v>Отклонение, %</v>
      </c>
      <c r="BK10" s="891" t="str">
        <f t="shared" si="16"/>
        <v>Предложение организации</v>
      </c>
      <c r="BL10" s="891" t="str">
        <f t="shared" si="16"/>
        <v>Принято органом регулирования</v>
      </c>
      <c r="BM10" s="891" t="str">
        <f t="shared" si="16"/>
        <v>Отклонение, %</v>
      </c>
      <c r="BN10" s="891" t="str">
        <f t="shared" si="16"/>
        <v>Предложение организации</v>
      </c>
      <c r="BO10" s="891" t="str">
        <f t="shared" si="16"/>
        <v>Принято органом регулирования</v>
      </c>
      <c r="BP10" s="891" t="str">
        <f t="shared" si="16"/>
        <v>Отклонение, %</v>
      </c>
      <c r="BQ10" s="891" t="str">
        <f t="shared" si="16"/>
        <v>Предложение организации</v>
      </c>
      <c r="BR10" s="891" t="str">
        <f t="shared" si="16"/>
        <v>Принято органом регулирования</v>
      </c>
      <c r="BS10" s="891" t="str">
        <f t="shared" si="16"/>
        <v>Отклонение, %</v>
      </c>
      <c r="BT10" s="891" t="str">
        <f t="shared" si="16"/>
        <v>Предложение организации</v>
      </c>
      <c r="BU10" s="891" t="str">
        <f t="shared" si="16"/>
        <v>Принято органом регулирования</v>
      </c>
      <c r="BV10" s="891" t="str">
        <f t="shared" si="16"/>
        <v>Отклонение, %</v>
      </c>
      <c r="BW10" s="891" t="str">
        <f t="shared" si="16"/>
        <v>Предложение организации</v>
      </c>
      <c r="BX10" s="891" t="str">
        <f t="shared" si="16"/>
        <v>Принято органом регулирования</v>
      </c>
      <c r="BY10" s="891" t="str">
        <f t="shared" si="16"/>
        <v>Отклонение, %</v>
      </c>
      <c r="BZ10" s="891" t="str">
        <f t="shared" si="16"/>
        <v>Предложение организации</v>
      </c>
      <c r="CA10" s="891" t="str">
        <f t="shared" si="16"/>
        <v>Принято органом регулирования</v>
      </c>
      <c r="CB10" s="891" t="str">
        <f t="shared" si="16"/>
        <v>Отклонение, %</v>
      </c>
      <c r="CC10" s="891" t="str">
        <f t="shared" si="16"/>
        <v>Предложение организации</v>
      </c>
      <c r="CD10" s="891" t="str">
        <f t="shared" si="16"/>
        <v>Принято органом регулирования</v>
      </c>
      <c r="CE10" s="891" t="str">
        <f t="shared" si="16"/>
        <v>Отклонение, %</v>
      </c>
      <c r="CF10" s="891" t="str">
        <f t="shared" si="16"/>
        <v>Предложение организации</v>
      </c>
      <c r="CG10" s="891" t="str">
        <f t="shared" si="16"/>
        <v>Принято органом регулирования</v>
      </c>
      <c r="CH10" s="891" t="str">
        <f t="shared" si="16"/>
        <v>Отклонение, %</v>
      </c>
      <c r="CI10" s="891" t="str">
        <f t="shared" si="16"/>
        <v>Предложение организации</v>
      </c>
      <c r="CJ10" s="891" t="str">
        <f t="shared" si="16"/>
        <v>Принято органом регулирования</v>
      </c>
      <c r="CK10" s="891" t="str">
        <f t="shared" si="16"/>
        <v>Отклонение, %</v>
      </c>
      <c r="CL10" s="891" t="str">
        <f t="shared" si="16"/>
        <v>Предложение организации</v>
      </c>
      <c r="CM10" s="891" t="str">
        <f t="shared" si="16"/>
        <v>Принято органом регулирования</v>
      </c>
      <c r="CN10" s="891" t="str">
        <f t="shared" si="16"/>
        <v>Отклонение, %</v>
      </c>
      <c r="CO10" s="891" t="str">
        <f t="shared" si="16"/>
        <v>Предложение организации</v>
      </c>
      <c r="CP10" s="891" t="str">
        <f t="shared" ref="CP10:DU10" si="17">CP26</f>
        <v>Принято органом регулирования</v>
      </c>
      <c r="CQ10" s="891" t="str">
        <f t="shared" si="17"/>
        <v>Отклонение, %</v>
      </c>
      <c r="CR10" s="891" t="str">
        <f t="shared" si="17"/>
        <v>Предложение организации</v>
      </c>
      <c r="CS10" s="891" t="str">
        <f t="shared" si="17"/>
        <v>Принято органом регулирования</v>
      </c>
      <c r="CT10" s="891" t="str">
        <f t="shared" si="17"/>
        <v>Отклонение, %</v>
      </c>
      <c r="CU10" s="891" t="str">
        <f t="shared" si="17"/>
        <v>Предложение организации</v>
      </c>
      <c r="CV10" s="891" t="str">
        <f t="shared" si="17"/>
        <v>Принято органом регулирования</v>
      </c>
      <c r="CW10" s="891" t="str">
        <f t="shared" si="17"/>
        <v>Отклонение, %</v>
      </c>
      <c r="CX10" s="891" t="str">
        <f t="shared" si="17"/>
        <v>Предложение организации</v>
      </c>
      <c r="CY10" s="891" t="str">
        <f t="shared" si="17"/>
        <v>Принято органом регулирования</v>
      </c>
      <c r="CZ10" s="891" t="str">
        <f t="shared" si="17"/>
        <v>Отклонение, %</v>
      </c>
      <c r="DA10" s="891" t="str">
        <f t="shared" si="17"/>
        <v>Предложение организации</v>
      </c>
      <c r="DB10" s="891" t="str">
        <f t="shared" si="17"/>
        <v>Принято органом регулирования</v>
      </c>
      <c r="DC10" s="891" t="str">
        <f t="shared" si="17"/>
        <v>Отклонение, %</v>
      </c>
      <c r="DD10" s="891" t="str">
        <f t="shared" si="17"/>
        <v>Предложение организации</v>
      </c>
      <c r="DE10" s="891" t="str">
        <f t="shared" si="17"/>
        <v>Принято органом регулирования</v>
      </c>
      <c r="DF10" s="891" t="str">
        <f t="shared" si="17"/>
        <v>Отклонение, %</v>
      </c>
      <c r="DG10" s="891" t="str">
        <f t="shared" si="17"/>
        <v>Предложение организации</v>
      </c>
      <c r="DH10" s="891" t="str">
        <f t="shared" si="17"/>
        <v>Принято органом регулирования</v>
      </c>
      <c r="DI10" s="891" t="str">
        <f t="shared" si="17"/>
        <v>Отклонение, %</v>
      </c>
      <c r="DJ10" s="891" t="str">
        <f t="shared" si="17"/>
        <v>Предложение организации</v>
      </c>
      <c r="DK10" s="891" t="str">
        <f t="shared" si="17"/>
        <v>Принято органом регулирования</v>
      </c>
      <c r="DL10" s="891" t="str">
        <f t="shared" si="17"/>
        <v>Отклонение, %</v>
      </c>
      <c r="DM10" s="891" t="str">
        <f t="shared" si="17"/>
        <v>Предложение организации</v>
      </c>
      <c r="DN10" s="891" t="str">
        <f t="shared" si="17"/>
        <v>Принято органом регулирования</v>
      </c>
      <c r="DO10" s="891" t="str">
        <f t="shared" si="17"/>
        <v>Отклонение, %</v>
      </c>
      <c r="DP10" s="891" t="str">
        <f t="shared" si="17"/>
        <v>Предложение организации</v>
      </c>
      <c r="DQ10" s="891" t="str">
        <f t="shared" si="17"/>
        <v>Принято органом регулирования</v>
      </c>
      <c r="DR10" s="891" t="str">
        <f t="shared" si="17"/>
        <v>Отклонение, %</v>
      </c>
      <c r="DS10" s="891" t="str">
        <f t="shared" si="17"/>
        <v>Предложение организации</v>
      </c>
      <c r="DT10" s="891" t="str">
        <f t="shared" si="17"/>
        <v>Принято органом регулирования</v>
      </c>
      <c r="DU10" s="891" t="str">
        <f t="shared" si="17"/>
        <v>Отклонение, %</v>
      </c>
      <c r="DV10" s="891" t="str">
        <f t="shared" ref="DV10:FA10" si="18">DV26</f>
        <v>Предложение организации</v>
      </c>
      <c r="DW10" s="891" t="str">
        <f t="shared" si="18"/>
        <v>Принято органом регулирования</v>
      </c>
      <c r="DX10" s="891" t="str">
        <f t="shared" si="18"/>
        <v>Отклонение, %</v>
      </c>
      <c r="DY10" s="891" t="str">
        <f t="shared" si="18"/>
        <v>Предложение организации</v>
      </c>
      <c r="DZ10" s="891" t="str">
        <f t="shared" si="18"/>
        <v>Принято органом регулирования</v>
      </c>
      <c r="EA10" s="891" t="str">
        <f t="shared" si="18"/>
        <v>Отклонение, %</v>
      </c>
      <c r="EB10" s="891" t="str">
        <f t="shared" si="18"/>
        <v>Предложение организации</v>
      </c>
      <c r="EC10" s="891" t="str">
        <f t="shared" si="18"/>
        <v>Принято органом регулирования</v>
      </c>
      <c r="ED10" s="891" t="str">
        <f t="shared" si="18"/>
        <v>Отклонение, %</v>
      </c>
      <c r="EE10" s="891" t="str">
        <f t="shared" si="18"/>
        <v>Предложение организации</v>
      </c>
      <c r="EF10" s="891" t="str">
        <f t="shared" si="18"/>
        <v>Принято органом регулирования</v>
      </c>
      <c r="EG10" s="891" t="str">
        <f t="shared" si="18"/>
        <v>Отклонение, %</v>
      </c>
      <c r="EH10" s="891" t="str">
        <f t="shared" si="18"/>
        <v>Предложение организации</v>
      </c>
      <c r="EI10" s="891" t="str">
        <f t="shared" si="18"/>
        <v>Принято органом регулирования</v>
      </c>
      <c r="EJ10" s="891" t="str">
        <f t="shared" si="18"/>
        <v>Отклонение, %</v>
      </c>
      <c r="EK10" s="891" t="str">
        <f t="shared" si="18"/>
        <v>Предложение организации</v>
      </c>
      <c r="EL10" s="891" t="str">
        <f t="shared" si="18"/>
        <v>Принято органом регулирования</v>
      </c>
      <c r="EM10" s="891" t="str">
        <f t="shared" si="18"/>
        <v>Отклонение, %</v>
      </c>
      <c r="EN10" s="891" t="str">
        <f t="shared" si="18"/>
        <v>Предложение организации</v>
      </c>
      <c r="EO10" s="891" t="str">
        <f t="shared" si="18"/>
        <v>Принято органом регулирования</v>
      </c>
      <c r="EP10" s="891" t="str">
        <f t="shared" si="18"/>
        <v>Отклонение, %</v>
      </c>
      <c r="EQ10" s="891" t="str">
        <f t="shared" si="18"/>
        <v>Предложение организации</v>
      </c>
      <c r="ER10" s="891" t="str">
        <f t="shared" si="18"/>
        <v>Принято органом регулирования</v>
      </c>
      <c r="ES10" s="891" t="str">
        <f t="shared" si="18"/>
        <v>Отклонение, %</v>
      </c>
      <c r="ET10" s="891" t="str">
        <f t="shared" si="18"/>
        <v>Предложение организации</v>
      </c>
      <c r="EU10" s="891" t="str">
        <f t="shared" si="18"/>
        <v>Принято органом регулирования</v>
      </c>
      <c r="EV10" s="891" t="str">
        <f t="shared" si="18"/>
        <v>Отклонение, %</v>
      </c>
      <c r="EW10" s="891" t="str">
        <f t="shared" si="18"/>
        <v>Предложение организации</v>
      </c>
      <c r="EX10" s="891" t="str">
        <f t="shared" si="18"/>
        <v>Принято органом регулирования</v>
      </c>
      <c r="EY10" s="891" t="str">
        <f t="shared" si="18"/>
        <v>Отклонение, %</v>
      </c>
      <c r="EZ10" s="891" t="str">
        <f t="shared" si="18"/>
        <v>Предложение организации</v>
      </c>
      <c r="FA10" s="891" t="str">
        <f t="shared" si="18"/>
        <v>Принято органом регулирования</v>
      </c>
      <c r="FB10" s="891" t="str">
        <f t="shared" ref="FB10:FW10" si="19">FB26</f>
        <v>Отклонение, %</v>
      </c>
      <c r="FC10" s="891" t="str">
        <f t="shared" si="19"/>
        <v>Предложение организации</v>
      </c>
      <c r="FD10" s="891" t="str">
        <f t="shared" si="19"/>
        <v>Принято органом регулирования</v>
      </c>
      <c r="FE10" s="891" t="str">
        <f t="shared" si="19"/>
        <v>Отклонение, %</v>
      </c>
      <c r="FF10" s="891" t="str">
        <f t="shared" si="19"/>
        <v>Предложение организации</v>
      </c>
      <c r="FG10" s="891" t="str">
        <f t="shared" si="19"/>
        <v>Принято органом регулирования</v>
      </c>
      <c r="FH10" s="891" t="str">
        <f t="shared" si="19"/>
        <v>Отклонение, %</v>
      </c>
      <c r="FI10" s="891" t="str">
        <f t="shared" si="19"/>
        <v>Предложение организации</v>
      </c>
      <c r="FJ10" s="891" t="str">
        <f t="shared" si="19"/>
        <v>Принято органом регулирования</v>
      </c>
      <c r="FK10" s="891" t="str">
        <f t="shared" si="19"/>
        <v>Отклонение, %</v>
      </c>
      <c r="FL10" s="891" t="str">
        <f t="shared" si="19"/>
        <v>Предложение организации</v>
      </c>
      <c r="FM10" s="891" t="str">
        <f t="shared" si="19"/>
        <v>Принято органом регулирования</v>
      </c>
      <c r="FN10" s="891" t="str">
        <f t="shared" si="19"/>
        <v>Отклонение, %</v>
      </c>
      <c r="FO10" s="891" t="str">
        <f t="shared" si="19"/>
        <v>Предложение организации</v>
      </c>
      <c r="FP10" s="891" t="str">
        <f t="shared" si="19"/>
        <v>Принято органом регулирования</v>
      </c>
      <c r="FQ10" s="891" t="str">
        <f t="shared" si="19"/>
        <v>Отклонение, %</v>
      </c>
      <c r="FR10" s="891" t="str">
        <f t="shared" si="19"/>
        <v>Предложение организации</v>
      </c>
      <c r="FS10" s="891" t="str">
        <f t="shared" si="19"/>
        <v>Принято органом регулирования</v>
      </c>
      <c r="FT10" s="891" t="str">
        <f t="shared" si="19"/>
        <v>Отклонение, %</v>
      </c>
      <c r="FU10" s="891" t="str">
        <f t="shared" si="19"/>
        <v>Предложение организации</v>
      </c>
      <c r="FV10" s="891" t="str">
        <f t="shared" si="19"/>
        <v>Принято органом регулирования</v>
      </c>
      <c r="FW10" s="891" t="str">
        <f t="shared" si="19"/>
        <v>Отклонение, %</v>
      </c>
      <c r="FZ10" s="912"/>
      <c r="GA10" s="930"/>
      <c r="GB10" s="930"/>
      <c r="GC10" s="930"/>
      <c r="GD10" s="930"/>
    </row>
    <row r="11" spans="1:186" s="1012" customFormat="1" ht="12" hidden="1" customHeight="1">
      <c r="B11" s="614"/>
      <c r="E11" s="623"/>
      <c r="G11" s="150"/>
      <c r="H11" s="150"/>
      <c r="I11" s="150"/>
      <c r="J11" s="150"/>
      <c r="K11" s="150"/>
      <c r="L11" s="150"/>
      <c r="M11" s="150"/>
      <c r="N11" s="150"/>
      <c r="O11" s="150"/>
      <c r="P11" s="150"/>
      <c r="Q11" s="394"/>
      <c r="R11" s="566"/>
      <c r="S11" s="150"/>
      <c r="AB11" s="109"/>
      <c r="AC11" s="109"/>
      <c r="FZ11" s="912"/>
      <c r="GA11" s="930"/>
      <c r="GB11" s="930"/>
      <c r="GC11" s="930"/>
      <c r="GD11" s="930"/>
    </row>
    <row r="12" spans="1:186" s="1012" customFormat="1" ht="12" hidden="1" customHeight="1">
      <c r="B12" s="614"/>
      <c r="E12" s="623"/>
      <c r="G12" s="150"/>
      <c r="H12" s="150"/>
      <c r="I12" s="150"/>
      <c r="J12" s="150"/>
      <c r="K12" s="150"/>
      <c r="L12" s="150"/>
      <c r="M12" s="150"/>
      <c r="N12" s="150"/>
      <c r="O12" s="150"/>
      <c r="P12" s="150"/>
      <c r="Q12" s="394"/>
      <c r="R12" s="566"/>
      <c r="S12" s="150"/>
      <c r="AB12" s="109"/>
      <c r="AC12" s="109"/>
      <c r="FZ12" s="912"/>
      <c r="GA12" s="930"/>
      <c r="GB12" s="930"/>
      <c r="GC12" s="930"/>
      <c r="GD12" s="930"/>
    </row>
    <row r="13" spans="1:186" s="1012" customFormat="1" ht="12" hidden="1" customHeight="1">
      <c r="B13" s="614"/>
      <c r="E13" s="623"/>
      <c r="G13" s="150"/>
      <c r="H13" s="150"/>
      <c r="I13" s="150"/>
      <c r="J13" s="150"/>
      <c r="K13" s="150"/>
      <c r="L13" s="150"/>
      <c r="M13" s="150"/>
      <c r="N13" s="150"/>
      <c r="O13" s="150"/>
      <c r="P13" s="150"/>
      <c r="Q13" s="394"/>
      <c r="R13" s="566"/>
      <c r="S13" s="150"/>
      <c r="AB13" s="109"/>
      <c r="AC13" s="109"/>
      <c r="FZ13" s="912"/>
      <c r="GA13" s="930"/>
      <c r="GB13" s="930"/>
      <c r="GC13" s="930"/>
      <c r="GD13" s="930"/>
    </row>
    <row r="14" spans="1:186" s="1258" customFormat="1" ht="12" hidden="1" customHeight="1">
      <c r="A14" s="926" t="s">
        <v>286</v>
      </c>
      <c r="B14" s="927"/>
      <c r="C14" s="928"/>
      <c r="D14" s="928"/>
      <c r="E14" s="927"/>
      <c r="F14" s="928"/>
      <c r="G14" s="928"/>
      <c r="H14" s="928"/>
      <c r="I14" s="928"/>
      <c r="J14" s="928"/>
      <c r="K14" s="928"/>
      <c r="L14" s="928"/>
      <c r="M14" s="928"/>
      <c r="N14" s="928"/>
      <c r="O14" s="928"/>
      <c r="P14" s="928"/>
      <c r="Q14" s="928"/>
      <c r="R14" s="929"/>
      <c r="S14" s="928"/>
      <c r="T14" s="928"/>
      <c r="U14" s="928"/>
      <c r="V14" s="928"/>
      <c r="W14" s="928"/>
      <c r="X14" s="928"/>
      <c r="Y14" s="928"/>
      <c r="Z14" s="928"/>
      <c r="AA14" s="928"/>
      <c r="AB14" s="928" t="s">
        <v>277</v>
      </c>
      <c r="AC14" s="928"/>
      <c r="AD14" s="928"/>
      <c r="AE14" s="928"/>
      <c r="AF14" s="928"/>
      <c r="AG14" s="891"/>
      <c r="AH14" s="891"/>
      <c r="AI14" s="891"/>
      <c r="AJ14" s="891"/>
      <c r="AK14" s="891"/>
      <c r="AL14" s="891"/>
      <c r="AM14" s="891"/>
      <c r="AN14" s="891"/>
      <c r="AO14" s="891"/>
      <c r="AP14" s="891"/>
      <c r="AQ14" s="891"/>
      <c r="AR14" s="891"/>
      <c r="AS14" s="891"/>
      <c r="AT14" s="891"/>
      <c r="AU14" s="891"/>
      <c r="AV14" s="891"/>
      <c r="AW14" s="891"/>
      <c r="AX14" s="891"/>
      <c r="AY14" s="891"/>
      <c r="AZ14" s="891"/>
      <c r="BA14" s="891"/>
      <c r="BB14" s="891"/>
      <c r="BC14" s="891"/>
      <c r="BD14" s="891"/>
      <c r="BE14" s="891"/>
      <c r="BF14" s="891"/>
      <c r="BG14" s="891"/>
      <c r="BH14" s="891"/>
      <c r="BI14" s="891"/>
      <c r="BJ14" s="891"/>
      <c r="BK14" s="891"/>
      <c r="BL14" s="891"/>
      <c r="BM14" s="891"/>
      <c r="BN14" s="891"/>
      <c r="BO14" s="891"/>
      <c r="BP14" s="891"/>
      <c r="BQ14" s="891"/>
      <c r="BR14" s="891"/>
      <c r="BS14" s="891"/>
      <c r="BT14" s="891"/>
      <c r="BU14" s="891"/>
      <c r="BV14" s="891"/>
      <c r="BW14" s="891"/>
      <c r="BX14" s="891"/>
      <c r="BY14" s="891"/>
      <c r="BZ14" s="891"/>
      <c r="CA14" s="891"/>
      <c r="CB14" s="891"/>
      <c r="CC14" s="891"/>
      <c r="CD14" s="891"/>
      <c r="CE14" s="891"/>
      <c r="CF14" s="891"/>
      <c r="CG14" s="891"/>
      <c r="CH14" s="891"/>
      <c r="CI14" s="891"/>
      <c r="CJ14" s="891"/>
      <c r="CK14" s="891"/>
      <c r="CL14" s="891"/>
      <c r="CM14" s="891"/>
      <c r="CN14" s="891"/>
      <c r="CO14" s="891"/>
      <c r="CP14" s="891"/>
      <c r="CQ14" s="891"/>
      <c r="CR14" s="891"/>
      <c r="CS14" s="891"/>
      <c r="CT14" s="891"/>
      <c r="CU14" s="891"/>
      <c r="CV14" s="891"/>
      <c r="CW14" s="891"/>
      <c r="CX14" s="891"/>
      <c r="CY14" s="891"/>
      <c r="CZ14" s="891"/>
      <c r="DA14" s="891"/>
      <c r="DB14" s="891"/>
      <c r="DC14" s="891"/>
      <c r="DD14" s="891"/>
      <c r="DE14" s="891"/>
      <c r="DF14" s="891"/>
      <c r="DG14" s="891"/>
      <c r="DH14" s="891"/>
      <c r="DI14" s="891"/>
      <c r="DJ14" s="891"/>
      <c r="DK14" s="891"/>
      <c r="DL14" s="891"/>
      <c r="DM14" s="891"/>
      <c r="DN14" s="891"/>
      <c r="DO14" s="891"/>
      <c r="DP14" s="891"/>
      <c r="DQ14" s="891"/>
      <c r="DR14" s="891"/>
      <c r="DS14" s="891"/>
      <c r="DT14" s="891"/>
      <c r="DU14" s="891"/>
      <c r="DV14" s="891"/>
      <c r="DW14" s="891"/>
      <c r="DX14" s="891"/>
      <c r="DY14" s="891"/>
      <c r="DZ14" s="891"/>
      <c r="EA14" s="891"/>
      <c r="EB14" s="891"/>
      <c r="EC14" s="891"/>
      <c r="ED14" s="891"/>
      <c r="EE14" s="891"/>
      <c r="EF14" s="891"/>
      <c r="EG14" s="891"/>
      <c r="EH14" s="891"/>
      <c r="EI14" s="891"/>
      <c r="EJ14" s="891"/>
      <c r="EK14" s="891"/>
      <c r="EL14" s="891"/>
      <c r="EM14" s="891"/>
      <c r="EN14" s="891"/>
      <c r="EO14" s="891"/>
      <c r="EP14" s="891"/>
      <c r="EQ14" s="891"/>
      <c r="ER14" s="891"/>
      <c r="ES14" s="891"/>
      <c r="ET14" s="891"/>
      <c r="EU14" s="891"/>
      <c r="EV14" s="891"/>
      <c r="EW14" s="891"/>
      <c r="EX14" s="891"/>
      <c r="EY14" s="891"/>
      <c r="EZ14" s="891"/>
      <c r="FA14" s="891"/>
      <c r="FB14" s="891"/>
      <c r="FC14" s="891"/>
      <c r="FD14" s="891"/>
      <c r="FE14" s="891"/>
      <c r="FF14" s="891"/>
      <c r="FG14" s="891"/>
      <c r="FH14" s="891"/>
      <c r="FI14" s="891"/>
      <c r="FJ14" s="891"/>
      <c r="FK14" s="891"/>
      <c r="FL14" s="891"/>
      <c r="FM14" s="891"/>
      <c r="FN14" s="891"/>
      <c r="FO14" s="891"/>
      <c r="FP14" s="891"/>
      <c r="FQ14" s="891"/>
      <c r="FR14" s="891"/>
      <c r="FS14" s="891"/>
      <c r="FT14" s="891"/>
      <c r="FU14" s="891"/>
      <c r="FV14" s="891"/>
      <c r="FW14" s="891"/>
      <c r="FX14" s="928"/>
      <c r="FY14" s="928"/>
      <c r="FZ14" s="930"/>
      <c r="GA14" s="930"/>
      <c r="GB14" s="930"/>
      <c r="GC14" s="930"/>
      <c r="GD14" s="930"/>
    </row>
    <row r="15" spans="1:186" s="1012" customFormat="1" ht="12" hidden="1" customHeight="1">
      <c r="B15" s="614"/>
      <c r="E15" s="623"/>
      <c r="G15" s="150"/>
      <c r="H15" s="150"/>
      <c r="I15" s="150"/>
      <c r="J15" s="150"/>
      <c r="K15" s="150"/>
      <c r="L15" s="150"/>
      <c r="M15" s="150"/>
      <c r="N15" s="150"/>
      <c r="O15" s="150"/>
      <c r="P15" s="150"/>
      <c r="Q15" s="394"/>
      <c r="R15" s="566"/>
      <c r="S15" s="150"/>
      <c r="AB15" s="109"/>
      <c r="AC15" s="109"/>
      <c r="FZ15" s="912"/>
      <c r="GA15" s="930"/>
      <c r="GB15" s="930"/>
      <c r="GC15" s="930"/>
      <c r="GD15" s="930"/>
    </row>
    <row r="16" spans="1:186" s="1012" customFormat="1" ht="12" hidden="1" customHeight="1">
      <c r="B16" s="614"/>
      <c r="E16" s="623"/>
      <c r="G16" s="150"/>
      <c r="H16" s="150"/>
      <c r="I16" s="150"/>
      <c r="J16" s="150"/>
      <c r="K16" s="150"/>
      <c r="L16" s="150"/>
      <c r="M16" s="150"/>
      <c r="N16" s="150"/>
      <c r="O16" s="150"/>
      <c r="P16" s="150"/>
      <c r="Q16" s="394"/>
      <c r="R16" s="566"/>
      <c r="S16" s="150"/>
      <c r="AB16" s="109"/>
      <c r="AC16" s="109"/>
      <c r="FZ16" s="912"/>
      <c r="GA16" s="930"/>
      <c r="GB16" s="930"/>
      <c r="GC16" s="930"/>
      <c r="GD16" s="930"/>
    </row>
    <row r="17" spans="1:186" s="1012" customFormat="1" ht="12" hidden="1" customHeight="1">
      <c r="B17" s="614"/>
      <c r="E17" s="623"/>
      <c r="G17" s="150"/>
      <c r="H17" s="150"/>
      <c r="I17" s="150"/>
      <c r="J17" s="150"/>
      <c r="K17" s="150"/>
      <c r="L17" s="150"/>
      <c r="M17" s="150"/>
      <c r="N17" s="150"/>
      <c r="O17" s="150"/>
      <c r="P17" s="150"/>
      <c r="Q17" s="394"/>
      <c r="R17" s="566"/>
      <c r="S17" s="150"/>
      <c r="AB17" s="109"/>
      <c r="AC17" s="109"/>
      <c r="FZ17" s="912"/>
      <c r="GA17" s="930"/>
      <c r="GB17" s="930"/>
      <c r="GC17" s="930"/>
      <c r="GD17" s="930"/>
    </row>
    <row r="18" spans="1:186" s="1012" customFormat="1" ht="12" hidden="1" customHeight="1">
      <c r="B18" s="614"/>
      <c r="E18" s="623"/>
      <c r="G18" s="150"/>
      <c r="H18" s="150"/>
      <c r="I18" s="150"/>
      <c r="J18" s="150"/>
      <c r="K18" s="150"/>
      <c r="L18" s="150"/>
      <c r="M18" s="150"/>
      <c r="N18" s="150"/>
      <c r="O18" s="150"/>
      <c r="P18" s="150"/>
      <c r="Q18" s="394"/>
      <c r="R18" s="566"/>
      <c r="S18" s="150"/>
      <c r="AB18" s="109"/>
      <c r="AC18" s="109"/>
      <c r="FZ18" s="912"/>
      <c r="GA18" s="930"/>
      <c r="GB18" s="930"/>
      <c r="GC18" s="930"/>
      <c r="GD18" s="930"/>
    </row>
    <row r="19" spans="1:186" s="1012" customFormat="1" ht="12" hidden="1" customHeight="1">
      <c r="B19" s="614"/>
      <c r="E19" s="623"/>
      <c r="G19" s="150"/>
      <c r="H19" s="150"/>
      <c r="I19" s="150"/>
      <c r="J19" s="150"/>
      <c r="K19" s="150"/>
      <c r="L19" s="150"/>
      <c r="M19" s="150"/>
      <c r="N19" s="150"/>
      <c r="O19" s="150"/>
      <c r="P19" s="150"/>
      <c r="Q19" s="394"/>
      <c r="R19" s="566"/>
      <c r="S19" s="150"/>
      <c r="AB19" s="109"/>
      <c r="AC19" s="109"/>
      <c r="FZ19" s="912"/>
      <c r="GA19" s="930"/>
      <c r="GB19" s="930"/>
      <c r="GC19" s="930"/>
      <c r="GD19" s="930"/>
    </row>
    <row r="20" spans="1:186" s="1012" customFormat="1" ht="12" hidden="1" customHeight="1">
      <c r="B20" s="614"/>
      <c r="E20" s="623"/>
      <c r="G20" s="150"/>
      <c r="H20" s="150"/>
      <c r="I20" s="150"/>
      <c r="J20" s="150"/>
      <c r="K20" s="150"/>
      <c r="L20" s="150"/>
      <c r="M20" s="150"/>
      <c r="N20" s="150"/>
      <c r="O20" s="150"/>
      <c r="P20" s="150"/>
      <c r="Q20" s="394"/>
      <c r="R20" s="566"/>
      <c r="S20" s="150"/>
      <c r="AB20" s="109"/>
      <c r="AC20" s="109"/>
      <c r="FZ20" s="912"/>
      <c r="GA20" s="930"/>
      <c r="GB20" s="930"/>
      <c r="GC20" s="930"/>
      <c r="GD20" s="930"/>
    </row>
    <row r="21" spans="1:186" ht="14.65" customHeight="1">
      <c r="E21" s="623">
        <v>15</v>
      </c>
      <c r="Q21" s="394"/>
      <c r="AA21" s="646"/>
      <c r="AB21" s="729" t="str">
        <f>tpl_title</f>
        <v>Кемеровская область / 2026 / АО "СУЭК-Кузбасс" (ИНН:4212024138, КПП:421201001) / ДПР: 2024-2028</v>
      </c>
      <c r="GA21" s="930"/>
      <c r="GB21" s="930"/>
      <c r="GC21" s="930"/>
      <c r="GD21" s="930"/>
    </row>
    <row r="22" spans="1:186" s="750" customFormat="1" ht="23.45" customHeight="1">
      <c r="A22" s="116"/>
      <c r="B22" s="614"/>
      <c r="C22" s="116"/>
      <c r="D22" s="116"/>
      <c r="E22" s="623">
        <v>24</v>
      </c>
      <c r="F22" s="116"/>
      <c r="R22" s="566"/>
      <c r="T22" s="116"/>
      <c r="U22" s="116"/>
      <c r="V22" s="116"/>
      <c r="W22" s="116"/>
      <c r="X22" s="116"/>
      <c r="Y22" s="116"/>
      <c r="Z22" s="116"/>
      <c r="AB22" s="306" t="s">
        <v>71</v>
      </c>
      <c r="AC22" s="273"/>
      <c r="AD22" s="273"/>
      <c r="AE22" s="273"/>
      <c r="AF22" s="273"/>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3"/>
      <c r="BV22" s="273"/>
      <c r="BW22" s="273"/>
      <c r="BX22" s="273"/>
      <c r="BY22" s="273"/>
      <c r="BZ22" s="273"/>
      <c r="CA22" s="273"/>
      <c r="CB22" s="273"/>
      <c r="CC22" s="273"/>
      <c r="CD22" s="273"/>
      <c r="CE22" s="273"/>
      <c r="CF22" s="273"/>
      <c r="CG22" s="273"/>
      <c r="CH22" s="273"/>
      <c r="CI22" s="273"/>
      <c r="CJ22" s="273"/>
      <c r="CK22" s="273"/>
      <c r="CL22" s="273"/>
      <c r="CM22" s="273"/>
      <c r="CN22" s="273"/>
      <c r="CO22" s="273"/>
      <c r="CP22" s="273"/>
      <c r="CQ22" s="273"/>
      <c r="CR22" s="273"/>
      <c r="CS22" s="273"/>
      <c r="CT22" s="273"/>
      <c r="CU22" s="273"/>
      <c r="CV22" s="273"/>
      <c r="CW22" s="273"/>
      <c r="CX22" s="273"/>
      <c r="CY22" s="273"/>
      <c r="CZ22" s="273"/>
      <c r="DA22" s="273"/>
      <c r="DB22" s="273"/>
      <c r="DC22" s="273"/>
      <c r="DD22" s="273"/>
      <c r="DE22" s="273"/>
      <c r="DF22" s="273"/>
      <c r="DG22" s="273"/>
      <c r="DH22" s="273"/>
      <c r="DI22" s="273"/>
      <c r="DJ22" s="273"/>
      <c r="DK22" s="273"/>
      <c r="DL22" s="273"/>
      <c r="DM22" s="273"/>
      <c r="DN22" s="273"/>
      <c r="DO22" s="273"/>
      <c r="DP22" s="273"/>
      <c r="DQ22" s="273"/>
      <c r="DR22" s="273"/>
      <c r="DS22" s="273"/>
      <c r="DT22" s="273"/>
      <c r="DU22" s="273"/>
      <c r="DV22" s="273"/>
      <c r="DW22" s="273"/>
      <c r="DX22" s="273"/>
      <c r="DY22" s="273"/>
      <c r="DZ22" s="273"/>
      <c r="EA22" s="273"/>
      <c r="EB22" s="273"/>
      <c r="EC22" s="273"/>
      <c r="ED22" s="273"/>
      <c r="EE22" s="273"/>
      <c r="EF22" s="273"/>
      <c r="EG22" s="273"/>
      <c r="EH22" s="273"/>
      <c r="EI22" s="273"/>
      <c r="EJ22" s="273"/>
      <c r="EK22" s="273"/>
      <c r="EL22" s="273"/>
      <c r="EM22" s="273"/>
      <c r="EN22" s="273"/>
      <c r="EO22" s="273"/>
      <c r="EP22" s="273"/>
      <c r="EQ22" s="273"/>
      <c r="ER22" s="273"/>
      <c r="ES22" s="273"/>
      <c r="ET22" s="273"/>
      <c r="EU22" s="273"/>
      <c r="EV22" s="273"/>
      <c r="EW22" s="273"/>
      <c r="EX22" s="273"/>
      <c r="EY22" s="273"/>
      <c r="EZ22" s="273"/>
      <c r="FA22" s="273"/>
      <c r="FB22" s="273"/>
      <c r="FC22" s="273"/>
      <c r="FD22" s="273"/>
      <c r="FE22" s="273"/>
      <c r="FF22" s="273"/>
      <c r="FG22" s="273"/>
      <c r="FH22" s="273"/>
      <c r="FI22" s="273"/>
      <c r="FJ22" s="273"/>
      <c r="FK22" s="273"/>
      <c r="FL22" s="273"/>
      <c r="FM22" s="273"/>
      <c r="FN22" s="273"/>
      <c r="FO22" s="273"/>
      <c r="FP22" s="273"/>
      <c r="FQ22" s="273"/>
      <c r="FR22" s="273"/>
      <c r="FS22" s="273"/>
      <c r="FT22" s="273"/>
      <c r="FU22" s="273"/>
      <c r="FV22" s="273"/>
      <c r="FW22" s="273"/>
      <c r="FZ22" s="902"/>
      <c r="GA22" s="909"/>
      <c r="GB22" s="909"/>
      <c r="GC22" s="909"/>
      <c r="GD22" s="909"/>
    </row>
    <row r="23" spans="1:186" ht="21.95" customHeight="1">
      <c r="E23" s="623">
        <v>22.5</v>
      </c>
      <c r="Q23" s="394"/>
      <c r="AB23" s="152"/>
      <c r="AD23" s="152"/>
      <c r="GA23" s="930"/>
      <c r="GB23" s="930"/>
      <c r="GC23" s="930"/>
      <c r="GD23" s="930"/>
    </row>
    <row r="24" spans="1:186" s="750" customFormat="1" ht="21.95" customHeight="1">
      <c r="A24" s="116"/>
      <c r="B24" s="614"/>
      <c r="C24" s="116"/>
      <c r="D24" s="116"/>
      <c r="E24" s="623">
        <v>22.5</v>
      </c>
      <c r="F24" s="116"/>
      <c r="S24" s="151" t="b">
        <f>OR(hasVS,hasVO)</f>
        <v>0</v>
      </c>
      <c r="T24" s="116"/>
      <c r="U24" s="116"/>
      <c r="V24" s="116"/>
      <c r="W24" s="116"/>
      <c r="X24" s="116"/>
      <c r="Y24" s="116"/>
      <c r="Z24" s="116"/>
      <c r="AA24" s="337"/>
      <c r="AB24" s="369" t="s">
        <v>71</v>
      </c>
      <c r="AC24" s="328"/>
      <c r="AD24" s="328"/>
      <c r="AE24" s="328"/>
      <c r="AF24" s="328"/>
      <c r="AG24" s="328"/>
      <c r="AH24" s="328"/>
      <c r="AI24" s="328"/>
      <c r="AJ24" s="328"/>
      <c r="AK24" s="328"/>
      <c r="AL24" s="328"/>
      <c r="AM24" s="328"/>
      <c r="AN24" s="328"/>
      <c r="AO24" s="328"/>
      <c r="AP24" s="328"/>
      <c r="AQ24" s="328"/>
      <c r="AR24" s="328"/>
      <c r="AS24" s="328"/>
      <c r="AT24" s="328"/>
      <c r="AU24" s="328"/>
      <c r="AV24" s="328"/>
      <c r="AW24" s="328"/>
      <c r="AX24" s="328"/>
      <c r="AY24" s="328"/>
      <c r="AZ24" s="328"/>
      <c r="BA24" s="328"/>
      <c r="BB24" s="328"/>
      <c r="BC24" s="328"/>
      <c r="BD24" s="328"/>
      <c r="BE24" s="328"/>
      <c r="BF24" s="328"/>
      <c r="BG24" s="329"/>
      <c r="BH24" s="329"/>
      <c r="BI24" s="329"/>
      <c r="BJ24" s="329"/>
      <c r="BK24" s="329"/>
      <c r="BL24" s="329"/>
      <c r="BM24" s="329"/>
      <c r="BN24" s="329"/>
      <c r="BO24" s="329"/>
      <c r="BP24" s="329"/>
      <c r="BQ24" s="329"/>
      <c r="BR24" s="329"/>
      <c r="BS24" s="329"/>
      <c r="BT24" s="329"/>
      <c r="BU24" s="329"/>
      <c r="BV24" s="329"/>
      <c r="BW24" s="329"/>
      <c r="BX24" s="329"/>
      <c r="BY24" s="329"/>
      <c r="BZ24" s="329"/>
      <c r="CA24" s="329"/>
      <c r="CB24" s="329"/>
      <c r="CC24" s="329"/>
      <c r="CD24" s="329"/>
      <c r="CE24" s="329"/>
      <c r="CF24" s="329"/>
      <c r="CG24" s="329"/>
      <c r="CH24" s="329"/>
      <c r="CI24" s="329"/>
      <c r="CJ24" s="329"/>
      <c r="CK24" s="329"/>
      <c r="CL24" s="329"/>
      <c r="CM24" s="329"/>
      <c r="CN24" s="329"/>
      <c r="CO24" s="329"/>
      <c r="CP24" s="329"/>
      <c r="CQ24" s="329"/>
      <c r="CR24" s="329"/>
      <c r="CS24" s="329"/>
      <c r="CT24" s="329"/>
      <c r="CU24" s="329"/>
      <c r="CV24" s="329"/>
      <c r="CW24" s="329"/>
      <c r="CX24" s="329"/>
      <c r="CY24" s="329"/>
      <c r="CZ24" s="329"/>
      <c r="DA24" s="329"/>
      <c r="DB24" s="329"/>
      <c r="DC24" s="329"/>
      <c r="DD24" s="329"/>
      <c r="DE24" s="329"/>
      <c r="DF24" s="329"/>
      <c r="DG24" s="329"/>
      <c r="DH24" s="329"/>
      <c r="DI24" s="329"/>
      <c r="DJ24" s="329"/>
      <c r="DK24" s="329"/>
      <c r="DL24" s="329"/>
      <c r="DM24" s="329"/>
      <c r="DN24" s="329"/>
      <c r="DO24" s="329"/>
      <c r="DP24" s="329"/>
      <c r="DQ24" s="329"/>
      <c r="DR24" s="329"/>
      <c r="DS24" s="329"/>
      <c r="DT24" s="329"/>
      <c r="DU24" s="329"/>
      <c r="DV24" s="329"/>
      <c r="DW24" s="329"/>
      <c r="DX24" s="329"/>
      <c r="DY24" s="329"/>
      <c r="DZ24" s="329"/>
      <c r="EA24" s="329"/>
      <c r="EB24" s="329"/>
      <c r="EC24" s="329"/>
      <c r="ED24" s="329"/>
      <c r="EE24" s="329"/>
      <c r="EF24" s="329"/>
      <c r="EG24" s="329"/>
      <c r="EH24" s="329"/>
      <c r="EI24" s="329"/>
      <c r="EJ24" s="329"/>
      <c r="EK24" s="329"/>
      <c r="EL24" s="329"/>
      <c r="EM24" s="329"/>
      <c r="EN24" s="329"/>
      <c r="EO24" s="329"/>
      <c r="EP24" s="329"/>
      <c r="EQ24" s="329"/>
      <c r="ER24" s="329"/>
      <c r="ES24" s="329"/>
      <c r="ET24" s="329"/>
      <c r="EU24" s="329"/>
      <c r="EV24" s="329"/>
      <c r="EW24" s="329"/>
      <c r="EX24" s="329"/>
      <c r="EY24" s="329"/>
      <c r="EZ24" s="329"/>
      <c r="FA24" s="329"/>
      <c r="FB24" s="329"/>
      <c r="FC24" s="329"/>
      <c r="FD24" s="329"/>
      <c r="FE24" s="329"/>
      <c r="FF24" s="329"/>
      <c r="FG24" s="329"/>
      <c r="FH24" s="329"/>
      <c r="FI24" s="329"/>
      <c r="FJ24" s="329"/>
      <c r="FK24" s="329"/>
      <c r="FL24" s="329"/>
      <c r="FM24" s="329"/>
      <c r="FN24" s="329"/>
      <c r="FO24" s="329"/>
      <c r="FP24" s="329"/>
      <c r="FQ24" s="329"/>
      <c r="FR24" s="329"/>
      <c r="FS24" s="329"/>
      <c r="FT24" s="329"/>
      <c r="FU24" s="329"/>
      <c r="FV24" s="329"/>
      <c r="FW24" s="329"/>
      <c r="FZ24" s="902"/>
      <c r="GA24" s="909"/>
      <c r="GB24" s="909"/>
      <c r="GC24" s="909"/>
      <c r="GD24" s="909"/>
    </row>
    <row r="25" spans="1:186" ht="21.95" customHeight="1">
      <c r="E25" s="623">
        <v>22.5</v>
      </c>
      <c r="Q25" s="394"/>
      <c r="R25" s="150"/>
      <c r="S25" s="151" t="b">
        <f>OR(hasVS,hasVO)</f>
        <v>0</v>
      </c>
      <c r="AB25" s="1409" t="s">
        <v>330</v>
      </c>
      <c r="AC25" s="1409" t="s">
        <v>331</v>
      </c>
      <c r="AD25" s="1411" t="str">
        <f>AD6&amp;" год"</f>
        <v>2026 год</v>
      </c>
      <c r="AE25" s="1540"/>
      <c r="AF25" s="1541"/>
      <c r="AG25" s="1411" t="str">
        <f>AG6&amp;" год"</f>
        <v>2027 год</v>
      </c>
      <c r="AH25" s="1540"/>
      <c r="AI25" s="1541"/>
      <c r="AJ25" s="1411" t="str">
        <f>AJ6&amp;" год"</f>
        <v>2028 год</v>
      </c>
      <c r="AK25" s="1540"/>
      <c r="AL25" s="1541"/>
      <c r="AM25" s="1411" t="str">
        <f>AM6&amp;" год"</f>
        <v>2029 год</v>
      </c>
      <c r="AN25" s="1540"/>
      <c r="AO25" s="1541"/>
      <c r="AP25" s="1411" t="str">
        <f>AP6&amp;" год"</f>
        <v>2030 год</v>
      </c>
      <c r="AQ25" s="1540"/>
      <c r="AR25" s="1541"/>
      <c r="AS25" s="1411" t="str">
        <f>AS6&amp;" год"</f>
        <v>2031 год</v>
      </c>
      <c r="AT25" s="1540"/>
      <c r="AU25" s="1541"/>
      <c r="AV25" s="1411" t="str">
        <f>AV6&amp;" год"</f>
        <v>2032 год</v>
      </c>
      <c r="AW25" s="1540"/>
      <c r="AX25" s="1541"/>
      <c r="AY25" s="1411" t="str">
        <f>AY6&amp;" год"</f>
        <v>2033 год</v>
      </c>
      <c r="AZ25" s="1540"/>
      <c r="BA25" s="1541"/>
      <c r="BB25" s="1411" t="str">
        <f>BB6&amp;" год"</f>
        <v>2034 год</v>
      </c>
      <c r="BC25" s="1540"/>
      <c r="BD25" s="1541"/>
      <c r="BE25" s="1411" t="str">
        <f>BE6&amp;" год"</f>
        <v>2035 год</v>
      </c>
      <c r="BF25" s="1540"/>
      <c r="BG25" s="1541"/>
      <c r="BH25" s="1411" t="str">
        <f>BH6&amp;" год"</f>
        <v>2036 год</v>
      </c>
      <c r="BI25" s="1540"/>
      <c r="BJ25" s="1541"/>
      <c r="BK25" s="1411" t="str">
        <f>BK6&amp;" год"</f>
        <v>2037 год</v>
      </c>
      <c r="BL25" s="1540"/>
      <c r="BM25" s="1541"/>
      <c r="BN25" s="1411" t="str">
        <f>BN6&amp;" год"</f>
        <v>2038 год</v>
      </c>
      <c r="BO25" s="1540"/>
      <c r="BP25" s="1541"/>
      <c r="BQ25" s="1411" t="str">
        <f>BQ6&amp;" год"</f>
        <v>2039 год</v>
      </c>
      <c r="BR25" s="1540"/>
      <c r="BS25" s="1541"/>
      <c r="BT25" s="1411" t="str">
        <f>BT6&amp;" год"</f>
        <v>2040 год</v>
      </c>
      <c r="BU25" s="1540"/>
      <c r="BV25" s="1541"/>
      <c r="BW25" s="1411" t="str">
        <f>BW6&amp;" год"</f>
        <v>2041 год</v>
      </c>
      <c r="BX25" s="1540"/>
      <c r="BY25" s="1541"/>
      <c r="BZ25" s="1411" t="str">
        <f>BZ6&amp;" год"</f>
        <v>2042 год</v>
      </c>
      <c r="CA25" s="1540"/>
      <c r="CB25" s="1541"/>
      <c r="CC25" s="1411" t="str">
        <f>CC6&amp;" год"</f>
        <v>2043 год</v>
      </c>
      <c r="CD25" s="1540"/>
      <c r="CE25" s="1541"/>
      <c r="CF25" s="1411" t="str">
        <f>CF6&amp;" год"</f>
        <v>2044 год</v>
      </c>
      <c r="CG25" s="1540"/>
      <c r="CH25" s="1541"/>
      <c r="CI25" s="1411" t="str">
        <f>CI6&amp;" год"</f>
        <v>2045 год</v>
      </c>
      <c r="CJ25" s="1540"/>
      <c r="CK25" s="1541"/>
      <c r="CL25" s="1411" t="str">
        <f>CL6&amp;" год"</f>
        <v>2046 год</v>
      </c>
      <c r="CM25" s="1540"/>
      <c r="CN25" s="1541"/>
      <c r="CO25" s="1411" t="str">
        <f>CO6&amp;" год"</f>
        <v>2047 год</v>
      </c>
      <c r="CP25" s="1540"/>
      <c r="CQ25" s="1541"/>
      <c r="CR25" s="1411" t="str">
        <f>CR6&amp;" год"</f>
        <v>2048 год</v>
      </c>
      <c r="CS25" s="1540"/>
      <c r="CT25" s="1541"/>
      <c r="CU25" s="1411" t="str">
        <f>CU6&amp;" год"</f>
        <v>2049 год</v>
      </c>
      <c r="CV25" s="1540"/>
      <c r="CW25" s="1541"/>
      <c r="CX25" s="1411" t="str">
        <f>CX6&amp;" год"</f>
        <v>2050 год</v>
      </c>
      <c r="CY25" s="1540"/>
      <c r="CZ25" s="1541"/>
      <c r="DA25" s="1411" t="str">
        <f>DA6&amp;" год"</f>
        <v>2051 год</v>
      </c>
      <c r="DB25" s="1540"/>
      <c r="DC25" s="1541"/>
      <c r="DD25" s="1411" t="str">
        <f>DD6&amp;" год"</f>
        <v>2052 год</v>
      </c>
      <c r="DE25" s="1540"/>
      <c r="DF25" s="1541"/>
      <c r="DG25" s="1411" t="str">
        <f>DG6&amp;" год"</f>
        <v>2053 год</v>
      </c>
      <c r="DH25" s="1540"/>
      <c r="DI25" s="1541"/>
      <c r="DJ25" s="1411" t="str">
        <f>DJ6&amp;" год"</f>
        <v>2054 год</v>
      </c>
      <c r="DK25" s="1540"/>
      <c r="DL25" s="1541"/>
      <c r="DM25" s="1411" t="str">
        <f>DM6&amp;" год"</f>
        <v>2055 год</v>
      </c>
      <c r="DN25" s="1540"/>
      <c r="DO25" s="1541"/>
      <c r="DP25" s="1411" t="str">
        <f>DP6&amp;" год"</f>
        <v>2056 год</v>
      </c>
      <c r="DQ25" s="1540"/>
      <c r="DR25" s="1541"/>
      <c r="DS25" s="1411" t="str">
        <f>DS6&amp;" год"</f>
        <v>2057 год</v>
      </c>
      <c r="DT25" s="1540"/>
      <c r="DU25" s="1541"/>
      <c r="DV25" s="1411" t="str">
        <f>DV6&amp;" год"</f>
        <v>2058 год</v>
      </c>
      <c r="DW25" s="1540"/>
      <c r="DX25" s="1541"/>
      <c r="DY25" s="1411" t="str">
        <f>DY6&amp;" год"</f>
        <v>2059 год</v>
      </c>
      <c r="DZ25" s="1540"/>
      <c r="EA25" s="1541"/>
      <c r="EB25" s="1411" t="str">
        <f>EB6&amp;" год"</f>
        <v>2060 год</v>
      </c>
      <c r="EC25" s="1540"/>
      <c r="ED25" s="1541"/>
      <c r="EE25" s="1411" t="str">
        <f>EE6&amp;" год"</f>
        <v>2061 год</v>
      </c>
      <c r="EF25" s="1540"/>
      <c r="EG25" s="1541"/>
      <c r="EH25" s="1411" t="str">
        <f>EH6&amp;" год"</f>
        <v>2062 год</v>
      </c>
      <c r="EI25" s="1540"/>
      <c r="EJ25" s="1541"/>
      <c r="EK25" s="1411" t="str">
        <f>EK6&amp;" год"</f>
        <v>2063 год</v>
      </c>
      <c r="EL25" s="1540"/>
      <c r="EM25" s="1541"/>
      <c r="EN25" s="1411" t="str">
        <f>EN6&amp;" год"</f>
        <v>2064 год</v>
      </c>
      <c r="EO25" s="1540"/>
      <c r="EP25" s="1541"/>
      <c r="EQ25" s="1411" t="str">
        <f>EQ6&amp;" год"</f>
        <v>2065 год</v>
      </c>
      <c r="ER25" s="1540"/>
      <c r="ES25" s="1541"/>
      <c r="ET25" s="1411" t="str">
        <f>ET6&amp;" год"</f>
        <v>2066 год</v>
      </c>
      <c r="EU25" s="1540"/>
      <c r="EV25" s="1541"/>
      <c r="EW25" s="1411" t="str">
        <f>EW6&amp;" год"</f>
        <v>2067 год</v>
      </c>
      <c r="EX25" s="1540"/>
      <c r="EY25" s="1541"/>
      <c r="EZ25" s="1411" t="str">
        <f>EZ6&amp;" год"</f>
        <v>2068 год</v>
      </c>
      <c r="FA25" s="1540"/>
      <c r="FB25" s="1541"/>
      <c r="FC25" s="1411" t="str">
        <f>FC6&amp;" год"</f>
        <v>2069 год</v>
      </c>
      <c r="FD25" s="1540"/>
      <c r="FE25" s="1541"/>
      <c r="FF25" s="1411" t="str">
        <f>FF6&amp;" год"</f>
        <v>2070 год</v>
      </c>
      <c r="FG25" s="1540"/>
      <c r="FH25" s="1541"/>
      <c r="FI25" s="1411" t="str">
        <f>FI6&amp;" год"</f>
        <v>2071 год</v>
      </c>
      <c r="FJ25" s="1540"/>
      <c r="FK25" s="1541"/>
      <c r="FL25" s="1411" t="str">
        <f>FL6&amp;" год"</f>
        <v>2072 год</v>
      </c>
      <c r="FM25" s="1540"/>
      <c r="FN25" s="1541"/>
      <c r="FO25" s="1411" t="str">
        <f>FO6&amp;" год"</f>
        <v>2073 год</v>
      </c>
      <c r="FP25" s="1540"/>
      <c r="FQ25" s="1541"/>
      <c r="FR25" s="1411" t="str">
        <f>FR6&amp;" год"</f>
        <v>2074 год</v>
      </c>
      <c r="FS25" s="1540"/>
      <c r="FT25" s="1541"/>
      <c r="FU25" s="1411" t="str">
        <f>FU6&amp;" год"</f>
        <v>2075 год</v>
      </c>
      <c r="FV25" s="1540"/>
      <c r="FW25" s="1541"/>
      <c r="GA25" s="930"/>
      <c r="GB25" s="930"/>
      <c r="GC25" s="930"/>
      <c r="GD25" s="930"/>
    </row>
    <row r="26" spans="1:186" ht="42.4" customHeight="1">
      <c r="E26" s="623">
        <v>43.5</v>
      </c>
      <c r="Q26" s="394"/>
      <c r="R26" s="150"/>
      <c r="S26" s="151" t="b">
        <f>OR(hasVS,hasVO)</f>
        <v>0</v>
      </c>
      <c r="AB26" s="1409"/>
      <c r="AC26" s="1409"/>
      <c r="AD26" s="1005" t="s">
        <v>305</v>
      </c>
      <c r="AE26" s="110" t="s">
        <v>304</v>
      </c>
      <c r="AF26" s="110" t="s">
        <v>1650</v>
      </c>
      <c r="AG26" s="1005" t="s">
        <v>305</v>
      </c>
      <c r="AH26" s="110" t="s">
        <v>304</v>
      </c>
      <c r="AI26" s="110" t="s">
        <v>1650</v>
      </c>
      <c r="AJ26" s="1005" t="s">
        <v>305</v>
      </c>
      <c r="AK26" s="110" t="s">
        <v>304</v>
      </c>
      <c r="AL26" s="110" t="s">
        <v>1650</v>
      </c>
      <c r="AM26" s="1005" t="s">
        <v>305</v>
      </c>
      <c r="AN26" s="110" t="s">
        <v>304</v>
      </c>
      <c r="AO26" s="110" t="s">
        <v>1650</v>
      </c>
      <c r="AP26" s="1005" t="s">
        <v>305</v>
      </c>
      <c r="AQ26" s="110" t="s">
        <v>304</v>
      </c>
      <c r="AR26" s="110" t="s">
        <v>1650</v>
      </c>
      <c r="AS26" s="1005" t="s">
        <v>305</v>
      </c>
      <c r="AT26" s="110" t="s">
        <v>304</v>
      </c>
      <c r="AU26" s="110" t="s">
        <v>1650</v>
      </c>
      <c r="AV26" s="1005" t="s">
        <v>305</v>
      </c>
      <c r="AW26" s="110" t="s">
        <v>304</v>
      </c>
      <c r="AX26" s="110" t="s">
        <v>1650</v>
      </c>
      <c r="AY26" s="1005" t="s">
        <v>305</v>
      </c>
      <c r="AZ26" s="110" t="s">
        <v>304</v>
      </c>
      <c r="BA26" s="110" t="s">
        <v>1650</v>
      </c>
      <c r="BB26" s="1005" t="s">
        <v>305</v>
      </c>
      <c r="BC26" s="110" t="s">
        <v>304</v>
      </c>
      <c r="BD26" s="110" t="s">
        <v>1650</v>
      </c>
      <c r="BE26" s="1005" t="s">
        <v>305</v>
      </c>
      <c r="BF26" s="110" t="s">
        <v>304</v>
      </c>
      <c r="BG26" s="110" t="s">
        <v>1650</v>
      </c>
      <c r="BH26" s="110" t="s">
        <v>305</v>
      </c>
      <c r="BI26" s="110" t="s">
        <v>304</v>
      </c>
      <c r="BJ26" s="110" t="s">
        <v>1650</v>
      </c>
      <c r="BK26" s="110" t="s">
        <v>305</v>
      </c>
      <c r="BL26" s="110" t="s">
        <v>304</v>
      </c>
      <c r="BM26" s="110" t="s">
        <v>1650</v>
      </c>
      <c r="BN26" s="110" t="s">
        <v>305</v>
      </c>
      <c r="BO26" s="110" t="s">
        <v>304</v>
      </c>
      <c r="BP26" s="110" t="s">
        <v>1650</v>
      </c>
      <c r="BQ26" s="110" t="s">
        <v>305</v>
      </c>
      <c r="BR26" s="110" t="s">
        <v>304</v>
      </c>
      <c r="BS26" s="110" t="s">
        <v>1650</v>
      </c>
      <c r="BT26" s="110" t="s">
        <v>305</v>
      </c>
      <c r="BU26" s="110" t="s">
        <v>304</v>
      </c>
      <c r="BV26" s="110" t="s">
        <v>1650</v>
      </c>
      <c r="BW26" s="110" t="s">
        <v>305</v>
      </c>
      <c r="BX26" s="110" t="s">
        <v>304</v>
      </c>
      <c r="BY26" s="110" t="s">
        <v>1650</v>
      </c>
      <c r="BZ26" s="110" t="s">
        <v>305</v>
      </c>
      <c r="CA26" s="110" t="s">
        <v>304</v>
      </c>
      <c r="CB26" s="110" t="s">
        <v>1650</v>
      </c>
      <c r="CC26" s="110" t="s">
        <v>305</v>
      </c>
      <c r="CD26" s="110" t="s">
        <v>304</v>
      </c>
      <c r="CE26" s="110" t="s">
        <v>1650</v>
      </c>
      <c r="CF26" s="110" t="s">
        <v>305</v>
      </c>
      <c r="CG26" s="110" t="s">
        <v>304</v>
      </c>
      <c r="CH26" s="110" t="s">
        <v>1650</v>
      </c>
      <c r="CI26" s="110" t="s">
        <v>305</v>
      </c>
      <c r="CJ26" s="110" t="s">
        <v>304</v>
      </c>
      <c r="CK26" s="110" t="s">
        <v>1650</v>
      </c>
      <c r="CL26" s="110" t="s">
        <v>305</v>
      </c>
      <c r="CM26" s="110" t="s">
        <v>304</v>
      </c>
      <c r="CN26" s="110" t="s">
        <v>1650</v>
      </c>
      <c r="CO26" s="110" t="s">
        <v>305</v>
      </c>
      <c r="CP26" s="110" t="s">
        <v>304</v>
      </c>
      <c r="CQ26" s="110" t="s">
        <v>1650</v>
      </c>
      <c r="CR26" s="110" t="s">
        <v>305</v>
      </c>
      <c r="CS26" s="110" t="s">
        <v>304</v>
      </c>
      <c r="CT26" s="110" t="s">
        <v>1650</v>
      </c>
      <c r="CU26" s="110" t="s">
        <v>305</v>
      </c>
      <c r="CV26" s="110" t="s">
        <v>304</v>
      </c>
      <c r="CW26" s="110" t="s">
        <v>1650</v>
      </c>
      <c r="CX26" s="110" t="s">
        <v>305</v>
      </c>
      <c r="CY26" s="110" t="s">
        <v>304</v>
      </c>
      <c r="CZ26" s="110" t="s">
        <v>1650</v>
      </c>
      <c r="DA26" s="110" t="s">
        <v>305</v>
      </c>
      <c r="DB26" s="110" t="s">
        <v>304</v>
      </c>
      <c r="DC26" s="110" t="s">
        <v>1650</v>
      </c>
      <c r="DD26" s="110" t="s">
        <v>305</v>
      </c>
      <c r="DE26" s="110" t="s">
        <v>304</v>
      </c>
      <c r="DF26" s="110" t="s">
        <v>1650</v>
      </c>
      <c r="DG26" s="110" t="s">
        <v>305</v>
      </c>
      <c r="DH26" s="110" t="s">
        <v>304</v>
      </c>
      <c r="DI26" s="110" t="s">
        <v>1650</v>
      </c>
      <c r="DJ26" s="110" t="s">
        <v>305</v>
      </c>
      <c r="DK26" s="110" t="s">
        <v>304</v>
      </c>
      <c r="DL26" s="110" t="s">
        <v>1650</v>
      </c>
      <c r="DM26" s="110" t="s">
        <v>305</v>
      </c>
      <c r="DN26" s="110" t="s">
        <v>304</v>
      </c>
      <c r="DO26" s="110" t="s">
        <v>1650</v>
      </c>
      <c r="DP26" s="110" t="s">
        <v>305</v>
      </c>
      <c r="DQ26" s="110" t="s">
        <v>304</v>
      </c>
      <c r="DR26" s="110" t="s">
        <v>1650</v>
      </c>
      <c r="DS26" s="110" t="s">
        <v>305</v>
      </c>
      <c r="DT26" s="110" t="s">
        <v>304</v>
      </c>
      <c r="DU26" s="110" t="s">
        <v>1650</v>
      </c>
      <c r="DV26" s="110" t="s">
        <v>305</v>
      </c>
      <c r="DW26" s="110" t="s">
        <v>304</v>
      </c>
      <c r="DX26" s="110" t="s">
        <v>1650</v>
      </c>
      <c r="DY26" s="110" t="s">
        <v>305</v>
      </c>
      <c r="DZ26" s="110" t="s">
        <v>304</v>
      </c>
      <c r="EA26" s="110" t="s">
        <v>1650</v>
      </c>
      <c r="EB26" s="110" t="s">
        <v>305</v>
      </c>
      <c r="EC26" s="110" t="s">
        <v>304</v>
      </c>
      <c r="ED26" s="110" t="s">
        <v>1650</v>
      </c>
      <c r="EE26" s="110" t="s">
        <v>305</v>
      </c>
      <c r="EF26" s="110" t="s">
        <v>304</v>
      </c>
      <c r="EG26" s="110" t="s">
        <v>1650</v>
      </c>
      <c r="EH26" s="110" t="s">
        <v>305</v>
      </c>
      <c r="EI26" s="110" t="s">
        <v>304</v>
      </c>
      <c r="EJ26" s="110" t="s">
        <v>1650</v>
      </c>
      <c r="EK26" s="110" t="s">
        <v>305</v>
      </c>
      <c r="EL26" s="110" t="s">
        <v>304</v>
      </c>
      <c r="EM26" s="110" t="s">
        <v>1650</v>
      </c>
      <c r="EN26" s="110" t="s">
        <v>305</v>
      </c>
      <c r="EO26" s="110" t="s">
        <v>304</v>
      </c>
      <c r="EP26" s="110" t="s">
        <v>1650</v>
      </c>
      <c r="EQ26" s="110" t="s">
        <v>305</v>
      </c>
      <c r="ER26" s="110" t="s">
        <v>304</v>
      </c>
      <c r="ES26" s="110" t="s">
        <v>1650</v>
      </c>
      <c r="ET26" s="110" t="s">
        <v>305</v>
      </c>
      <c r="EU26" s="110" t="s">
        <v>304</v>
      </c>
      <c r="EV26" s="110" t="s">
        <v>1650</v>
      </c>
      <c r="EW26" s="110" t="s">
        <v>305</v>
      </c>
      <c r="EX26" s="110" t="s">
        <v>304</v>
      </c>
      <c r="EY26" s="110" t="s">
        <v>1650</v>
      </c>
      <c r="EZ26" s="110" t="s">
        <v>305</v>
      </c>
      <c r="FA26" s="110" t="s">
        <v>304</v>
      </c>
      <c r="FB26" s="110" t="s">
        <v>1650</v>
      </c>
      <c r="FC26" s="110" t="s">
        <v>305</v>
      </c>
      <c r="FD26" s="110" t="s">
        <v>304</v>
      </c>
      <c r="FE26" s="110" t="s">
        <v>1650</v>
      </c>
      <c r="FF26" s="110" t="s">
        <v>305</v>
      </c>
      <c r="FG26" s="110" t="s">
        <v>304</v>
      </c>
      <c r="FH26" s="110" t="s">
        <v>1650</v>
      </c>
      <c r="FI26" s="110" t="s">
        <v>305</v>
      </c>
      <c r="FJ26" s="110" t="s">
        <v>304</v>
      </c>
      <c r="FK26" s="110" t="s">
        <v>1650</v>
      </c>
      <c r="FL26" s="110" t="s">
        <v>305</v>
      </c>
      <c r="FM26" s="110" t="s">
        <v>304</v>
      </c>
      <c r="FN26" s="110" t="s">
        <v>1650</v>
      </c>
      <c r="FO26" s="110" t="s">
        <v>305</v>
      </c>
      <c r="FP26" s="110" t="s">
        <v>304</v>
      </c>
      <c r="FQ26" s="110" t="s">
        <v>1650</v>
      </c>
      <c r="FR26" s="110" t="s">
        <v>305</v>
      </c>
      <c r="FS26" s="110" t="s">
        <v>304</v>
      </c>
      <c r="FT26" s="110" t="s">
        <v>1650</v>
      </c>
      <c r="FU26" s="110" t="s">
        <v>305</v>
      </c>
      <c r="FV26" s="110" t="s">
        <v>304</v>
      </c>
      <c r="FW26" s="110" t="s">
        <v>1650</v>
      </c>
      <c r="GA26" s="930"/>
      <c r="GB26" s="930"/>
      <c r="GC26" s="930"/>
      <c r="GD26" s="930"/>
    </row>
    <row r="27" spans="1:186" ht="43.5" hidden="1" customHeight="1">
      <c r="E27" s="623">
        <v>0</v>
      </c>
      <c r="Q27" s="394"/>
      <c r="R27" s="150"/>
      <c r="S27" s="151"/>
      <c r="AB27" s="546"/>
      <c r="AC27" s="547"/>
      <c r="AD27" s="519"/>
      <c r="AE27" s="520"/>
      <c r="AF27" s="520"/>
      <c r="AG27" s="520"/>
      <c r="AH27" s="520"/>
      <c r="AI27" s="520"/>
      <c r="AJ27" s="520"/>
      <c r="AK27" s="520"/>
      <c r="AL27" s="520"/>
      <c r="AM27" s="520"/>
      <c r="AN27" s="520"/>
      <c r="AO27" s="520"/>
      <c r="AP27" s="520"/>
      <c r="AQ27" s="520"/>
      <c r="AR27" s="520"/>
      <c r="AS27" s="520"/>
      <c r="AT27" s="520"/>
      <c r="AU27" s="520"/>
      <c r="AV27" s="520"/>
      <c r="AW27" s="520"/>
      <c r="AX27" s="520"/>
      <c r="AY27" s="520"/>
      <c r="AZ27" s="520"/>
      <c r="BA27" s="520"/>
      <c r="BB27" s="520"/>
      <c r="BC27" s="520"/>
      <c r="BD27" s="520"/>
      <c r="BE27" s="520"/>
      <c r="BF27" s="520"/>
      <c r="BG27" s="520"/>
      <c r="BH27" s="520"/>
      <c r="BI27" s="520"/>
      <c r="BJ27" s="520"/>
      <c r="BK27" s="520"/>
      <c r="BL27" s="520"/>
      <c r="BM27" s="520"/>
      <c r="BN27" s="520"/>
      <c r="BO27" s="520"/>
      <c r="BP27" s="520"/>
      <c r="BQ27" s="520"/>
      <c r="BR27" s="520"/>
      <c r="BS27" s="520"/>
      <c r="BT27" s="520"/>
      <c r="BU27" s="520"/>
      <c r="BV27" s="520"/>
      <c r="BW27" s="520"/>
      <c r="BX27" s="520"/>
      <c r="BY27" s="520"/>
      <c r="BZ27" s="520"/>
      <c r="CA27" s="520"/>
      <c r="CB27" s="520"/>
      <c r="CC27" s="520"/>
      <c r="CD27" s="520"/>
      <c r="CE27" s="520"/>
      <c r="CF27" s="520"/>
      <c r="CG27" s="520"/>
      <c r="CH27" s="520"/>
      <c r="CI27" s="520"/>
      <c r="CJ27" s="520"/>
      <c r="CK27" s="520"/>
      <c r="CL27" s="520"/>
      <c r="CM27" s="520"/>
      <c r="CN27" s="520"/>
      <c r="CO27" s="520"/>
      <c r="CP27" s="520"/>
      <c r="CQ27" s="520"/>
      <c r="CR27" s="520"/>
      <c r="CS27" s="520"/>
      <c r="CT27" s="520"/>
      <c r="CU27" s="520"/>
      <c r="CV27" s="520"/>
      <c r="CW27" s="520"/>
      <c r="CX27" s="520"/>
      <c r="CY27" s="520"/>
      <c r="CZ27" s="520"/>
      <c r="DA27" s="520"/>
      <c r="DB27" s="520"/>
      <c r="DC27" s="520"/>
      <c r="DD27" s="520"/>
      <c r="DE27" s="520"/>
      <c r="DF27" s="520"/>
      <c r="DG27" s="520"/>
      <c r="DH27" s="520"/>
      <c r="DI27" s="520"/>
      <c r="DJ27" s="520"/>
      <c r="DK27" s="520"/>
      <c r="DL27" s="520"/>
      <c r="DM27" s="520"/>
      <c r="DN27" s="520"/>
      <c r="DO27" s="520"/>
      <c r="DP27" s="520"/>
      <c r="DQ27" s="520"/>
      <c r="DR27" s="520"/>
      <c r="DS27" s="520"/>
      <c r="DT27" s="520"/>
      <c r="DU27" s="520"/>
      <c r="DV27" s="520"/>
      <c r="DW27" s="520"/>
      <c r="DX27" s="520"/>
      <c r="DY27" s="520"/>
      <c r="DZ27" s="520"/>
      <c r="EA27" s="520"/>
      <c r="EB27" s="520"/>
      <c r="EC27" s="520"/>
      <c r="ED27" s="520"/>
      <c r="EE27" s="520"/>
      <c r="EF27" s="520"/>
      <c r="EG27" s="520"/>
      <c r="EH27" s="520"/>
      <c r="EI27" s="520"/>
      <c r="EJ27" s="520"/>
      <c r="EK27" s="520"/>
      <c r="EL27" s="520"/>
      <c r="EM27" s="520"/>
      <c r="EN27" s="520"/>
      <c r="EO27" s="520"/>
      <c r="EP27" s="520"/>
      <c r="EQ27" s="520"/>
      <c r="ER27" s="520"/>
      <c r="ES27" s="520"/>
      <c r="ET27" s="520"/>
      <c r="EU27" s="520"/>
      <c r="EV27" s="520"/>
      <c r="EW27" s="520"/>
      <c r="EX27" s="520"/>
      <c r="EY27" s="520"/>
      <c r="EZ27" s="520"/>
      <c r="FA27" s="520"/>
      <c r="FB27" s="520"/>
      <c r="FC27" s="520"/>
      <c r="FD27" s="520"/>
      <c r="FE27" s="520"/>
      <c r="FF27" s="520"/>
      <c r="FG27" s="520"/>
      <c r="FH27" s="520"/>
      <c r="FI27" s="520"/>
      <c r="FJ27" s="520"/>
      <c r="FK27" s="520"/>
      <c r="FL27" s="520"/>
      <c r="FM27" s="520"/>
      <c r="FN27" s="520"/>
      <c r="FO27" s="520"/>
      <c r="FP27" s="520"/>
      <c r="FQ27" s="520"/>
      <c r="FR27" s="520"/>
      <c r="FS27" s="520"/>
      <c r="FT27" s="520"/>
      <c r="FU27" s="520"/>
      <c r="FV27" s="520"/>
      <c r="FW27" s="521"/>
      <c r="GA27" s="930"/>
      <c r="GB27" s="930"/>
      <c r="GC27" s="930"/>
      <c r="GD27" s="930"/>
    </row>
    <row r="28" spans="1:186" ht="21.95" hidden="1" customHeight="1">
      <c r="E28" s="623">
        <v>22.5</v>
      </c>
      <c r="F28" s="714">
        <f>X28</f>
        <v>0</v>
      </c>
      <c r="Q28" s="394"/>
      <c r="R28" s="150" t="str">
        <f>INDEX('Общие сведения'!$AK$169:$AK$202,MATCH($F28,'Общие сведения'!$Z$169:$Z$202,0))</f>
        <v>одноставочный</v>
      </c>
      <c r="T28" s="634" t="b">
        <f>X28&gt;0</f>
        <v>0</v>
      </c>
      <c r="V28" s="113" t="s">
        <v>228</v>
      </c>
      <c r="X28" s="1405">
        <v>0</v>
      </c>
      <c r="Z28" s="1405"/>
      <c r="AB28" s="1545" t="s">
        <v>288</v>
      </c>
      <c r="AC28" s="1546"/>
      <c r="AD28" s="274" t="str">
        <f>"Тариф "&amp;F28</f>
        <v>Тариф 0</v>
      </c>
      <c r="AE28" s="275"/>
      <c r="AF28" s="275"/>
      <c r="AG28" s="275"/>
      <c r="AH28" s="275"/>
      <c r="AI28" s="275"/>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s="275"/>
      <c r="BI28" s="275"/>
      <c r="BJ28" s="275"/>
      <c r="BK28" s="275"/>
      <c r="BL28" s="275"/>
      <c r="BM28" s="275"/>
      <c r="BN28" s="275"/>
      <c r="BO28" s="275"/>
      <c r="BP28" s="275"/>
      <c r="BQ28" s="275"/>
      <c r="BR28" s="275"/>
      <c r="BS28" s="275"/>
      <c r="BT28" s="275"/>
      <c r="BU28" s="275"/>
      <c r="BV28" s="275"/>
      <c r="BW28" s="275"/>
      <c r="BX28" s="275"/>
      <c r="BY28" s="275"/>
      <c r="BZ28" s="275"/>
      <c r="CA28" s="275"/>
      <c r="CB28" s="275"/>
      <c r="CC28" s="275"/>
      <c r="CD28" s="275"/>
      <c r="CE28" s="275"/>
      <c r="CF28" s="275"/>
      <c r="CG28" s="275"/>
      <c r="CH28" s="275"/>
      <c r="CI28" s="275"/>
      <c r="CJ28" s="275"/>
      <c r="CK28" s="275"/>
      <c r="CL28" s="275"/>
      <c r="CM28" s="275"/>
      <c r="CN28" s="275"/>
      <c r="CO28" s="275"/>
      <c r="CP28" s="275"/>
      <c r="CQ28" s="275"/>
      <c r="CR28" s="275"/>
      <c r="CS28" s="275"/>
      <c r="CT28" s="275"/>
      <c r="CU28" s="275"/>
      <c r="CV28" s="275"/>
      <c r="CW28" s="275"/>
      <c r="CX28" s="275"/>
      <c r="CY28" s="275"/>
      <c r="CZ28" s="275"/>
      <c r="DA28" s="275"/>
      <c r="DB28" s="275"/>
      <c r="DC28" s="275"/>
      <c r="DD28" s="275"/>
      <c r="DE28" s="275"/>
      <c r="DF28" s="275"/>
      <c r="DG28" s="275"/>
      <c r="DH28" s="275"/>
      <c r="DI28" s="275"/>
      <c r="DJ28" s="275"/>
      <c r="DK28" s="275"/>
      <c r="DL28" s="275"/>
      <c r="DM28" s="275"/>
      <c r="DN28" s="275"/>
      <c r="DO28" s="275"/>
      <c r="DP28" s="275"/>
      <c r="DQ28" s="275"/>
      <c r="DR28" s="275"/>
      <c r="DS28" s="275"/>
      <c r="DT28" s="275"/>
      <c r="DU28" s="275"/>
      <c r="DV28" s="275"/>
      <c r="DW28" s="275"/>
      <c r="DX28" s="275"/>
      <c r="DY28" s="275"/>
      <c r="DZ28" s="275"/>
      <c r="EA28" s="275"/>
      <c r="EB28" s="275"/>
      <c r="EC28" s="275"/>
      <c r="ED28" s="275"/>
      <c r="EE28" s="275"/>
      <c r="EF28" s="275"/>
      <c r="EG28" s="275"/>
      <c r="EH28" s="275"/>
      <c r="EI28" s="275"/>
      <c r="EJ28" s="275"/>
      <c r="EK28" s="275"/>
      <c r="EL28" s="275"/>
      <c r="EM28" s="275"/>
      <c r="EN28" s="275"/>
      <c r="EO28" s="275"/>
      <c r="EP28" s="275"/>
      <c r="EQ28" s="275"/>
      <c r="ER28" s="275"/>
      <c r="ES28" s="275"/>
      <c r="ET28" s="275"/>
      <c r="EU28" s="275"/>
      <c r="EV28" s="275"/>
      <c r="EW28" s="275"/>
      <c r="EX28" s="275"/>
      <c r="EY28" s="275"/>
      <c r="EZ28" s="275"/>
      <c r="FA28" s="275"/>
      <c r="FB28" s="275"/>
      <c r="FC28" s="275"/>
      <c r="FD28" s="275"/>
      <c r="FE28" s="275"/>
      <c r="FF28" s="275"/>
      <c r="FG28" s="275"/>
      <c r="FH28" s="275"/>
      <c r="FI28" s="275"/>
      <c r="FJ28" s="275"/>
      <c r="FK28" s="275"/>
      <c r="FL28" s="275"/>
      <c r="FM28" s="275"/>
      <c r="FN28" s="275"/>
      <c r="FO28" s="275"/>
      <c r="FP28" s="275"/>
      <c r="FQ28" s="275"/>
      <c r="FR28" s="275"/>
      <c r="FS28" s="275"/>
      <c r="FT28" s="275"/>
      <c r="FU28" s="275"/>
      <c r="FV28" s="275"/>
      <c r="FW28" s="276"/>
      <c r="GA28" s="930"/>
      <c r="GB28" s="930"/>
      <c r="GC28" s="930"/>
      <c r="GD28" s="930"/>
    </row>
    <row r="29" spans="1:186" ht="15" hidden="1" customHeight="1">
      <c r="E29" s="623">
        <v>0</v>
      </c>
      <c r="F29" s="714">
        <f t="shared" ref="F29:F73" ca="1" si="20">OFFSET(G29,-1,-1)</f>
        <v>0</v>
      </c>
      <c r="Q29" s="394"/>
      <c r="T29" s="634" t="b">
        <v>0</v>
      </c>
      <c r="X29" s="1405"/>
      <c r="Z29" s="1405"/>
      <c r="AB29" s="1384"/>
      <c r="AC29" s="1386"/>
      <c r="AD29" s="274"/>
      <c r="AE29" s="277"/>
      <c r="AF29" s="277"/>
      <c r="AG29" s="277"/>
      <c r="AH29" s="277"/>
      <c r="AI29" s="277"/>
      <c r="AJ29" s="277"/>
      <c r="AK29" s="277"/>
      <c r="AL29" s="277"/>
      <c r="AM29" s="277"/>
      <c r="AN29" s="277"/>
      <c r="AO29" s="277"/>
      <c r="AP29" s="277"/>
      <c r="AQ29" s="277"/>
      <c r="AR29" s="277"/>
      <c r="AS29" s="277"/>
      <c r="AT29" s="277"/>
      <c r="AU29" s="277"/>
      <c r="AV29" s="277"/>
      <c r="AW29" s="277"/>
      <c r="AX29" s="277"/>
      <c r="AY29" s="277"/>
      <c r="AZ29" s="277"/>
      <c r="BA29" s="277"/>
      <c r="BB29" s="277"/>
      <c r="BC29" s="277"/>
      <c r="BD29" s="277"/>
      <c r="BE29" s="277"/>
      <c r="BF29" s="277"/>
      <c r="BG29" s="277"/>
      <c r="BH29" s="277"/>
      <c r="BI29" s="277"/>
      <c r="BJ29" s="277"/>
      <c r="BK29" s="277"/>
      <c r="BL29" s="277"/>
      <c r="BM29" s="277"/>
      <c r="BN29" s="277"/>
      <c r="BO29" s="277"/>
      <c r="BP29" s="277"/>
      <c r="BQ29" s="277"/>
      <c r="BR29" s="277"/>
      <c r="BS29" s="277"/>
      <c r="BT29" s="277"/>
      <c r="BU29" s="277"/>
      <c r="BV29" s="277"/>
      <c r="BW29" s="277"/>
      <c r="BX29" s="277"/>
      <c r="BY29" s="277"/>
      <c r="BZ29" s="277"/>
      <c r="CA29" s="277"/>
      <c r="CB29" s="277"/>
      <c r="CC29" s="277"/>
      <c r="CD29" s="277"/>
      <c r="CE29" s="277"/>
      <c r="CF29" s="277"/>
      <c r="CG29" s="277"/>
      <c r="CH29" s="277"/>
      <c r="CI29" s="277"/>
      <c r="CJ29" s="277"/>
      <c r="CK29" s="277"/>
      <c r="CL29" s="277"/>
      <c r="CM29" s="277"/>
      <c r="CN29" s="277"/>
      <c r="CO29" s="277"/>
      <c r="CP29" s="277"/>
      <c r="CQ29" s="277"/>
      <c r="CR29" s="277"/>
      <c r="CS29" s="277"/>
      <c r="CT29" s="277"/>
      <c r="CU29" s="277"/>
      <c r="CV29" s="277"/>
      <c r="CW29" s="277"/>
      <c r="CX29" s="277"/>
      <c r="CY29" s="277"/>
      <c r="CZ29" s="277"/>
      <c r="DA29" s="277"/>
      <c r="DB29" s="277"/>
      <c r="DC29" s="277"/>
      <c r="DD29" s="277"/>
      <c r="DE29" s="277"/>
      <c r="DF29" s="277"/>
      <c r="DG29" s="277"/>
      <c r="DH29" s="277"/>
      <c r="DI29" s="277"/>
      <c r="DJ29" s="277"/>
      <c r="DK29" s="277"/>
      <c r="DL29" s="277"/>
      <c r="DM29" s="277"/>
      <c r="DN29" s="277"/>
      <c r="DO29" s="277"/>
      <c r="DP29" s="277"/>
      <c r="DQ29" s="277"/>
      <c r="DR29" s="277"/>
      <c r="DS29" s="277"/>
      <c r="DT29" s="277"/>
      <c r="DU29" s="277"/>
      <c r="DV29" s="277"/>
      <c r="DW29" s="277"/>
      <c r="DX29" s="277"/>
      <c r="DY29" s="277"/>
      <c r="DZ29" s="277"/>
      <c r="EA29" s="277"/>
      <c r="EB29" s="277"/>
      <c r="EC29" s="277"/>
      <c r="ED29" s="277"/>
      <c r="EE29" s="277"/>
      <c r="EF29" s="277"/>
      <c r="EG29" s="277"/>
      <c r="EH29" s="277"/>
      <c r="EI29" s="277"/>
      <c r="EJ29" s="277"/>
      <c r="EK29" s="277"/>
      <c r="EL29" s="277"/>
      <c r="EM29" s="277"/>
      <c r="EN29" s="277"/>
      <c r="EO29" s="277"/>
      <c r="EP29" s="277"/>
      <c r="EQ29" s="277"/>
      <c r="ER29" s="277"/>
      <c r="ES29" s="277"/>
      <c r="ET29" s="277"/>
      <c r="EU29" s="277"/>
      <c r="EV29" s="277"/>
      <c r="EW29" s="277"/>
      <c r="EX29" s="277"/>
      <c r="EY29" s="277"/>
      <c r="EZ29" s="277"/>
      <c r="FA29" s="277"/>
      <c r="FB29" s="277"/>
      <c r="FC29" s="277"/>
      <c r="FD29" s="277"/>
      <c r="FE29" s="277"/>
      <c r="FF29" s="277"/>
      <c r="FG29" s="277"/>
      <c r="FH29" s="277"/>
      <c r="FI29" s="277"/>
      <c r="FJ29" s="277"/>
      <c r="FK29" s="277"/>
      <c r="FL29" s="277"/>
      <c r="FM29" s="277"/>
      <c r="FN29" s="277"/>
      <c r="FO29" s="277"/>
      <c r="FP29" s="277"/>
      <c r="FQ29" s="277"/>
      <c r="FR29" s="277"/>
      <c r="FS29" s="277"/>
      <c r="FT29" s="277"/>
      <c r="FU29" s="277"/>
      <c r="FV29" s="277"/>
      <c r="FW29" s="278"/>
      <c r="GA29" s="930"/>
      <c r="GB29" s="930"/>
      <c r="GC29" s="930"/>
      <c r="GD29" s="930"/>
    </row>
    <row r="30" spans="1:186" ht="16.7" hidden="1" customHeight="1">
      <c r="E30" s="623">
        <v>17.100000000000001</v>
      </c>
      <c r="F30" s="714">
        <f t="shared" ca="1" si="20"/>
        <v>0</v>
      </c>
      <c r="Q30" s="394"/>
      <c r="T30" s="634" t="b">
        <f>T28</f>
        <v>0</v>
      </c>
      <c r="X30" s="1405"/>
      <c r="Z30" s="1405"/>
      <c r="AB30" s="1384" t="s">
        <v>1651</v>
      </c>
      <c r="AC30" s="1386"/>
      <c r="AD30" s="274" t="str">
        <f ca="1">INDEX('Общие сведения'!$AI$169:$AI$202,MATCH($F30,'Общие сведения'!$Z$169:$Z$202,0))</f>
        <v>Тарифы на теплоноситель</v>
      </c>
      <c r="AE30" s="277"/>
      <c r="AF30" s="277"/>
      <c r="AG30" s="277"/>
      <c r="AH30" s="277"/>
      <c r="AI30" s="277"/>
      <c r="AJ30" s="277"/>
      <c r="AK30" s="277"/>
      <c r="AL30" s="277"/>
      <c r="AM30" s="277"/>
      <c r="AN30" s="277"/>
      <c r="AO30" s="277"/>
      <c r="AP30" s="277"/>
      <c r="AQ30" s="277"/>
      <c r="AR30" s="277"/>
      <c r="AS30" s="277"/>
      <c r="AT30" s="277"/>
      <c r="AU30" s="277"/>
      <c r="AV30" s="277"/>
      <c r="AW30" s="277"/>
      <c r="AX30" s="277"/>
      <c r="AY30" s="277"/>
      <c r="AZ30" s="277"/>
      <c r="BA30" s="277"/>
      <c r="BB30" s="277"/>
      <c r="BC30" s="277"/>
      <c r="BD30" s="277"/>
      <c r="BE30" s="277"/>
      <c r="BF30" s="277"/>
      <c r="BG30" s="277"/>
      <c r="BH30" s="277"/>
      <c r="BI30" s="277"/>
      <c r="BJ30" s="277"/>
      <c r="BK30" s="277"/>
      <c r="BL30" s="277"/>
      <c r="BM30" s="277"/>
      <c r="BN30" s="277"/>
      <c r="BO30" s="277"/>
      <c r="BP30" s="277"/>
      <c r="BQ30" s="277"/>
      <c r="BR30" s="277"/>
      <c r="BS30" s="277"/>
      <c r="BT30" s="277"/>
      <c r="BU30" s="277"/>
      <c r="BV30" s="277"/>
      <c r="BW30" s="277"/>
      <c r="BX30" s="277"/>
      <c r="BY30" s="277"/>
      <c r="BZ30" s="277"/>
      <c r="CA30" s="277"/>
      <c r="CB30" s="277"/>
      <c r="CC30" s="277"/>
      <c r="CD30" s="277"/>
      <c r="CE30" s="277"/>
      <c r="CF30" s="277"/>
      <c r="CG30" s="277"/>
      <c r="CH30" s="277"/>
      <c r="CI30" s="277"/>
      <c r="CJ30" s="277"/>
      <c r="CK30" s="277"/>
      <c r="CL30" s="277"/>
      <c r="CM30" s="277"/>
      <c r="CN30" s="277"/>
      <c r="CO30" s="277"/>
      <c r="CP30" s="277"/>
      <c r="CQ30" s="277"/>
      <c r="CR30" s="277"/>
      <c r="CS30" s="277"/>
      <c r="CT30" s="277"/>
      <c r="CU30" s="277"/>
      <c r="CV30" s="277"/>
      <c r="CW30" s="277"/>
      <c r="CX30" s="277"/>
      <c r="CY30" s="277"/>
      <c r="CZ30" s="277"/>
      <c r="DA30" s="277"/>
      <c r="DB30" s="277"/>
      <c r="DC30" s="277"/>
      <c r="DD30" s="277"/>
      <c r="DE30" s="277"/>
      <c r="DF30" s="277"/>
      <c r="DG30" s="277"/>
      <c r="DH30" s="277"/>
      <c r="DI30" s="277"/>
      <c r="DJ30" s="277"/>
      <c r="DK30" s="277"/>
      <c r="DL30" s="277"/>
      <c r="DM30" s="277"/>
      <c r="DN30" s="277"/>
      <c r="DO30" s="277"/>
      <c r="DP30" s="277"/>
      <c r="DQ30" s="277"/>
      <c r="DR30" s="277"/>
      <c r="DS30" s="277"/>
      <c r="DT30" s="277"/>
      <c r="DU30" s="277"/>
      <c r="DV30" s="277"/>
      <c r="DW30" s="277"/>
      <c r="DX30" s="277"/>
      <c r="DY30" s="277"/>
      <c r="DZ30" s="277"/>
      <c r="EA30" s="277"/>
      <c r="EB30" s="277"/>
      <c r="EC30" s="277"/>
      <c r="ED30" s="277"/>
      <c r="EE30" s="277"/>
      <c r="EF30" s="277"/>
      <c r="EG30" s="277"/>
      <c r="EH30" s="277"/>
      <c r="EI30" s="277"/>
      <c r="EJ30" s="277"/>
      <c r="EK30" s="277"/>
      <c r="EL30" s="277"/>
      <c r="EM30" s="277"/>
      <c r="EN30" s="277"/>
      <c r="EO30" s="277"/>
      <c r="EP30" s="277"/>
      <c r="EQ30" s="277"/>
      <c r="ER30" s="277"/>
      <c r="ES30" s="277"/>
      <c r="ET30" s="277"/>
      <c r="EU30" s="277"/>
      <c r="EV30" s="277"/>
      <c r="EW30" s="277"/>
      <c r="EX30" s="277"/>
      <c r="EY30" s="277"/>
      <c r="EZ30" s="277"/>
      <c r="FA30" s="277"/>
      <c r="FB30" s="277"/>
      <c r="FC30" s="277"/>
      <c r="FD30" s="277"/>
      <c r="FE30" s="277"/>
      <c r="FF30" s="277"/>
      <c r="FG30" s="277"/>
      <c r="FH30" s="277"/>
      <c r="FI30" s="277"/>
      <c r="FJ30" s="277"/>
      <c r="FK30" s="277"/>
      <c r="FL30" s="277"/>
      <c r="FM30" s="277"/>
      <c r="FN30" s="277"/>
      <c r="FO30" s="277"/>
      <c r="FP30" s="277"/>
      <c r="FQ30" s="277"/>
      <c r="FR30" s="277"/>
      <c r="FS30" s="277"/>
      <c r="FT30" s="277"/>
      <c r="FU30" s="277"/>
      <c r="FV30" s="277"/>
      <c r="FW30" s="278"/>
      <c r="GA30" s="930"/>
      <c r="GB30" s="930"/>
      <c r="GC30" s="930"/>
      <c r="GD30" s="930"/>
    </row>
    <row r="31" spans="1:186" ht="16.7" hidden="1" customHeight="1">
      <c r="E31" s="623">
        <v>17.100000000000001</v>
      </c>
      <c r="F31" s="714">
        <f t="shared" ca="1" si="20"/>
        <v>0</v>
      </c>
      <c r="Q31" s="394"/>
      <c r="T31" s="634" t="b">
        <f t="shared" ref="T31:T44" si="21">T30</f>
        <v>0</v>
      </c>
      <c r="X31" s="1405"/>
      <c r="Z31" s="1405"/>
      <c r="AB31" s="1384" t="s">
        <v>1652</v>
      </c>
      <c r="AC31" s="1386"/>
      <c r="AD31" s="274">
        <f ca="1">INDEX('Общие сведения'!$AJ$169:$AJ$202,MATCH($F31,'Общие сведения'!$Z$169:$Z$202,0))</f>
        <v>0</v>
      </c>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7"/>
      <c r="BC31" s="277"/>
      <c r="BD31" s="277"/>
      <c r="BE31" s="277"/>
      <c r="BF31" s="277"/>
      <c r="BG31" s="277"/>
      <c r="BH31" s="277"/>
      <c r="BI31" s="277"/>
      <c r="BJ31" s="277"/>
      <c r="BK31" s="277"/>
      <c r="BL31" s="277"/>
      <c r="BM31" s="277"/>
      <c r="BN31" s="277"/>
      <c r="BO31" s="277"/>
      <c r="BP31" s="277"/>
      <c r="BQ31" s="277"/>
      <c r="BR31" s="277"/>
      <c r="BS31" s="277"/>
      <c r="BT31" s="277"/>
      <c r="BU31" s="277"/>
      <c r="BV31" s="277"/>
      <c r="BW31" s="277"/>
      <c r="BX31" s="277"/>
      <c r="BY31" s="277"/>
      <c r="BZ31" s="277"/>
      <c r="CA31" s="277"/>
      <c r="CB31" s="277"/>
      <c r="CC31" s="277"/>
      <c r="CD31" s="277"/>
      <c r="CE31" s="277"/>
      <c r="CF31" s="277"/>
      <c r="CG31" s="277"/>
      <c r="CH31" s="277"/>
      <c r="CI31" s="277"/>
      <c r="CJ31" s="277"/>
      <c r="CK31" s="277"/>
      <c r="CL31" s="277"/>
      <c r="CM31" s="277"/>
      <c r="CN31" s="277"/>
      <c r="CO31" s="277"/>
      <c r="CP31" s="277"/>
      <c r="CQ31" s="277"/>
      <c r="CR31" s="277"/>
      <c r="CS31" s="277"/>
      <c r="CT31" s="277"/>
      <c r="CU31" s="277"/>
      <c r="CV31" s="277"/>
      <c r="CW31" s="277"/>
      <c r="CX31" s="277"/>
      <c r="CY31" s="277"/>
      <c r="CZ31" s="277"/>
      <c r="DA31" s="277"/>
      <c r="DB31" s="277"/>
      <c r="DC31" s="277"/>
      <c r="DD31" s="277"/>
      <c r="DE31" s="277"/>
      <c r="DF31" s="277"/>
      <c r="DG31" s="277"/>
      <c r="DH31" s="277"/>
      <c r="DI31" s="277"/>
      <c r="DJ31" s="277"/>
      <c r="DK31" s="277"/>
      <c r="DL31" s="277"/>
      <c r="DM31" s="277"/>
      <c r="DN31" s="277"/>
      <c r="DO31" s="277"/>
      <c r="DP31" s="277"/>
      <c r="DQ31" s="277"/>
      <c r="DR31" s="277"/>
      <c r="DS31" s="277"/>
      <c r="DT31" s="277"/>
      <c r="DU31" s="277"/>
      <c r="DV31" s="277"/>
      <c r="DW31" s="277"/>
      <c r="DX31" s="277"/>
      <c r="DY31" s="277"/>
      <c r="DZ31" s="277"/>
      <c r="EA31" s="277"/>
      <c r="EB31" s="277"/>
      <c r="EC31" s="277"/>
      <c r="ED31" s="277"/>
      <c r="EE31" s="277"/>
      <c r="EF31" s="277"/>
      <c r="EG31" s="277"/>
      <c r="EH31" s="277"/>
      <c r="EI31" s="277"/>
      <c r="EJ31" s="277"/>
      <c r="EK31" s="277"/>
      <c r="EL31" s="277"/>
      <c r="EM31" s="277"/>
      <c r="EN31" s="277"/>
      <c r="EO31" s="277"/>
      <c r="EP31" s="277"/>
      <c r="EQ31" s="277"/>
      <c r="ER31" s="277"/>
      <c r="ES31" s="277"/>
      <c r="ET31" s="277"/>
      <c r="EU31" s="277"/>
      <c r="EV31" s="277"/>
      <c r="EW31" s="277"/>
      <c r="EX31" s="277"/>
      <c r="EY31" s="277"/>
      <c r="EZ31" s="277"/>
      <c r="FA31" s="277"/>
      <c r="FB31" s="277"/>
      <c r="FC31" s="277"/>
      <c r="FD31" s="277"/>
      <c r="FE31" s="277"/>
      <c r="FF31" s="277"/>
      <c r="FG31" s="277"/>
      <c r="FH31" s="277"/>
      <c r="FI31" s="277"/>
      <c r="FJ31" s="277"/>
      <c r="FK31" s="277"/>
      <c r="FL31" s="277"/>
      <c r="FM31" s="277"/>
      <c r="FN31" s="277"/>
      <c r="FO31" s="277"/>
      <c r="FP31" s="277"/>
      <c r="FQ31" s="277"/>
      <c r="FR31" s="277"/>
      <c r="FS31" s="277"/>
      <c r="FT31" s="277"/>
      <c r="FU31" s="277"/>
      <c r="FV31" s="277"/>
      <c r="FW31" s="278"/>
      <c r="GA31" s="930"/>
      <c r="GB31" s="930"/>
      <c r="GC31" s="930"/>
      <c r="GD31" s="930"/>
    </row>
    <row r="32" spans="1:186" ht="16.7" hidden="1" customHeight="1">
      <c r="B32" s="749" t="b">
        <f>R28="одноставочный"</f>
        <v>1</v>
      </c>
      <c r="E32" s="623">
        <v>17.100000000000001</v>
      </c>
      <c r="F32" s="714">
        <f t="shared" ca="1" si="20"/>
        <v>0</v>
      </c>
      <c r="Q32" s="394"/>
      <c r="T32" s="634" t="b">
        <f t="shared" si="21"/>
        <v>0</v>
      </c>
      <c r="X32" s="1405"/>
      <c r="Z32" s="1405"/>
      <c r="AB32" s="279" t="s">
        <v>1653</v>
      </c>
      <c r="AC32" s="280"/>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2"/>
      <c r="BK32" s="281"/>
      <c r="BL32" s="281"/>
      <c r="BM32" s="282"/>
      <c r="BN32" s="281"/>
      <c r="BO32" s="281"/>
      <c r="BP32" s="282"/>
      <c r="BQ32" s="281"/>
      <c r="BR32" s="281"/>
      <c r="BS32" s="282"/>
      <c r="BT32" s="281"/>
      <c r="BU32" s="281"/>
      <c r="BV32" s="282"/>
      <c r="BW32" s="281"/>
      <c r="BX32" s="281"/>
      <c r="BY32" s="282"/>
      <c r="BZ32" s="281"/>
      <c r="CA32" s="281"/>
      <c r="CB32" s="282"/>
      <c r="CC32" s="281"/>
      <c r="CD32" s="281"/>
      <c r="CE32" s="282"/>
      <c r="CF32" s="281"/>
      <c r="CG32" s="281"/>
      <c r="CH32" s="282"/>
      <c r="CI32" s="281"/>
      <c r="CJ32" s="281"/>
      <c r="CK32" s="282"/>
      <c r="CL32" s="281"/>
      <c r="CM32" s="281"/>
      <c r="CN32" s="282"/>
      <c r="CO32" s="281"/>
      <c r="CP32" s="281"/>
      <c r="CQ32" s="282"/>
      <c r="CR32" s="281"/>
      <c r="CS32" s="281"/>
      <c r="CT32" s="282"/>
      <c r="CU32" s="281"/>
      <c r="CV32" s="281"/>
      <c r="CW32" s="282"/>
      <c r="CX32" s="281"/>
      <c r="CY32" s="281"/>
      <c r="CZ32" s="282"/>
      <c r="DA32" s="281"/>
      <c r="DB32" s="281"/>
      <c r="DC32" s="282"/>
      <c r="DD32" s="281"/>
      <c r="DE32" s="281"/>
      <c r="DF32" s="282"/>
      <c r="DG32" s="281"/>
      <c r="DH32" s="281"/>
      <c r="DI32" s="282"/>
      <c r="DJ32" s="281"/>
      <c r="DK32" s="281"/>
      <c r="DL32" s="282"/>
      <c r="DM32" s="281"/>
      <c r="DN32" s="281"/>
      <c r="DO32" s="282"/>
      <c r="DP32" s="281"/>
      <c r="DQ32" s="281"/>
      <c r="DR32" s="282"/>
      <c r="DS32" s="281"/>
      <c r="DT32" s="281"/>
      <c r="DU32" s="282"/>
      <c r="DV32" s="281"/>
      <c r="DW32" s="281"/>
      <c r="DX32" s="282"/>
      <c r="DY32" s="281"/>
      <c r="DZ32" s="281"/>
      <c r="EA32" s="282"/>
      <c r="EB32" s="281"/>
      <c r="EC32" s="281"/>
      <c r="ED32" s="282"/>
      <c r="EE32" s="281"/>
      <c r="EF32" s="281"/>
      <c r="EG32" s="282"/>
      <c r="EH32" s="281"/>
      <c r="EI32" s="281"/>
      <c r="EJ32" s="282"/>
      <c r="EK32" s="281"/>
      <c r="EL32" s="281"/>
      <c r="EM32" s="282"/>
      <c r="EN32" s="281"/>
      <c r="EO32" s="281"/>
      <c r="EP32" s="282"/>
      <c r="EQ32" s="281"/>
      <c r="ER32" s="281"/>
      <c r="ES32" s="282"/>
      <c r="ET32" s="281"/>
      <c r="EU32" s="281"/>
      <c r="EV32" s="282"/>
      <c r="EW32" s="281"/>
      <c r="EX32" s="281"/>
      <c r="EY32" s="282"/>
      <c r="EZ32" s="281"/>
      <c r="FA32" s="281"/>
      <c r="FB32" s="282"/>
      <c r="FC32" s="281"/>
      <c r="FD32" s="281"/>
      <c r="FE32" s="282"/>
      <c r="FF32" s="281"/>
      <c r="FG32" s="281"/>
      <c r="FH32" s="282"/>
      <c r="FI32" s="281"/>
      <c r="FJ32" s="281"/>
      <c r="FK32" s="282"/>
      <c r="FL32" s="281"/>
      <c r="FM32" s="281"/>
      <c r="FN32" s="282"/>
      <c r="FO32" s="281"/>
      <c r="FP32" s="281"/>
      <c r="FQ32" s="282"/>
      <c r="FR32" s="281"/>
      <c r="FS32" s="281"/>
      <c r="FT32" s="282"/>
      <c r="FU32" s="281"/>
      <c r="FV32" s="281"/>
      <c r="FW32" s="282"/>
      <c r="GA32" s="930"/>
      <c r="GB32" s="930"/>
      <c r="GC32" s="930"/>
      <c r="GD32" s="930"/>
    </row>
    <row r="33" spans="1:186" s="283" customFormat="1" ht="16.7" hidden="1" customHeight="1">
      <c r="B33" s="749" t="b">
        <f t="shared" ref="B33:B44" si="22">B32</f>
        <v>1</v>
      </c>
      <c r="E33" s="623">
        <v>17.100000000000001</v>
      </c>
      <c r="F33" s="714">
        <f t="shared" ca="1" si="20"/>
        <v>0</v>
      </c>
      <c r="G33" s="566" t="s">
        <v>1444</v>
      </c>
      <c r="H33" s="150" t="s">
        <v>391</v>
      </c>
      <c r="I33" s="150" t="s">
        <v>1654</v>
      </c>
      <c r="T33" s="634" t="b">
        <f t="shared" si="21"/>
        <v>0</v>
      </c>
      <c r="X33" s="1544"/>
      <c r="Z33" s="1544"/>
      <c r="AB33" s="284" t="s">
        <v>1655</v>
      </c>
      <c r="AC33" s="285" t="s">
        <v>1446</v>
      </c>
      <c r="AD33" s="86">
        <f ca="1">IF(method_reg="Метод экономически обоснованных расходов",SUMIFS('Калькуляция (6.6)'!AJ$25:AJ$133,'Калькуляция (6.6)'!$F$25:$F$133,$F33,'Калькуляция (6.6)'!$G$25:$G$133,$G33),IF(method_reg="Метод сравнения аналогов",SUMIFS(INDEX('Калькуляция (МСА)'!$AE$25:$BC$82,,MATCH(AD$8,'Калькуляция (МСА)'!$AE$8:$BC$8,0)),'Калькуляция (МСА)'!$F$25:$F$82,$F33,'Калькуляция (МСА)'!$G$25:$G$82,$G33),SUMIFS(INDEX('Калькуляция (5.9)'!$AJ$25:$BC$126,,MATCH(AD$8,'Калькуляция (5.9)'!$AJ$8:$BC$8,0)),'Калькуляция (5.9)'!$F$25:$F$126,$F33,'Калькуляция (5.9)'!$G$25:$G$126,$G33)))</f>
        <v>0</v>
      </c>
      <c r="AE33" s="86">
        <f ca="1">IF(method_reg="Метод экономически обоснованных расходов",SUMIFS('Калькуляция (6.6)'!AK$25:AK$133,'Калькуляция (6.6)'!$F$25:$F$133,$F33,'Калькуляция (6.6)'!$G$25:$G$133,$G33),IF(method_reg="Метод сравнения аналогов",SUMIFS(INDEX('Калькуляция (МСА)'!$AE$25:$BC$82,,MATCH(AE$8,'Калькуляция (МСА)'!$AE$8:$BC$8,0)),'Калькуляция (МСА)'!$F$25:$F$82,$F33,'Калькуляция (МСА)'!$G$25:$G$82,$G33),SUMIFS(INDEX('Калькуляция (5.9)'!$AJ$25:$BC$126,,MATCH(AE$8,'Калькуляция (5.9)'!$AJ$8:$BC$8,0)),'Калькуляция (5.9)'!$F$25:$F$126,$F33,'Калькуляция (5.9)'!$G$25:$G$126,$G33)))</f>
        <v>0</v>
      </c>
      <c r="AF33" s="286">
        <f ca="1">IF(AD33=0,0,(AE33-AD33)/AD33*100)</f>
        <v>0</v>
      </c>
      <c r="AG33" s="1259">
        <f ca="1">IF(method_reg="Метод сравнения аналогов",SUMIFS(INDEX('Калькуляция (МСА)'!$AE$25:$BC$82,,MATCH(AG$8,'Калькуляция (МСА)'!$AE$8:$BC$8,0)),'Калькуляция (МСА)'!$F$25:$F$82,$F33,'Калькуляция (МСА)'!$G$25:$G$82,$G33),SUMIFS(INDEX('Калькуляция (5.9)'!$AJ$25:$BC$126,,MATCH(AG$8,'Калькуляция (5.9)'!$AJ$8:$BC$8,0)),'Калькуляция (5.9)'!$F$25:$F$126,$F33,'Калькуляция (5.9)'!$G$25:$G$126,$G33))</f>
        <v>0</v>
      </c>
      <c r="AH33" s="1259">
        <f ca="1">IF(method_reg="Метод сравнения аналогов",SUMIFS(INDEX('Калькуляция (МСА)'!$AE$25:$BC$82,,MATCH(AH$8,'Калькуляция (МСА)'!$AE$8:$BC$8,0)),'Калькуляция (МСА)'!$F$25:$F$82,$F33,'Калькуляция (МСА)'!$G$25:$G$82,$G33),SUMIFS(INDEX('Калькуляция (5.9)'!$AJ$25:$BC$126,,MATCH(AH$8,'Калькуляция (5.9)'!$AJ$8:$BC$8,0)),'Калькуляция (5.9)'!$F$25:$F$126,$F33,'Калькуляция (5.9)'!$G$25:$G$126,$G33))</f>
        <v>0</v>
      </c>
      <c r="AI33" s="286">
        <f ca="1">IF(AG33=0,0,(AH33-AG33)/AG33*100)</f>
        <v>0</v>
      </c>
      <c r="AJ33" s="1259">
        <f ca="1">IF(method_reg="Метод сравнения аналогов",SUMIFS(INDEX('Калькуляция (МСА)'!$AE$25:$BC$82,,MATCH(AJ$8,'Калькуляция (МСА)'!$AE$8:$BC$8,0)),'Калькуляция (МСА)'!$F$25:$F$82,$F33,'Калькуляция (МСА)'!$G$25:$G$82,$G33),SUMIFS(INDEX('Калькуляция (5.9)'!$AJ$25:$BC$126,,MATCH(AJ$8,'Калькуляция (5.9)'!$AJ$8:$BC$8,0)),'Калькуляция (5.9)'!$F$25:$F$126,$F33,'Калькуляция (5.9)'!$G$25:$G$126,$G33))</f>
        <v>0</v>
      </c>
      <c r="AK33" s="1259">
        <f ca="1">IF(method_reg="Метод сравнения аналогов",SUMIFS(INDEX('Калькуляция (МСА)'!$AE$25:$BC$82,,MATCH(AK$8,'Калькуляция (МСА)'!$AE$8:$BC$8,0)),'Калькуляция (МСА)'!$F$25:$F$82,$F33,'Калькуляция (МСА)'!$G$25:$G$82,$G33),SUMIFS(INDEX('Калькуляция (5.9)'!$AJ$25:$BC$126,,MATCH(AK$8,'Калькуляция (5.9)'!$AJ$8:$BC$8,0)),'Калькуляция (5.9)'!$F$25:$F$126,$F33,'Калькуляция (5.9)'!$G$25:$G$126,$G33))</f>
        <v>0</v>
      </c>
      <c r="AL33" s="286">
        <f ca="1">IF(AJ33=0,0,(AK33-AJ33)/AJ33*100)</f>
        <v>0</v>
      </c>
      <c r="AM33" s="86">
        <f ca="1">IF(method_reg="Метод сравнения аналогов",SUMIFS(INDEX('Калькуляция (МСА)'!$AE$25:$BC$82,,MATCH(AM$8,'Калькуляция (МСА)'!$AE$8:$BC$8,0)),'Калькуляция (МСА)'!$F$25:$F$82,$F33,'Калькуляция (МСА)'!$G$25:$G$82,$G33),SUMIFS(INDEX('Калькуляция (5.9)'!$AJ$25:$BC$126,,MATCH(AM$8,'Калькуляция (5.9)'!$AJ$8:$BC$8,0)),'Калькуляция (5.9)'!$F$25:$F$126,$F33,'Калькуляция (5.9)'!$G$25:$G$126,$G33))</f>
        <v>0</v>
      </c>
      <c r="AN33" s="86">
        <f ca="1">IF(method_reg="Метод сравнения аналогов",SUMIFS(INDEX('Калькуляция (МСА)'!$AE$25:$BC$82,,MATCH(AN$8,'Калькуляция (МСА)'!$AE$8:$BC$8,0)),'Калькуляция (МСА)'!$F$25:$F$82,$F33,'Калькуляция (МСА)'!$G$25:$G$82,$G33),SUMIFS(INDEX('Калькуляция (5.9)'!$AJ$25:$BC$126,,MATCH(AN$8,'Калькуляция (5.9)'!$AJ$8:$BC$8,0)),'Калькуляция (5.9)'!$F$25:$F$126,$F33,'Калькуляция (5.9)'!$G$25:$G$126,$G33))</f>
        <v>0</v>
      </c>
      <c r="AO33" s="286">
        <f ca="1">IF(AM33=0,0,(AN33-AM33)/AM33*100)</f>
        <v>0</v>
      </c>
      <c r="AP33" s="86">
        <f ca="1">IF(method_reg="Метод сравнения аналогов",SUMIFS(INDEX('Калькуляция (МСА)'!$AE$25:$BC$82,,MATCH(AP$8,'Калькуляция (МСА)'!$AE$8:$BC$8,0)),'Калькуляция (МСА)'!$F$25:$F$82,$F33,'Калькуляция (МСА)'!$G$25:$G$82,$G33),SUMIFS(INDEX('Калькуляция (5.9)'!$AJ$25:$BC$126,,MATCH(AP$8,'Калькуляция (5.9)'!$AJ$8:$BC$8,0)),'Калькуляция (5.9)'!$F$25:$F$126,$F33,'Калькуляция (5.9)'!$G$25:$G$126,$G33))</f>
        <v>0</v>
      </c>
      <c r="AQ33" s="86">
        <f ca="1">IF(method_reg="Метод сравнения аналогов",SUMIFS(INDEX('Калькуляция (МСА)'!$AE$25:$BC$82,,MATCH(AQ$8,'Калькуляция (МСА)'!$AE$8:$BC$8,0)),'Калькуляция (МСА)'!$F$25:$F$82,$F33,'Калькуляция (МСА)'!$G$25:$G$82,$G33),SUMIFS(INDEX('Калькуляция (5.9)'!$AJ$25:$BC$126,,MATCH(AQ$8,'Калькуляция (5.9)'!$AJ$8:$BC$8,0)),'Калькуляция (5.9)'!$F$25:$F$126,$F33,'Калькуляция (5.9)'!$G$25:$G$126,$G33))</f>
        <v>0</v>
      </c>
      <c r="AR33" s="286">
        <f ca="1">IF(AP33=0,0,(AQ33-AP33)/AP33*100)</f>
        <v>0</v>
      </c>
      <c r="AS33" s="86">
        <f ca="1">IF(method_reg="Метод сравнения аналогов",SUMIFS(INDEX('Калькуляция (МСА)'!$AE$25:$BC$82,,MATCH(AS$8,'Калькуляция (МСА)'!$AE$8:$BC$8,0)),'Калькуляция (МСА)'!$F$25:$F$82,$F33,'Калькуляция (МСА)'!$G$25:$G$82,$G33),SUMIFS(INDEX('Калькуляция (5.9)'!$AJ$25:$BC$126,,MATCH(AS$8,'Калькуляция (5.9)'!$AJ$8:$BC$8,0)),'Калькуляция (5.9)'!$F$25:$F$126,$F33,'Калькуляция (5.9)'!$G$25:$G$126,$G33))</f>
        <v>0</v>
      </c>
      <c r="AT33" s="86">
        <f ca="1">IF(method_reg="Метод сравнения аналогов",SUMIFS(INDEX('Калькуляция (МСА)'!$AE$25:$BC$82,,MATCH(AT$8,'Калькуляция (МСА)'!$AE$8:$BC$8,0)),'Калькуляция (МСА)'!$F$25:$F$82,$F33,'Калькуляция (МСА)'!$G$25:$G$82,$G33),SUMIFS(INDEX('Калькуляция (5.9)'!$AJ$25:$BC$126,,MATCH(AT$8,'Калькуляция (5.9)'!$AJ$8:$BC$8,0)),'Калькуляция (5.9)'!$F$25:$F$126,$F33,'Калькуляция (5.9)'!$G$25:$G$126,$G33))</f>
        <v>0</v>
      </c>
      <c r="AU33" s="286">
        <f ca="1">IF(AS33=0,0,(AT33-AS33)/AS33*100)</f>
        <v>0</v>
      </c>
      <c r="AV33" s="86">
        <f ca="1">IF(method_reg="Метод сравнения аналогов",SUMIFS(INDEX('Калькуляция (МСА)'!$AE$25:$BC$82,,MATCH(AV$8,'Калькуляция (МСА)'!$AE$8:$BC$8,0)),'Калькуляция (МСА)'!$F$25:$F$82,$F33,'Калькуляция (МСА)'!$G$25:$G$82,$G33),SUMIFS(INDEX('Калькуляция (5.9)'!$AJ$25:$BC$126,,MATCH(AV$8,'Калькуляция (5.9)'!$AJ$8:$BC$8,0)),'Калькуляция (5.9)'!$F$25:$F$126,$F33,'Калькуляция (5.9)'!$G$25:$G$126,$G33))</f>
        <v>0</v>
      </c>
      <c r="AW33" s="86">
        <f ca="1">IF(method_reg="Метод сравнения аналогов",SUMIFS(INDEX('Калькуляция (МСА)'!$AE$25:$BC$82,,MATCH(AW$8,'Калькуляция (МСА)'!$AE$8:$BC$8,0)),'Калькуляция (МСА)'!$F$25:$F$82,$F33,'Калькуляция (МСА)'!$G$25:$G$82,$G33),SUMIFS(INDEX('Калькуляция (5.9)'!$AJ$25:$BC$126,,MATCH(AW$8,'Калькуляция (5.9)'!$AJ$8:$BC$8,0)),'Калькуляция (5.9)'!$F$25:$F$126,$F33,'Калькуляция (5.9)'!$G$25:$G$126,$G33))</f>
        <v>0</v>
      </c>
      <c r="AX33" s="286">
        <f ca="1">IF(AV33=0,0,(AW33-AV33)/AV33*100)</f>
        <v>0</v>
      </c>
      <c r="AY33" s="86">
        <f ca="1">IF(method_reg="Метод сравнения аналогов",SUMIFS(INDEX('Калькуляция (МСА)'!$AE$25:$BC$82,,MATCH(AY$8,'Калькуляция (МСА)'!$AE$8:$BC$8,0)),'Калькуляция (МСА)'!$F$25:$F$82,$F33,'Калькуляция (МСА)'!$G$25:$G$82,$G33),SUMIFS(INDEX('Калькуляция (5.9)'!$AJ$25:$BC$126,,MATCH(AY$8,'Калькуляция (5.9)'!$AJ$8:$BC$8,0)),'Калькуляция (5.9)'!$F$25:$F$126,$F33,'Калькуляция (5.9)'!$G$25:$G$126,$G33))</f>
        <v>0</v>
      </c>
      <c r="AZ33" s="86">
        <f ca="1">IF(method_reg="Метод сравнения аналогов",SUMIFS(INDEX('Калькуляция (МСА)'!$AE$25:$BC$82,,MATCH(AZ$8,'Калькуляция (МСА)'!$AE$8:$BC$8,0)),'Калькуляция (МСА)'!$F$25:$F$82,$F33,'Калькуляция (МСА)'!$G$25:$G$82,$G33),SUMIFS(INDEX('Калькуляция (5.9)'!$AJ$25:$BC$126,,MATCH(AZ$8,'Калькуляция (5.9)'!$AJ$8:$BC$8,0)),'Калькуляция (5.9)'!$F$25:$F$126,$F33,'Калькуляция (5.9)'!$G$25:$G$126,$G33))</f>
        <v>0</v>
      </c>
      <c r="BA33" s="286">
        <f ca="1">IF(AY33=0,0,(AZ33-AY33)/AY33*100)</f>
        <v>0</v>
      </c>
      <c r="BB33" s="86">
        <f ca="1">IF(method_reg="Метод сравнения аналогов",SUMIFS(INDEX('Калькуляция (МСА)'!$AE$25:$BC$82,,MATCH(BB$8,'Калькуляция (МСА)'!$AE$8:$BC$8,0)),'Калькуляция (МСА)'!$F$25:$F$82,$F33,'Калькуляция (МСА)'!$G$25:$G$82,$G33),SUMIFS(INDEX('Калькуляция (5.9)'!$AJ$25:$BC$126,,MATCH(BB$8,'Калькуляция (5.9)'!$AJ$8:$BC$8,0)),'Калькуляция (5.9)'!$F$25:$F$126,$F33,'Калькуляция (5.9)'!$G$25:$G$126,$G33))</f>
        <v>0</v>
      </c>
      <c r="BC33" s="86">
        <f ca="1">IF(method_reg="Метод сравнения аналогов",SUMIFS(INDEX('Калькуляция (МСА)'!$AE$25:$BC$82,,MATCH(BC$8,'Калькуляция (МСА)'!$AE$8:$BC$8,0)),'Калькуляция (МСА)'!$F$25:$F$82,$F33,'Калькуляция (МСА)'!$G$25:$G$82,$G33),SUMIFS(INDEX('Калькуляция (5.9)'!$AJ$25:$BC$126,,MATCH(BC$8,'Калькуляция (5.9)'!$AJ$8:$BC$8,0)),'Калькуляция (5.9)'!$F$25:$F$126,$F33,'Калькуляция (5.9)'!$G$25:$G$126,$G33))</f>
        <v>0</v>
      </c>
      <c r="BD33" s="286">
        <f ca="1">IF(BB33=0,0,(BC33-BB33)/BB33*100)</f>
        <v>0</v>
      </c>
      <c r="BE33" s="86">
        <f ca="1">IF(method_reg="Метод сравнения аналогов",SUMIFS(INDEX('Калькуляция (МСА)'!$AE$25:$BC$82,,MATCH(BE$8,'Калькуляция (МСА)'!$AE$8:$BC$8,0)),'Калькуляция (МСА)'!$F$25:$F$82,$F33,'Калькуляция (МСА)'!$G$25:$G$82,$G33),SUMIFS(INDEX('Калькуляция (5.9)'!$AJ$25:$BC$126,,MATCH(BE$8,'Калькуляция (5.9)'!$AJ$8:$BC$8,0)),'Калькуляция (5.9)'!$F$25:$F$126,$F33,'Калькуляция (5.9)'!$G$25:$G$126,$G33))</f>
        <v>0</v>
      </c>
      <c r="BF33" s="86">
        <f ca="1">IF(method_reg="Метод сравнения аналогов",SUMIFS(INDEX('Калькуляция (МСА)'!$AE$25:$BC$82,,MATCH(BF$8,'Калькуляция (МСА)'!$AE$8:$BC$8,0)),'Калькуляция (МСА)'!$F$25:$F$82,$F33,'Калькуляция (МСА)'!$G$25:$G$82,$G33),SUMIFS(INDEX('Калькуляция (5.9)'!$AJ$25:$BC$126,,MATCH(BF$8,'Калькуляция (5.9)'!$AJ$8:$BC$8,0)),'Калькуляция (5.9)'!$F$25:$F$126,$F33,'Калькуляция (5.9)'!$G$25:$G$126,$G33))</f>
        <v>0</v>
      </c>
      <c r="BG33" s="286">
        <f ca="1">IF(BE33=0,0,(BF33-BE33)/BE33*100)</f>
        <v>0</v>
      </c>
      <c r="BH33" s="86"/>
      <c r="BI33" s="86"/>
      <c r="BJ33" s="286">
        <f>IF(BH33=0,0,(BI33-BH33)/BH33*100)</f>
        <v>0</v>
      </c>
      <c r="BK33" s="86"/>
      <c r="BL33" s="86"/>
      <c r="BM33" s="286">
        <f>IF(BK33=0,0,(BL33-BK33)/BK33*100)</f>
        <v>0</v>
      </c>
      <c r="BN33" s="86"/>
      <c r="BO33" s="86"/>
      <c r="BP33" s="286">
        <f>IF(BN33=0,0,(BO33-BN33)/BN33*100)</f>
        <v>0</v>
      </c>
      <c r="BQ33" s="86"/>
      <c r="BR33" s="86"/>
      <c r="BS33" s="286">
        <f>IF(BQ33=0,0,(BR33-BQ33)/BQ33*100)</f>
        <v>0</v>
      </c>
      <c r="BT33" s="86"/>
      <c r="BU33" s="86"/>
      <c r="BV33" s="286">
        <f>IF(BT33=0,0,(BU33-BT33)/BT33*100)</f>
        <v>0</v>
      </c>
      <c r="BW33" s="86"/>
      <c r="BX33" s="86"/>
      <c r="BY33" s="286">
        <f>IF(BW33=0,0,(BX33-BW33)/BW33*100)</f>
        <v>0</v>
      </c>
      <c r="BZ33" s="86"/>
      <c r="CA33" s="86"/>
      <c r="CB33" s="286">
        <f>IF(BZ33=0,0,(CA33-BZ33)/BZ33*100)</f>
        <v>0</v>
      </c>
      <c r="CC33" s="86"/>
      <c r="CD33" s="86"/>
      <c r="CE33" s="286">
        <f>IF(CC33=0,0,(CD33-CC33)/CC33*100)</f>
        <v>0</v>
      </c>
      <c r="CF33" s="86"/>
      <c r="CG33" s="86"/>
      <c r="CH33" s="286">
        <f>IF(CF33=0,0,(CG33-CF33)/CF33*100)</f>
        <v>0</v>
      </c>
      <c r="CI33" s="86"/>
      <c r="CJ33" s="86"/>
      <c r="CK33" s="286">
        <f>IF(CI33=0,0,(CJ33-CI33)/CI33*100)</f>
        <v>0</v>
      </c>
      <c r="CL33" s="86"/>
      <c r="CM33" s="86"/>
      <c r="CN33" s="286">
        <f>IF(CL33=0,0,(CM33-CL33)/CL33*100)</f>
        <v>0</v>
      </c>
      <c r="CO33" s="86"/>
      <c r="CP33" s="86"/>
      <c r="CQ33" s="286">
        <f>IF(CO33=0,0,(CP33-CO33)/CO33*100)</f>
        <v>0</v>
      </c>
      <c r="CR33" s="86"/>
      <c r="CS33" s="86"/>
      <c r="CT33" s="286">
        <f>IF(CR33=0,0,(CS33-CR33)/CR33*100)</f>
        <v>0</v>
      </c>
      <c r="CU33" s="86"/>
      <c r="CV33" s="86"/>
      <c r="CW33" s="286">
        <f>IF(CU33=0,0,(CV33-CU33)/CU33*100)</f>
        <v>0</v>
      </c>
      <c r="CX33" s="86"/>
      <c r="CY33" s="86"/>
      <c r="CZ33" s="286">
        <f>IF(CX33=0,0,(CY33-CX33)/CX33*100)</f>
        <v>0</v>
      </c>
      <c r="DA33" s="86"/>
      <c r="DB33" s="86"/>
      <c r="DC33" s="286">
        <f>IF(DA33=0,0,(DB33-DA33)/DA33*100)</f>
        <v>0</v>
      </c>
      <c r="DD33" s="86"/>
      <c r="DE33" s="86"/>
      <c r="DF33" s="286">
        <f>IF(DD33=0,0,(DE33-DD33)/DD33*100)</f>
        <v>0</v>
      </c>
      <c r="DG33" s="86"/>
      <c r="DH33" s="86"/>
      <c r="DI33" s="286">
        <f>IF(DG33=0,0,(DH33-DG33)/DG33*100)</f>
        <v>0</v>
      </c>
      <c r="DJ33" s="86"/>
      <c r="DK33" s="86"/>
      <c r="DL33" s="286">
        <f>IF(DJ33=0,0,(DK33-DJ33)/DJ33*100)</f>
        <v>0</v>
      </c>
      <c r="DM33" s="86"/>
      <c r="DN33" s="86"/>
      <c r="DO33" s="286">
        <f>IF(DM33=0,0,(DN33-DM33)/DM33*100)</f>
        <v>0</v>
      </c>
      <c r="DP33" s="86"/>
      <c r="DQ33" s="86"/>
      <c r="DR33" s="286">
        <f>IF(DP33=0,0,(DQ33-DP33)/DP33*100)</f>
        <v>0</v>
      </c>
      <c r="DS33" s="86"/>
      <c r="DT33" s="86"/>
      <c r="DU33" s="286">
        <f>IF(DS33=0,0,(DT33-DS33)/DS33*100)</f>
        <v>0</v>
      </c>
      <c r="DV33" s="86"/>
      <c r="DW33" s="86"/>
      <c r="DX33" s="286">
        <f>IF(DV33=0,0,(DW33-DV33)/DV33*100)</f>
        <v>0</v>
      </c>
      <c r="DY33" s="86"/>
      <c r="DZ33" s="86"/>
      <c r="EA33" s="286">
        <f>IF(DY33=0,0,(DZ33-DY33)/DY33*100)</f>
        <v>0</v>
      </c>
      <c r="EB33" s="86"/>
      <c r="EC33" s="86"/>
      <c r="ED33" s="286">
        <f>IF(EB33=0,0,(EC33-EB33)/EB33*100)</f>
        <v>0</v>
      </c>
      <c r="EE33" s="86"/>
      <c r="EF33" s="86"/>
      <c r="EG33" s="286">
        <f>IF(EE33=0,0,(EF33-EE33)/EE33*100)</f>
        <v>0</v>
      </c>
      <c r="EH33" s="86"/>
      <c r="EI33" s="86"/>
      <c r="EJ33" s="286">
        <f>IF(EH33=0,0,(EI33-EH33)/EH33*100)</f>
        <v>0</v>
      </c>
      <c r="EK33" s="86"/>
      <c r="EL33" s="86"/>
      <c r="EM33" s="286">
        <f>IF(EK33=0,0,(EL33-EK33)/EK33*100)</f>
        <v>0</v>
      </c>
      <c r="EN33" s="86"/>
      <c r="EO33" s="86"/>
      <c r="EP33" s="286">
        <f>IF(EN33=0,0,(EO33-EN33)/EN33*100)</f>
        <v>0</v>
      </c>
      <c r="EQ33" s="86"/>
      <c r="ER33" s="86"/>
      <c r="ES33" s="286">
        <f>IF(EQ33=0,0,(ER33-EQ33)/EQ33*100)</f>
        <v>0</v>
      </c>
      <c r="ET33" s="86"/>
      <c r="EU33" s="86"/>
      <c r="EV33" s="286">
        <f>IF(ET33=0,0,(EU33-ET33)/ET33*100)</f>
        <v>0</v>
      </c>
      <c r="EW33" s="86"/>
      <c r="EX33" s="86"/>
      <c r="EY33" s="286">
        <f>IF(EW33=0,0,(EX33-EW33)/EW33*100)</f>
        <v>0</v>
      </c>
      <c r="EZ33" s="86"/>
      <c r="FA33" s="86"/>
      <c r="FB33" s="286">
        <f>IF(EZ33=0,0,(FA33-EZ33)/EZ33*100)</f>
        <v>0</v>
      </c>
      <c r="FC33" s="86"/>
      <c r="FD33" s="86"/>
      <c r="FE33" s="286">
        <f>IF(FC33=0,0,(FD33-FC33)/FC33*100)</f>
        <v>0</v>
      </c>
      <c r="FF33" s="86"/>
      <c r="FG33" s="86"/>
      <c r="FH33" s="286">
        <f>IF(FF33=0,0,(FG33-FF33)/FF33*100)</f>
        <v>0</v>
      </c>
      <c r="FI33" s="86"/>
      <c r="FJ33" s="86"/>
      <c r="FK33" s="286">
        <f>IF(FI33=0,0,(FJ33-FI33)/FI33*100)</f>
        <v>0</v>
      </c>
      <c r="FL33" s="86"/>
      <c r="FM33" s="86"/>
      <c r="FN33" s="286">
        <f>IF(FL33=0,0,(FM33-FL33)/FL33*100)</f>
        <v>0</v>
      </c>
      <c r="FO33" s="86"/>
      <c r="FP33" s="86"/>
      <c r="FQ33" s="286">
        <f>IF(FO33=0,0,(FP33-FO33)/FO33*100)</f>
        <v>0</v>
      </c>
      <c r="FR33" s="86"/>
      <c r="FS33" s="86"/>
      <c r="FT33" s="286">
        <f>IF(FR33=0,0,(FS33-FR33)/FR33*100)</f>
        <v>0</v>
      </c>
      <c r="FU33" s="86"/>
      <c r="FV33" s="86"/>
      <c r="FW33" s="286">
        <f>IF(FU33=0,0,(FV33-FU33)/FU33*100)</f>
        <v>0</v>
      </c>
      <c r="FZ33" s="912" t="s">
        <v>1656</v>
      </c>
      <c r="GA33" s="930"/>
      <c r="GB33" s="930"/>
      <c r="GC33" s="930"/>
      <c r="GD33" s="930"/>
    </row>
    <row r="34" spans="1:186" s="283" customFormat="1" ht="16.7" hidden="1" customHeight="1">
      <c r="B34" s="749" t="b">
        <f t="shared" si="22"/>
        <v>1</v>
      </c>
      <c r="E34" s="623">
        <v>17.100000000000001</v>
      </c>
      <c r="F34" s="714">
        <f t="shared" ca="1" si="20"/>
        <v>0</v>
      </c>
      <c r="G34" s="566" t="s">
        <v>1451</v>
      </c>
      <c r="H34" s="150" t="s">
        <v>391</v>
      </c>
      <c r="I34" s="150" t="s">
        <v>1657</v>
      </c>
      <c r="T34" s="634" t="b">
        <f t="shared" si="21"/>
        <v>0</v>
      </c>
      <c r="X34" s="1544"/>
      <c r="Z34" s="1544"/>
      <c r="AB34" s="284" t="s">
        <v>1658</v>
      </c>
      <c r="AC34" s="285" t="s">
        <v>1446</v>
      </c>
      <c r="AD34" s="86">
        <f ca="1">IF(method_reg="Метод экономически обоснованных расходов",SUMIFS('Калькуляция (6.6)'!AJ$25:AJ$133,'Калькуляция (6.6)'!$F$25:$F$133,$F34,'Калькуляция (6.6)'!$G$25:$G$133,$G34),IF(method_reg="Метод сравнения аналогов",SUMIFS(INDEX('Калькуляция (МСА)'!$AE$25:$BC$82,,MATCH(AD$8,'Калькуляция (МСА)'!$AE$8:$BC$8,0)),'Калькуляция (МСА)'!$F$25:$F$82,$F34,'Калькуляция (МСА)'!$G$25:$G$82,$G34),SUMIFS(INDEX('Калькуляция (5.9)'!$AJ$25:$BC$126,,MATCH(AD$8,'Калькуляция (5.9)'!$AJ$8:$BC$8,0)),'Калькуляция (5.9)'!$F$25:$F$126,$F34,'Калькуляция (5.9)'!$G$25:$G$126,$G34)))</f>
        <v>0</v>
      </c>
      <c r="AE34" s="86">
        <f ca="1">IF(method_reg="Метод экономически обоснованных расходов",SUMIFS('Калькуляция (6.6)'!AK$25:AK$133,'Калькуляция (6.6)'!$F$25:$F$133,$F34,'Калькуляция (6.6)'!$G$25:$G$133,$G34),IF(method_reg="Метод сравнения аналогов",SUMIFS(INDEX('Калькуляция (МСА)'!$AE$25:$BC$82,,MATCH(AE$8,'Калькуляция (МСА)'!$AE$8:$BC$8,0)),'Калькуляция (МСА)'!$F$25:$F$82,$F34,'Калькуляция (МСА)'!$G$25:$G$82,$G34),SUMIFS(INDEX('Калькуляция (5.9)'!$AJ$25:$BC$126,,MATCH(AE$8,'Калькуляция (5.9)'!$AJ$8:$BC$8,0)),'Калькуляция (5.9)'!$F$25:$F$126,$F34,'Калькуляция (5.9)'!$G$25:$G$126,$G34)))</f>
        <v>0</v>
      </c>
      <c r="AF34" s="286">
        <f ca="1">IF(AD34=0,0,(AE34-AD34)/AD34*100)</f>
        <v>0</v>
      </c>
      <c r="AG34" s="1259">
        <f ca="1">IF(method_reg="Метод сравнения аналогов",SUMIFS(INDEX('Калькуляция (МСА)'!$AE$25:$BC$82,,MATCH(AG$8,'Калькуляция (МСА)'!$AE$8:$BC$8,0)),'Калькуляция (МСА)'!$F$25:$F$82,$F34,'Калькуляция (МСА)'!$G$25:$G$82,$G34),SUMIFS(INDEX('Калькуляция (5.9)'!$AJ$25:$BC$126,,MATCH(AG$8,'Калькуляция (5.9)'!$AJ$8:$BC$8,0)),'Калькуляция (5.9)'!$F$25:$F$126,$F34,'Калькуляция (5.9)'!$G$25:$G$126,$G34))</f>
        <v>0</v>
      </c>
      <c r="AH34" s="1259">
        <f ca="1">IF(method_reg="Метод сравнения аналогов",SUMIFS(INDEX('Калькуляция (МСА)'!$AE$25:$BC$82,,MATCH(AH$8,'Калькуляция (МСА)'!$AE$8:$BC$8,0)),'Калькуляция (МСА)'!$F$25:$F$82,$F34,'Калькуляция (МСА)'!$G$25:$G$82,$G34),SUMIFS(INDEX('Калькуляция (5.9)'!$AJ$25:$BC$126,,MATCH(AH$8,'Калькуляция (5.9)'!$AJ$8:$BC$8,0)),'Калькуляция (5.9)'!$F$25:$F$126,$F34,'Калькуляция (5.9)'!$G$25:$G$126,$G34))</f>
        <v>0</v>
      </c>
      <c r="AI34" s="286">
        <f ca="1">IF(AG34=0,0,(AH34-AG34)/AG34*100)</f>
        <v>0</v>
      </c>
      <c r="AJ34" s="1259">
        <f ca="1">IF(method_reg="Метод сравнения аналогов",SUMIFS(INDEX('Калькуляция (МСА)'!$AE$25:$BC$82,,MATCH(AJ$8,'Калькуляция (МСА)'!$AE$8:$BC$8,0)),'Калькуляция (МСА)'!$F$25:$F$82,$F34,'Калькуляция (МСА)'!$G$25:$G$82,$G34),SUMIFS(INDEX('Калькуляция (5.9)'!$AJ$25:$BC$126,,MATCH(AJ$8,'Калькуляция (5.9)'!$AJ$8:$BC$8,0)),'Калькуляция (5.9)'!$F$25:$F$126,$F34,'Калькуляция (5.9)'!$G$25:$G$126,$G34))</f>
        <v>0</v>
      </c>
      <c r="AK34" s="1259">
        <f ca="1">IF(method_reg="Метод сравнения аналогов",SUMIFS(INDEX('Калькуляция (МСА)'!$AE$25:$BC$82,,MATCH(AK$8,'Калькуляция (МСА)'!$AE$8:$BC$8,0)),'Калькуляция (МСА)'!$F$25:$F$82,$F34,'Калькуляция (МСА)'!$G$25:$G$82,$G34),SUMIFS(INDEX('Калькуляция (5.9)'!$AJ$25:$BC$126,,MATCH(AK$8,'Калькуляция (5.9)'!$AJ$8:$BC$8,0)),'Калькуляция (5.9)'!$F$25:$F$126,$F34,'Калькуляция (5.9)'!$G$25:$G$126,$G34))</f>
        <v>0</v>
      </c>
      <c r="AL34" s="286">
        <f ca="1">IF(AJ34=0,0,(AK34-AJ34)/AJ34*100)</f>
        <v>0</v>
      </c>
      <c r="AM34" s="86">
        <f ca="1">IF(method_reg="Метод сравнения аналогов",SUMIFS(INDEX('Калькуляция (МСА)'!$AE$25:$BC$82,,MATCH(AM$8,'Калькуляция (МСА)'!$AE$8:$BC$8,0)),'Калькуляция (МСА)'!$F$25:$F$82,$F34,'Калькуляция (МСА)'!$G$25:$G$82,$G34),SUMIFS(INDEX('Калькуляция (5.9)'!$AJ$25:$BC$126,,MATCH(AM$8,'Калькуляция (5.9)'!$AJ$8:$BC$8,0)),'Калькуляция (5.9)'!$F$25:$F$126,$F34,'Калькуляция (5.9)'!$G$25:$G$126,$G34))</f>
        <v>0</v>
      </c>
      <c r="AN34" s="86">
        <f ca="1">IF(method_reg="Метод сравнения аналогов",SUMIFS(INDEX('Калькуляция (МСА)'!$AE$25:$BC$82,,MATCH(AN$8,'Калькуляция (МСА)'!$AE$8:$BC$8,0)),'Калькуляция (МСА)'!$F$25:$F$82,$F34,'Калькуляция (МСА)'!$G$25:$G$82,$G34),SUMIFS(INDEX('Калькуляция (5.9)'!$AJ$25:$BC$126,,MATCH(AN$8,'Калькуляция (5.9)'!$AJ$8:$BC$8,0)),'Калькуляция (5.9)'!$F$25:$F$126,$F34,'Калькуляция (5.9)'!$G$25:$G$126,$G34))</f>
        <v>0</v>
      </c>
      <c r="AO34" s="286">
        <f ca="1">IF(AM34=0,0,(AN34-AM34)/AM34*100)</f>
        <v>0</v>
      </c>
      <c r="AP34" s="86">
        <f ca="1">IF(method_reg="Метод сравнения аналогов",SUMIFS(INDEX('Калькуляция (МСА)'!$AE$25:$BC$82,,MATCH(AP$8,'Калькуляция (МСА)'!$AE$8:$BC$8,0)),'Калькуляция (МСА)'!$F$25:$F$82,$F34,'Калькуляция (МСА)'!$G$25:$G$82,$G34),SUMIFS(INDEX('Калькуляция (5.9)'!$AJ$25:$BC$126,,MATCH(AP$8,'Калькуляция (5.9)'!$AJ$8:$BC$8,0)),'Калькуляция (5.9)'!$F$25:$F$126,$F34,'Калькуляция (5.9)'!$G$25:$G$126,$G34))</f>
        <v>0</v>
      </c>
      <c r="AQ34" s="86">
        <f ca="1">IF(method_reg="Метод сравнения аналогов",SUMIFS(INDEX('Калькуляция (МСА)'!$AE$25:$BC$82,,MATCH(AQ$8,'Калькуляция (МСА)'!$AE$8:$BC$8,0)),'Калькуляция (МСА)'!$F$25:$F$82,$F34,'Калькуляция (МСА)'!$G$25:$G$82,$G34),SUMIFS(INDEX('Калькуляция (5.9)'!$AJ$25:$BC$126,,MATCH(AQ$8,'Калькуляция (5.9)'!$AJ$8:$BC$8,0)),'Калькуляция (5.9)'!$F$25:$F$126,$F34,'Калькуляция (5.9)'!$G$25:$G$126,$G34))</f>
        <v>0</v>
      </c>
      <c r="AR34" s="286">
        <f ca="1">IF(AP34=0,0,(AQ34-AP34)/AP34*100)</f>
        <v>0</v>
      </c>
      <c r="AS34" s="86">
        <f ca="1">IF(method_reg="Метод сравнения аналогов",SUMIFS(INDEX('Калькуляция (МСА)'!$AE$25:$BC$82,,MATCH(AS$8,'Калькуляция (МСА)'!$AE$8:$BC$8,0)),'Калькуляция (МСА)'!$F$25:$F$82,$F34,'Калькуляция (МСА)'!$G$25:$G$82,$G34),SUMIFS(INDEX('Калькуляция (5.9)'!$AJ$25:$BC$126,,MATCH(AS$8,'Калькуляция (5.9)'!$AJ$8:$BC$8,0)),'Калькуляция (5.9)'!$F$25:$F$126,$F34,'Калькуляция (5.9)'!$G$25:$G$126,$G34))</f>
        <v>0</v>
      </c>
      <c r="AT34" s="86">
        <f ca="1">IF(method_reg="Метод сравнения аналогов",SUMIFS(INDEX('Калькуляция (МСА)'!$AE$25:$BC$82,,MATCH(AT$8,'Калькуляция (МСА)'!$AE$8:$BC$8,0)),'Калькуляция (МСА)'!$F$25:$F$82,$F34,'Калькуляция (МСА)'!$G$25:$G$82,$G34),SUMIFS(INDEX('Калькуляция (5.9)'!$AJ$25:$BC$126,,MATCH(AT$8,'Калькуляция (5.9)'!$AJ$8:$BC$8,0)),'Калькуляция (5.9)'!$F$25:$F$126,$F34,'Калькуляция (5.9)'!$G$25:$G$126,$G34))</f>
        <v>0</v>
      </c>
      <c r="AU34" s="286">
        <f ca="1">IF(AS34=0,0,(AT34-AS34)/AS34*100)</f>
        <v>0</v>
      </c>
      <c r="AV34" s="86">
        <f ca="1">IF(method_reg="Метод сравнения аналогов",SUMIFS(INDEX('Калькуляция (МСА)'!$AE$25:$BC$82,,MATCH(AV$8,'Калькуляция (МСА)'!$AE$8:$BC$8,0)),'Калькуляция (МСА)'!$F$25:$F$82,$F34,'Калькуляция (МСА)'!$G$25:$G$82,$G34),SUMIFS(INDEX('Калькуляция (5.9)'!$AJ$25:$BC$126,,MATCH(AV$8,'Калькуляция (5.9)'!$AJ$8:$BC$8,0)),'Калькуляция (5.9)'!$F$25:$F$126,$F34,'Калькуляция (5.9)'!$G$25:$G$126,$G34))</f>
        <v>0</v>
      </c>
      <c r="AW34" s="86">
        <f ca="1">IF(method_reg="Метод сравнения аналогов",SUMIFS(INDEX('Калькуляция (МСА)'!$AE$25:$BC$82,,MATCH(AW$8,'Калькуляция (МСА)'!$AE$8:$BC$8,0)),'Калькуляция (МСА)'!$F$25:$F$82,$F34,'Калькуляция (МСА)'!$G$25:$G$82,$G34),SUMIFS(INDEX('Калькуляция (5.9)'!$AJ$25:$BC$126,,MATCH(AW$8,'Калькуляция (5.9)'!$AJ$8:$BC$8,0)),'Калькуляция (5.9)'!$F$25:$F$126,$F34,'Калькуляция (5.9)'!$G$25:$G$126,$G34))</f>
        <v>0</v>
      </c>
      <c r="AX34" s="286">
        <f ca="1">IF(AV34=0,0,(AW34-AV34)/AV34*100)</f>
        <v>0</v>
      </c>
      <c r="AY34" s="86">
        <f ca="1">IF(method_reg="Метод сравнения аналогов",SUMIFS(INDEX('Калькуляция (МСА)'!$AE$25:$BC$82,,MATCH(AY$8,'Калькуляция (МСА)'!$AE$8:$BC$8,0)),'Калькуляция (МСА)'!$F$25:$F$82,$F34,'Калькуляция (МСА)'!$G$25:$G$82,$G34),SUMIFS(INDEX('Калькуляция (5.9)'!$AJ$25:$BC$126,,MATCH(AY$8,'Калькуляция (5.9)'!$AJ$8:$BC$8,0)),'Калькуляция (5.9)'!$F$25:$F$126,$F34,'Калькуляция (5.9)'!$G$25:$G$126,$G34))</f>
        <v>0</v>
      </c>
      <c r="AZ34" s="86">
        <f ca="1">IF(method_reg="Метод сравнения аналогов",SUMIFS(INDEX('Калькуляция (МСА)'!$AE$25:$BC$82,,MATCH(AZ$8,'Калькуляция (МСА)'!$AE$8:$BC$8,0)),'Калькуляция (МСА)'!$F$25:$F$82,$F34,'Калькуляция (МСА)'!$G$25:$G$82,$G34),SUMIFS(INDEX('Калькуляция (5.9)'!$AJ$25:$BC$126,,MATCH(AZ$8,'Калькуляция (5.9)'!$AJ$8:$BC$8,0)),'Калькуляция (5.9)'!$F$25:$F$126,$F34,'Калькуляция (5.9)'!$G$25:$G$126,$G34))</f>
        <v>0</v>
      </c>
      <c r="BA34" s="286">
        <f ca="1">IF(AY34=0,0,(AZ34-AY34)/AY34*100)</f>
        <v>0</v>
      </c>
      <c r="BB34" s="86">
        <f ca="1">IF(method_reg="Метод сравнения аналогов",SUMIFS(INDEX('Калькуляция (МСА)'!$AE$25:$BC$82,,MATCH(BB$8,'Калькуляция (МСА)'!$AE$8:$BC$8,0)),'Калькуляция (МСА)'!$F$25:$F$82,$F34,'Калькуляция (МСА)'!$G$25:$G$82,$G34),SUMIFS(INDEX('Калькуляция (5.9)'!$AJ$25:$BC$126,,MATCH(BB$8,'Калькуляция (5.9)'!$AJ$8:$BC$8,0)),'Калькуляция (5.9)'!$F$25:$F$126,$F34,'Калькуляция (5.9)'!$G$25:$G$126,$G34))</f>
        <v>0</v>
      </c>
      <c r="BC34" s="86">
        <f ca="1">IF(method_reg="Метод сравнения аналогов",SUMIFS(INDEX('Калькуляция (МСА)'!$AE$25:$BC$82,,MATCH(BC$8,'Калькуляция (МСА)'!$AE$8:$BC$8,0)),'Калькуляция (МСА)'!$F$25:$F$82,$F34,'Калькуляция (МСА)'!$G$25:$G$82,$G34),SUMIFS(INDEX('Калькуляция (5.9)'!$AJ$25:$BC$126,,MATCH(BC$8,'Калькуляция (5.9)'!$AJ$8:$BC$8,0)),'Калькуляция (5.9)'!$F$25:$F$126,$F34,'Калькуляция (5.9)'!$G$25:$G$126,$G34))</f>
        <v>0</v>
      </c>
      <c r="BD34" s="286">
        <f ca="1">IF(BB34=0,0,(BC34-BB34)/BB34*100)</f>
        <v>0</v>
      </c>
      <c r="BE34" s="86">
        <f ca="1">IF(method_reg="Метод сравнения аналогов",SUMIFS(INDEX('Калькуляция (МСА)'!$AE$25:$BC$82,,MATCH(BE$8,'Калькуляция (МСА)'!$AE$8:$BC$8,0)),'Калькуляция (МСА)'!$F$25:$F$82,$F34,'Калькуляция (МСА)'!$G$25:$G$82,$G34),SUMIFS(INDEX('Калькуляция (5.9)'!$AJ$25:$BC$126,,MATCH(BE$8,'Калькуляция (5.9)'!$AJ$8:$BC$8,0)),'Калькуляция (5.9)'!$F$25:$F$126,$F34,'Калькуляция (5.9)'!$G$25:$G$126,$G34))</f>
        <v>0</v>
      </c>
      <c r="BF34" s="86">
        <f ca="1">IF(method_reg="Метод сравнения аналогов",SUMIFS(INDEX('Калькуляция (МСА)'!$AE$25:$BC$82,,MATCH(BF$8,'Калькуляция (МСА)'!$AE$8:$BC$8,0)),'Калькуляция (МСА)'!$F$25:$F$82,$F34,'Калькуляция (МСА)'!$G$25:$G$82,$G34),SUMIFS(INDEX('Калькуляция (5.9)'!$AJ$25:$BC$126,,MATCH(BF$8,'Калькуляция (5.9)'!$AJ$8:$BC$8,0)),'Калькуляция (5.9)'!$F$25:$F$126,$F34,'Калькуляция (5.9)'!$G$25:$G$126,$G34))</f>
        <v>0</v>
      </c>
      <c r="BG34" s="286">
        <f ca="1">IF(BE34=0,0,(BF34-BE34)/BE34*100)</f>
        <v>0</v>
      </c>
      <c r="BH34" s="86"/>
      <c r="BI34" s="86"/>
      <c r="BJ34" s="286">
        <f>IF(BH34=0,0,(BI34-BH34)/BH34*100)</f>
        <v>0</v>
      </c>
      <c r="BK34" s="86"/>
      <c r="BL34" s="86"/>
      <c r="BM34" s="286">
        <f>IF(BK34=0,0,(BL34-BK34)/BK34*100)</f>
        <v>0</v>
      </c>
      <c r="BN34" s="86"/>
      <c r="BO34" s="86"/>
      <c r="BP34" s="286">
        <f>IF(BN34=0,0,(BO34-BN34)/BN34*100)</f>
        <v>0</v>
      </c>
      <c r="BQ34" s="86"/>
      <c r="BR34" s="86"/>
      <c r="BS34" s="286">
        <f>IF(BQ34=0,0,(BR34-BQ34)/BQ34*100)</f>
        <v>0</v>
      </c>
      <c r="BT34" s="86"/>
      <c r="BU34" s="86"/>
      <c r="BV34" s="286">
        <f>IF(BT34=0,0,(BU34-BT34)/BT34*100)</f>
        <v>0</v>
      </c>
      <c r="BW34" s="86"/>
      <c r="BX34" s="86"/>
      <c r="BY34" s="286">
        <f>IF(BW34=0,0,(BX34-BW34)/BW34*100)</f>
        <v>0</v>
      </c>
      <c r="BZ34" s="86"/>
      <c r="CA34" s="86"/>
      <c r="CB34" s="286">
        <f>IF(BZ34=0,0,(CA34-BZ34)/BZ34*100)</f>
        <v>0</v>
      </c>
      <c r="CC34" s="86"/>
      <c r="CD34" s="86"/>
      <c r="CE34" s="286">
        <f>IF(CC34=0,0,(CD34-CC34)/CC34*100)</f>
        <v>0</v>
      </c>
      <c r="CF34" s="86"/>
      <c r="CG34" s="86"/>
      <c r="CH34" s="286">
        <f>IF(CF34=0,0,(CG34-CF34)/CF34*100)</f>
        <v>0</v>
      </c>
      <c r="CI34" s="86"/>
      <c r="CJ34" s="86"/>
      <c r="CK34" s="286">
        <f>IF(CI34=0,0,(CJ34-CI34)/CI34*100)</f>
        <v>0</v>
      </c>
      <c r="CL34" s="86"/>
      <c r="CM34" s="86"/>
      <c r="CN34" s="286">
        <f>IF(CL34=0,0,(CM34-CL34)/CL34*100)</f>
        <v>0</v>
      </c>
      <c r="CO34" s="86"/>
      <c r="CP34" s="86"/>
      <c r="CQ34" s="286">
        <f>IF(CO34=0,0,(CP34-CO34)/CO34*100)</f>
        <v>0</v>
      </c>
      <c r="CR34" s="86"/>
      <c r="CS34" s="86"/>
      <c r="CT34" s="286">
        <f>IF(CR34=0,0,(CS34-CR34)/CR34*100)</f>
        <v>0</v>
      </c>
      <c r="CU34" s="86"/>
      <c r="CV34" s="86"/>
      <c r="CW34" s="286">
        <f>IF(CU34=0,0,(CV34-CU34)/CU34*100)</f>
        <v>0</v>
      </c>
      <c r="CX34" s="86"/>
      <c r="CY34" s="86"/>
      <c r="CZ34" s="286">
        <f>IF(CX34=0,0,(CY34-CX34)/CX34*100)</f>
        <v>0</v>
      </c>
      <c r="DA34" s="86"/>
      <c r="DB34" s="86"/>
      <c r="DC34" s="286">
        <f>IF(DA34=0,0,(DB34-DA34)/DA34*100)</f>
        <v>0</v>
      </c>
      <c r="DD34" s="86"/>
      <c r="DE34" s="86"/>
      <c r="DF34" s="286">
        <f>IF(DD34=0,0,(DE34-DD34)/DD34*100)</f>
        <v>0</v>
      </c>
      <c r="DG34" s="86"/>
      <c r="DH34" s="86"/>
      <c r="DI34" s="286">
        <f>IF(DG34=0,0,(DH34-DG34)/DG34*100)</f>
        <v>0</v>
      </c>
      <c r="DJ34" s="86"/>
      <c r="DK34" s="86"/>
      <c r="DL34" s="286">
        <f>IF(DJ34=0,0,(DK34-DJ34)/DJ34*100)</f>
        <v>0</v>
      </c>
      <c r="DM34" s="86"/>
      <c r="DN34" s="86"/>
      <c r="DO34" s="286">
        <f>IF(DM34=0,0,(DN34-DM34)/DM34*100)</f>
        <v>0</v>
      </c>
      <c r="DP34" s="86"/>
      <c r="DQ34" s="86"/>
      <c r="DR34" s="286">
        <f>IF(DP34=0,0,(DQ34-DP34)/DP34*100)</f>
        <v>0</v>
      </c>
      <c r="DS34" s="86"/>
      <c r="DT34" s="86"/>
      <c r="DU34" s="286">
        <f>IF(DS34=0,0,(DT34-DS34)/DS34*100)</f>
        <v>0</v>
      </c>
      <c r="DV34" s="86"/>
      <c r="DW34" s="86"/>
      <c r="DX34" s="286">
        <f>IF(DV34=0,0,(DW34-DV34)/DV34*100)</f>
        <v>0</v>
      </c>
      <c r="DY34" s="86"/>
      <c r="DZ34" s="86"/>
      <c r="EA34" s="286">
        <f>IF(DY34=0,0,(DZ34-DY34)/DY34*100)</f>
        <v>0</v>
      </c>
      <c r="EB34" s="86"/>
      <c r="EC34" s="86"/>
      <c r="ED34" s="286">
        <f>IF(EB34=0,0,(EC34-EB34)/EB34*100)</f>
        <v>0</v>
      </c>
      <c r="EE34" s="86"/>
      <c r="EF34" s="86"/>
      <c r="EG34" s="286">
        <f>IF(EE34=0,0,(EF34-EE34)/EE34*100)</f>
        <v>0</v>
      </c>
      <c r="EH34" s="86"/>
      <c r="EI34" s="86"/>
      <c r="EJ34" s="286">
        <f>IF(EH34=0,0,(EI34-EH34)/EH34*100)</f>
        <v>0</v>
      </c>
      <c r="EK34" s="86"/>
      <c r="EL34" s="86"/>
      <c r="EM34" s="286">
        <f>IF(EK34=0,0,(EL34-EK34)/EK34*100)</f>
        <v>0</v>
      </c>
      <c r="EN34" s="86"/>
      <c r="EO34" s="86"/>
      <c r="EP34" s="286">
        <f>IF(EN34=0,0,(EO34-EN34)/EN34*100)</f>
        <v>0</v>
      </c>
      <c r="EQ34" s="86"/>
      <c r="ER34" s="86"/>
      <c r="ES34" s="286">
        <f>IF(EQ34=0,0,(ER34-EQ34)/EQ34*100)</f>
        <v>0</v>
      </c>
      <c r="ET34" s="86"/>
      <c r="EU34" s="86"/>
      <c r="EV34" s="286">
        <f>IF(ET34=0,0,(EU34-ET34)/ET34*100)</f>
        <v>0</v>
      </c>
      <c r="EW34" s="86"/>
      <c r="EX34" s="86"/>
      <c r="EY34" s="286">
        <f>IF(EW34=0,0,(EX34-EW34)/EW34*100)</f>
        <v>0</v>
      </c>
      <c r="EZ34" s="86"/>
      <c r="FA34" s="86"/>
      <c r="FB34" s="286">
        <f>IF(EZ34=0,0,(FA34-EZ34)/EZ34*100)</f>
        <v>0</v>
      </c>
      <c r="FC34" s="86"/>
      <c r="FD34" s="86"/>
      <c r="FE34" s="286">
        <f>IF(FC34=0,0,(FD34-FC34)/FC34*100)</f>
        <v>0</v>
      </c>
      <c r="FF34" s="86"/>
      <c r="FG34" s="86"/>
      <c r="FH34" s="286">
        <f>IF(FF34=0,0,(FG34-FF34)/FF34*100)</f>
        <v>0</v>
      </c>
      <c r="FI34" s="86"/>
      <c r="FJ34" s="86"/>
      <c r="FK34" s="286">
        <f>IF(FI34=0,0,(FJ34-FI34)/FI34*100)</f>
        <v>0</v>
      </c>
      <c r="FL34" s="86"/>
      <c r="FM34" s="86"/>
      <c r="FN34" s="286">
        <f>IF(FL34=0,0,(FM34-FL34)/FL34*100)</f>
        <v>0</v>
      </c>
      <c r="FO34" s="86"/>
      <c r="FP34" s="86"/>
      <c r="FQ34" s="286">
        <f>IF(FO34=0,0,(FP34-FO34)/FO34*100)</f>
        <v>0</v>
      </c>
      <c r="FR34" s="86"/>
      <c r="FS34" s="86"/>
      <c r="FT34" s="286">
        <f>IF(FR34=0,0,(FS34-FR34)/FR34*100)</f>
        <v>0</v>
      </c>
      <c r="FU34" s="86"/>
      <c r="FV34" s="86"/>
      <c r="FW34" s="286">
        <f>IF(FU34=0,0,(FV34-FU34)/FU34*100)</f>
        <v>0</v>
      </c>
      <c r="FZ34" s="912" t="s">
        <v>1659</v>
      </c>
      <c r="GA34" s="930"/>
      <c r="GB34" s="930"/>
      <c r="GC34" s="930"/>
      <c r="GD34" s="930"/>
    </row>
    <row r="35" spans="1:186" ht="16.7" hidden="1" customHeight="1">
      <c r="B35" s="749" t="b">
        <f t="shared" si="22"/>
        <v>1</v>
      </c>
      <c r="E35" s="623">
        <v>17.100000000000001</v>
      </c>
      <c r="F35" s="714">
        <f t="shared" ca="1" si="20"/>
        <v>0</v>
      </c>
      <c r="H35" s="150" t="s">
        <v>394</v>
      </c>
      <c r="I35" s="150" t="s">
        <v>1660</v>
      </c>
      <c r="Q35" s="394"/>
      <c r="T35" s="634" t="b">
        <f t="shared" si="21"/>
        <v>0</v>
      </c>
      <c r="X35" s="1405"/>
      <c r="Z35" s="1405"/>
      <c r="AB35" s="287" t="s">
        <v>1661</v>
      </c>
      <c r="AC35" s="110" t="s">
        <v>388</v>
      </c>
      <c r="AD35" s="791">
        <f ca="1">IF(AD33=0,0,AD34/AD33)</f>
        <v>0</v>
      </c>
      <c r="AE35" s="791">
        <f ca="1">IF(AE33=0,0,AE34/AE33)</f>
        <v>0</v>
      </c>
      <c r="AF35" s="828"/>
      <c r="AG35" s="791">
        <f ca="1">IF(AG33=0,0,AG34/AG33)</f>
        <v>0</v>
      </c>
      <c r="AH35" s="791">
        <f ca="1">IF(AH33=0,0,AH34/AH33)</f>
        <v>0</v>
      </c>
      <c r="AI35" s="828"/>
      <c r="AJ35" s="791">
        <f ca="1">IF(AJ33=0,0,AJ34/AJ33)</f>
        <v>0</v>
      </c>
      <c r="AK35" s="791">
        <f ca="1">IF(AK33=0,0,AK34/AK33)</f>
        <v>0</v>
      </c>
      <c r="AL35" s="828"/>
      <c r="AM35" s="791">
        <f ca="1">IF(AM33=0,0,AM34/AM33)</f>
        <v>0</v>
      </c>
      <c r="AN35" s="791">
        <f ca="1">IF(AN33=0,0,AN34/AN33)</f>
        <v>0</v>
      </c>
      <c r="AO35" s="828"/>
      <c r="AP35" s="791">
        <f ca="1">IF(AP33=0,0,AP34/AP33)</f>
        <v>0</v>
      </c>
      <c r="AQ35" s="791">
        <f ca="1">IF(AQ33=0,0,AQ34/AQ33)</f>
        <v>0</v>
      </c>
      <c r="AR35" s="828"/>
      <c r="AS35" s="791">
        <f ca="1">IF(AS33=0,0,AS34/AS33)</f>
        <v>0</v>
      </c>
      <c r="AT35" s="791">
        <f ca="1">IF(AT33=0,0,AT34/AT33)</f>
        <v>0</v>
      </c>
      <c r="AU35" s="828"/>
      <c r="AV35" s="791">
        <f ca="1">IF(AV33=0,0,AV34/AV33)</f>
        <v>0</v>
      </c>
      <c r="AW35" s="791">
        <f ca="1">IF(AW33=0,0,AW34/AW33)</f>
        <v>0</v>
      </c>
      <c r="AX35" s="828"/>
      <c r="AY35" s="791">
        <f ca="1">IF(AY33=0,0,AY34/AY33)</f>
        <v>0</v>
      </c>
      <c r="AZ35" s="791">
        <f ca="1">IF(AZ33=0,0,AZ34/AZ33)</f>
        <v>0</v>
      </c>
      <c r="BA35" s="828"/>
      <c r="BB35" s="791">
        <f ca="1">IF(BB33=0,0,BB34/BB33)</f>
        <v>0</v>
      </c>
      <c r="BC35" s="791">
        <f ca="1">IF(BC33=0,0,BC34/BC33)</f>
        <v>0</v>
      </c>
      <c r="BD35" s="828"/>
      <c r="BE35" s="791">
        <f ca="1">IF(BE33=0,0,BE34/BE33)</f>
        <v>0</v>
      </c>
      <c r="BF35" s="791">
        <f ca="1">IF(BF33=0,0,BF34/BF33)</f>
        <v>0</v>
      </c>
      <c r="BG35" s="828"/>
      <c r="BH35" s="791">
        <f>IF(BH33=0,0,BH34/BH33)</f>
        <v>0</v>
      </c>
      <c r="BI35" s="791">
        <f>IF(BI33=0,0,BI34/BI33)</f>
        <v>0</v>
      </c>
      <c r="BJ35" s="856"/>
      <c r="BK35" s="791">
        <f>IF(BK33=0,0,BK34/BK33)</f>
        <v>0</v>
      </c>
      <c r="BL35" s="791">
        <f>IF(BL33=0,0,BL34/BL33)</f>
        <v>0</v>
      </c>
      <c r="BM35" s="856"/>
      <c r="BN35" s="791">
        <f>IF(BN33=0,0,BN34/BN33)</f>
        <v>0</v>
      </c>
      <c r="BO35" s="791">
        <f>IF(BO33=0,0,BO34/BO33)</f>
        <v>0</v>
      </c>
      <c r="BP35" s="856"/>
      <c r="BQ35" s="791">
        <f>IF(BQ33=0,0,BQ34/BQ33)</f>
        <v>0</v>
      </c>
      <c r="BR35" s="791">
        <f>IF(BR33=0,0,BR34/BR33)</f>
        <v>0</v>
      </c>
      <c r="BS35" s="856"/>
      <c r="BT35" s="791">
        <f>IF(BT33=0,0,BT34/BT33)</f>
        <v>0</v>
      </c>
      <c r="BU35" s="791">
        <f>IF(BU33=0,0,BU34/BU33)</f>
        <v>0</v>
      </c>
      <c r="BV35" s="856"/>
      <c r="BW35" s="791">
        <f>IF(BW33=0,0,BW34/BW33)</f>
        <v>0</v>
      </c>
      <c r="BX35" s="791">
        <f>IF(BX33=0,0,BX34/BX33)</f>
        <v>0</v>
      </c>
      <c r="BY35" s="856"/>
      <c r="BZ35" s="791">
        <f>IF(BZ33=0,0,BZ34/BZ33)</f>
        <v>0</v>
      </c>
      <c r="CA35" s="791">
        <f>IF(CA33=0,0,CA34/CA33)</f>
        <v>0</v>
      </c>
      <c r="CB35" s="856"/>
      <c r="CC35" s="791">
        <f>IF(CC33=0,0,CC34/CC33)</f>
        <v>0</v>
      </c>
      <c r="CD35" s="791">
        <f>IF(CD33=0,0,CD34/CD33)</f>
        <v>0</v>
      </c>
      <c r="CE35" s="856"/>
      <c r="CF35" s="791">
        <f>IF(CF33=0,0,CF34/CF33)</f>
        <v>0</v>
      </c>
      <c r="CG35" s="791">
        <f>IF(CG33=0,0,CG34/CG33)</f>
        <v>0</v>
      </c>
      <c r="CH35" s="856"/>
      <c r="CI35" s="791">
        <f>IF(CI33=0,0,CI34/CI33)</f>
        <v>0</v>
      </c>
      <c r="CJ35" s="791">
        <f>IF(CJ33=0,0,CJ34/CJ33)</f>
        <v>0</v>
      </c>
      <c r="CK35" s="856"/>
      <c r="CL35" s="791">
        <f>IF(CL33=0,0,CL34/CL33)</f>
        <v>0</v>
      </c>
      <c r="CM35" s="791">
        <f>IF(CM33=0,0,CM34/CM33)</f>
        <v>0</v>
      </c>
      <c r="CN35" s="856"/>
      <c r="CO35" s="791">
        <f>IF(CO33=0,0,CO34/CO33)</f>
        <v>0</v>
      </c>
      <c r="CP35" s="791">
        <f>IF(CP33=0,0,CP34/CP33)</f>
        <v>0</v>
      </c>
      <c r="CQ35" s="856"/>
      <c r="CR35" s="791">
        <f>IF(CR33=0,0,CR34/CR33)</f>
        <v>0</v>
      </c>
      <c r="CS35" s="791">
        <f>IF(CS33=0,0,CS34/CS33)</f>
        <v>0</v>
      </c>
      <c r="CT35" s="856"/>
      <c r="CU35" s="791">
        <f>IF(CU33=0,0,CU34/CU33)</f>
        <v>0</v>
      </c>
      <c r="CV35" s="791">
        <f>IF(CV33=0,0,CV34/CV33)</f>
        <v>0</v>
      </c>
      <c r="CW35" s="856"/>
      <c r="CX35" s="791">
        <f>IF(CX33=0,0,CX34/CX33)</f>
        <v>0</v>
      </c>
      <c r="CY35" s="791">
        <f>IF(CY33=0,0,CY34/CY33)</f>
        <v>0</v>
      </c>
      <c r="CZ35" s="856"/>
      <c r="DA35" s="791">
        <f>IF(DA33=0,0,DA34/DA33)</f>
        <v>0</v>
      </c>
      <c r="DB35" s="791">
        <f>IF(DB33=0,0,DB34/DB33)</f>
        <v>0</v>
      </c>
      <c r="DC35" s="856"/>
      <c r="DD35" s="791">
        <f>IF(DD33=0,0,DD34/DD33)</f>
        <v>0</v>
      </c>
      <c r="DE35" s="791">
        <f>IF(DE33=0,0,DE34/DE33)</f>
        <v>0</v>
      </c>
      <c r="DF35" s="856"/>
      <c r="DG35" s="791">
        <f>IF(DG33=0,0,DG34/DG33)</f>
        <v>0</v>
      </c>
      <c r="DH35" s="791">
        <f>IF(DH33=0,0,DH34/DH33)</f>
        <v>0</v>
      </c>
      <c r="DI35" s="856"/>
      <c r="DJ35" s="791">
        <f>IF(DJ33=0,0,DJ34/DJ33)</f>
        <v>0</v>
      </c>
      <c r="DK35" s="791">
        <f>IF(DK33=0,0,DK34/DK33)</f>
        <v>0</v>
      </c>
      <c r="DL35" s="856"/>
      <c r="DM35" s="791">
        <f>IF(DM33=0,0,DM34/DM33)</f>
        <v>0</v>
      </c>
      <c r="DN35" s="791">
        <f>IF(DN33=0,0,DN34/DN33)</f>
        <v>0</v>
      </c>
      <c r="DO35" s="856"/>
      <c r="DP35" s="791">
        <f>IF(DP33=0,0,DP34/DP33)</f>
        <v>0</v>
      </c>
      <c r="DQ35" s="791">
        <f>IF(DQ33=0,0,DQ34/DQ33)</f>
        <v>0</v>
      </c>
      <c r="DR35" s="856"/>
      <c r="DS35" s="791">
        <f>IF(DS33=0,0,DS34/DS33)</f>
        <v>0</v>
      </c>
      <c r="DT35" s="791">
        <f>IF(DT33=0,0,DT34/DT33)</f>
        <v>0</v>
      </c>
      <c r="DU35" s="856"/>
      <c r="DV35" s="791">
        <f>IF(DV33=0,0,DV34/DV33)</f>
        <v>0</v>
      </c>
      <c r="DW35" s="791">
        <f>IF(DW33=0,0,DW34/DW33)</f>
        <v>0</v>
      </c>
      <c r="DX35" s="856"/>
      <c r="DY35" s="791">
        <f>IF(DY33=0,0,DY34/DY33)</f>
        <v>0</v>
      </c>
      <c r="DZ35" s="791">
        <f>IF(DZ33=0,0,DZ34/DZ33)</f>
        <v>0</v>
      </c>
      <c r="EA35" s="856"/>
      <c r="EB35" s="791">
        <f>IF(EB33=0,0,EB34/EB33)</f>
        <v>0</v>
      </c>
      <c r="EC35" s="791">
        <f>IF(EC33=0,0,EC34/EC33)</f>
        <v>0</v>
      </c>
      <c r="ED35" s="856"/>
      <c r="EE35" s="791">
        <f>IF(EE33=0,0,EE34/EE33)</f>
        <v>0</v>
      </c>
      <c r="EF35" s="791">
        <f>IF(EF33=0,0,EF34/EF33)</f>
        <v>0</v>
      </c>
      <c r="EG35" s="856"/>
      <c r="EH35" s="791">
        <f>IF(EH33=0,0,EH34/EH33)</f>
        <v>0</v>
      </c>
      <c r="EI35" s="791">
        <f>IF(EI33=0,0,EI34/EI33)</f>
        <v>0</v>
      </c>
      <c r="EJ35" s="856"/>
      <c r="EK35" s="791">
        <f>IF(EK33=0,0,EK34/EK33)</f>
        <v>0</v>
      </c>
      <c r="EL35" s="791">
        <f>IF(EL33=0,0,EL34/EL33)</f>
        <v>0</v>
      </c>
      <c r="EM35" s="856"/>
      <c r="EN35" s="791">
        <f>IF(EN33=0,0,EN34/EN33)</f>
        <v>0</v>
      </c>
      <c r="EO35" s="791">
        <f>IF(EO33=0,0,EO34/EO33)</f>
        <v>0</v>
      </c>
      <c r="EP35" s="856"/>
      <c r="EQ35" s="791">
        <f>IF(EQ33=0,0,EQ34/EQ33)</f>
        <v>0</v>
      </c>
      <c r="ER35" s="791">
        <f>IF(ER33=0,0,ER34/ER33)</f>
        <v>0</v>
      </c>
      <c r="ES35" s="856"/>
      <c r="ET35" s="791">
        <f>IF(ET33=0,0,ET34/ET33)</f>
        <v>0</v>
      </c>
      <c r="EU35" s="791">
        <f>IF(EU33=0,0,EU34/EU33)</f>
        <v>0</v>
      </c>
      <c r="EV35" s="856"/>
      <c r="EW35" s="791">
        <f>IF(EW33=0,0,EW34/EW33)</f>
        <v>0</v>
      </c>
      <c r="EX35" s="791">
        <f>IF(EX33=0,0,EX34/EX33)</f>
        <v>0</v>
      </c>
      <c r="EY35" s="856"/>
      <c r="EZ35" s="791">
        <f>IF(EZ33=0,0,EZ34/EZ33)</f>
        <v>0</v>
      </c>
      <c r="FA35" s="791">
        <f>IF(FA33=0,0,FA34/FA33)</f>
        <v>0</v>
      </c>
      <c r="FB35" s="856"/>
      <c r="FC35" s="791">
        <f>IF(FC33=0,0,FC34/FC33)</f>
        <v>0</v>
      </c>
      <c r="FD35" s="791">
        <f>IF(FD33=0,0,FD34/FD33)</f>
        <v>0</v>
      </c>
      <c r="FE35" s="856"/>
      <c r="FF35" s="791">
        <f>IF(FF33=0,0,FF34/FF33)</f>
        <v>0</v>
      </c>
      <c r="FG35" s="791">
        <f>IF(FG33=0,0,FG34/FG33)</f>
        <v>0</v>
      </c>
      <c r="FH35" s="856"/>
      <c r="FI35" s="791">
        <f>IF(FI33=0,0,FI34/FI33)</f>
        <v>0</v>
      </c>
      <c r="FJ35" s="791">
        <f>IF(FJ33=0,0,FJ34/FJ33)</f>
        <v>0</v>
      </c>
      <c r="FK35" s="856"/>
      <c r="FL35" s="791">
        <f>IF(FL33=0,0,FL34/FL33)</f>
        <v>0</v>
      </c>
      <c r="FM35" s="791">
        <f>IF(FM33=0,0,FM34/FM33)</f>
        <v>0</v>
      </c>
      <c r="FN35" s="856"/>
      <c r="FO35" s="791">
        <f>IF(FO33=0,0,FO34/FO33)</f>
        <v>0</v>
      </c>
      <c r="FP35" s="791">
        <f>IF(FP33=0,0,FP34/FP33)</f>
        <v>0</v>
      </c>
      <c r="FQ35" s="856"/>
      <c r="FR35" s="791">
        <f>IF(FR33=0,0,FR34/FR33)</f>
        <v>0</v>
      </c>
      <c r="FS35" s="791">
        <f>IF(FS33=0,0,FS34/FS33)</f>
        <v>0</v>
      </c>
      <c r="FT35" s="856"/>
      <c r="FU35" s="791">
        <f>IF(FU33=0,0,FU34/FU33)</f>
        <v>0</v>
      </c>
      <c r="FV35" s="791">
        <f>IF(FV33=0,0,FV34/FV33)</f>
        <v>0</v>
      </c>
      <c r="FW35" s="856"/>
      <c r="FZ35" s="912" t="s">
        <v>1662</v>
      </c>
      <c r="GA35" s="930"/>
      <c r="GB35" s="930"/>
      <c r="GC35" s="930"/>
      <c r="GD35" s="930"/>
    </row>
    <row r="36" spans="1:186" ht="16.7" hidden="1" customHeight="1">
      <c r="B36" s="749" t="b">
        <f t="shared" si="22"/>
        <v>1</v>
      </c>
      <c r="E36" s="623">
        <v>17.100000000000001</v>
      </c>
      <c r="F36" s="714">
        <f t="shared" ca="1" si="20"/>
        <v>0</v>
      </c>
      <c r="G36" s="130" t="s">
        <v>1663</v>
      </c>
      <c r="H36" s="150" t="s">
        <v>401</v>
      </c>
      <c r="I36" s="150" t="s">
        <v>1660</v>
      </c>
      <c r="Q36" s="394"/>
      <c r="T36" s="634" t="b">
        <f t="shared" si="21"/>
        <v>0</v>
      </c>
      <c r="X36" s="1405"/>
      <c r="Z36" s="1405"/>
      <c r="AB36" s="287" t="s">
        <v>1664</v>
      </c>
      <c r="AC36" s="110" t="s">
        <v>491</v>
      </c>
      <c r="AD36" s="87">
        <f ca="1">SUM(AD37:AD38)</f>
        <v>0</v>
      </c>
      <c r="AE36" s="87">
        <f ca="1">SUM(AE37:AE38)</f>
        <v>0</v>
      </c>
      <c r="AF36" s="314">
        <f ca="1">IF(AD36=0,0,(AE36-AD36)/AD36*100)</f>
        <v>0</v>
      </c>
      <c r="AG36" s="1260">
        <f ca="1">SUM(AG37:AG38)</f>
        <v>0</v>
      </c>
      <c r="AH36" s="1260">
        <f ca="1">SUM(AH37:AH38)</f>
        <v>0</v>
      </c>
      <c r="AI36" s="314">
        <f ca="1">IF(AG36=0,0,(AH36-AG36)/AG36*100)</f>
        <v>0</v>
      </c>
      <c r="AJ36" s="1260">
        <f ca="1">SUM(AJ37:AJ38)</f>
        <v>0</v>
      </c>
      <c r="AK36" s="1260">
        <f ca="1">SUM(AK37:AK38)</f>
        <v>0</v>
      </c>
      <c r="AL36" s="314">
        <f ca="1">IF(AJ36=0,0,(AK36-AJ36)/AJ36*100)</f>
        <v>0</v>
      </c>
      <c r="AM36" s="87">
        <f ca="1">SUM(AM37:AM38)</f>
        <v>0</v>
      </c>
      <c r="AN36" s="87">
        <f ca="1">SUM(AN37:AN38)</f>
        <v>0</v>
      </c>
      <c r="AO36" s="314">
        <f ca="1">IF(AM36=0,0,(AN36-AM36)/AM36*100)</f>
        <v>0</v>
      </c>
      <c r="AP36" s="87">
        <f ca="1">SUM(AP37:AP38)</f>
        <v>0</v>
      </c>
      <c r="AQ36" s="87">
        <f ca="1">SUM(AQ37:AQ38)</f>
        <v>0</v>
      </c>
      <c r="AR36" s="314">
        <f ca="1">IF(AP36=0,0,(AQ36-AP36)/AP36*100)</f>
        <v>0</v>
      </c>
      <c r="AS36" s="87">
        <f ca="1">SUM(AS37:AS38)</f>
        <v>0</v>
      </c>
      <c r="AT36" s="87">
        <f ca="1">SUM(AT37:AT38)</f>
        <v>0</v>
      </c>
      <c r="AU36" s="314">
        <f ca="1">IF(AS36=0,0,(AT36-AS36)/AS36*100)</f>
        <v>0</v>
      </c>
      <c r="AV36" s="87">
        <f ca="1">SUM(AV37:AV38)</f>
        <v>0</v>
      </c>
      <c r="AW36" s="87">
        <f ca="1">SUM(AW37:AW38)</f>
        <v>0</v>
      </c>
      <c r="AX36" s="314">
        <f ca="1">IF(AV36=0,0,(AW36-AV36)/AV36*100)</f>
        <v>0</v>
      </c>
      <c r="AY36" s="87">
        <f ca="1">SUM(AY37:AY38)</f>
        <v>0</v>
      </c>
      <c r="AZ36" s="87">
        <f ca="1">SUM(AZ37:AZ38)</f>
        <v>0</v>
      </c>
      <c r="BA36" s="314">
        <f ca="1">IF(AY36=0,0,(AZ36-AY36)/AY36*100)</f>
        <v>0</v>
      </c>
      <c r="BB36" s="87">
        <f ca="1">SUM(BB37:BB38)</f>
        <v>0</v>
      </c>
      <c r="BC36" s="87">
        <f ca="1">SUM(BC37:BC38)</f>
        <v>0</v>
      </c>
      <c r="BD36" s="314">
        <f ca="1">IF(BB36=0,0,(BC36-BB36)/BB36*100)</f>
        <v>0</v>
      </c>
      <c r="BE36" s="87">
        <f ca="1">SUM(BE37:BE38)</f>
        <v>0</v>
      </c>
      <c r="BF36" s="87">
        <f ca="1">SUM(BF37:BF38)</f>
        <v>0</v>
      </c>
      <c r="BG36" s="314">
        <f ca="1">IF(BE36=0,0,(BF36-BE36)/BE36*100)</f>
        <v>0</v>
      </c>
      <c r="BH36" s="87">
        <f>SUM(BH37:BH38)</f>
        <v>0</v>
      </c>
      <c r="BI36" s="87">
        <f>SUM(BI37:BI38)</f>
        <v>0</v>
      </c>
      <c r="BJ36" s="314">
        <f>IF(BH36=0,0,(BI36-BH36)/BH36*100)</f>
        <v>0</v>
      </c>
      <c r="BK36" s="87">
        <f>SUM(BK37:BK38)</f>
        <v>0</v>
      </c>
      <c r="BL36" s="87">
        <f>SUM(BL37:BL38)</f>
        <v>0</v>
      </c>
      <c r="BM36" s="314">
        <f>IF(BK36=0,0,(BL36-BK36)/BK36*100)</f>
        <v>0</v>
      </c>
      <c r="BN36" s="87">
        <f>SUM(BN37:BN38)</f>
        <v>0</v>
      </c>
      <c r="BO36" s="87">
        <f>SUM(BO37:BO38)</f>
        <v>0</v>
      </c>
      <c r="BP36" s="314">
        <f>IF(BN36=0,0,(BO36-BN36)/BN36*100)</f>
        <v>0</v>
      </c>
      <c r="BQ36" s="87">
        <f>SUM(BQ37:BQ38)</f>
        <v>0</v>
      </c>
      <c r="BR36" s="87">
        <f>SUM(BR37:BR38)</f>
        <v>0</v>
      </c>
      <c r="BS36" s="314">
        <f>IF(BQ36=0,0,(BR36-BQ36)/BQ36*100)</f>
        <v>0</v>
      </c>
      <c r="BT36" s="87">
        <f>SUM(BT37:BT38)</f>
        <v>0</v>
      </c>
      <c r="BU36" s="87">
        <f>SUM(BU37:BU38)</f>
        <v>0</v>
      </c>
      <c r="BV36" s="314">
        <f>IF(BT36=0,0,(BU36-BT36)/BT36*100)</f>
        <v>0</v>
      </c>
      <c r="BW36" s="87">
        <f>SUM(BW37:BW38)</f>
        <v>0</v>
      </c>
      <c r="BX36" s="87">
        <f>SUM(BX37:BX38)</f>
        <v>0</v>
      </c>
      <c r="BY36" s="314">
        <f>IF(BW36=0,0,(BX36-BW36)/BW36*100)</f>
        <v>0</v>
      </c>
      <c r="BZ36" s="87">
        <f>SUM(BZ37:BZ38)</f>
        <v>0</v>
      </c>
      <c r="CA36" s="87">
        <f>SUM(CA37:CA38)</f>
        <v>0</v>
      </c>
      <c r="CB36" s="314">
        <f>IF(BZ36=0,0,(CA36-BZ36)/BZ36*100)</f>
        <v>0</v>
      </c>
      <c r="CC36" s="87">
        <f>SUM(CC37:CC38)</f>
        <v>0</v>
      </c>
      <c r="CD36" s="87">
        <f>SUM(CD37:CD38)</f>
        <v>0</v>
      </c>
      <c r="CE36" s="314">
        <f>IF(CC36=0,0,(CD36-CC36)/CC36*100)</f>
        <v>0</v>
      </c>
      <c r="CF36" s="87">
        <f>SUM(CF37:CF38)</f>
        <v>0</v>
      </c>
      <c r="CG36" s="87">
        <f>SUM(CG37:CG38)</f>
        <v>0</v>
      </c>
      <c r="CH36" s="314">
        <f>IF(CF36=0,0,(CG36-CF36)/CF36*100)</f>
        <v>0</v>
      </c>
      <c r="CI36" s="87">
        <f>SUM(CI37:CI38)</f>
        <v>0</v>
      </c>
      <c r="CJ36" s="87">
        <f>SUM(CJ37:CJ38)</f>
        <v>0</v>
      </c>
      <c r="CK36" s="314">
        <f>IF(CI36=0,0,(CJ36-CI36)/CI36*100)</f>
        <v>0</v>
      </c>
      <c r="CL36" s="87">
        <f>SUM(CL37:CL38)</f>
        <v>0</v>
      </c>
      <c r="CM36" s="87">
        <f>SUM(CM37:CM38)</f>
        <v>0</v>
      </c>
      <c r="CN36" s="314">
        <f>IF(CL36=0,0,(CM36-CL36)/CL36*100)</f>
        <v>0</v>
      </c>
      <c r="CO36" s="87">
        <f>SUM(CO37:CO38)</f>
        <v>0</v>
      </c>
      <c r="CP36" s="87">
        <f>SUM(CP37:CP38)</f>
        <v>0</v>
      </c>
      <c r="CQ36" s="314">
        <f>IF(CO36=0,0,(CP36-CO36)/CO36*100)</f>
        <v>0</v>
      </c>
      <c r="CR36" s="87">
        <f>SUM(CR37:CR38)</f>
        <v>0</v>
      </c>
      <c r="CS36" s="87">
        <f>SUM(CS37:CS38)</f>
        <v>0</v>
      </c>
      <c r="CT36" s="314">
        <f>IF(CR36=0,0,(CS36-CR36)/CR36*100)</f>
        <v>0</v>
      </c>
      <c r="CU36" s="87">
        <f>SUM(CU37:CU38)</f>
        <v>0</v>
      </c>
      <c r="CV36" s="87">
        <f>SUM(CV37:CV38)</f>
        <v>0</v>
      </c>
      <c r="CW36" s="314">
        <f>IF(CU36=0,0,(CV36-CU36)/CU36*100)</f>
        <v>0</v>
      </c>
      <c r="CX36" s="87">
        <f>SUM(CX37:CX38)</f>
        <v>0</v>
      </c>
      <c r="CY36" s="87">
        <f>SUM(CY37:CY38)</f>
        <v>0</v>
      </c>
      <c r="CZ36" s="314">
        <f>IF(CX36=0,0,(CY36-CX36)/CX36*100)</f>
        <v>0</v>
      </c>
      <c r="DA36" s="87">
        <f>SUM(DA37:DA38)</f>
        <v>0</v>
      </c>
      <c r="DB36" s="87">
        <f>SUM(DB37:DB38)</f>
        <v>0</v>
      </c>
      <c r="DC36" s="314">
        <f>IF(DA36=0,0,(DB36-DA36)/DA36*100)</f>
        <v>0</v>
      </c>
      <c r="DD36" s="87">
        <f>SUM(DD37:DD38)</f>
        <v>0</v>
      </c>
      <c r="DE36" s="87">
        <f>SUM(DE37:DE38)</f>
        <v>0</v>
      </c>
      <c r="DF36" s="314">
        <f>IF(DD36=0,0,(DE36-DD36)/DD36*100)</f>
        <v>0</v>
      </c>
      <c r="DG36" s="87">
        <f>SUM(DG37:DG38)</f>
        <v>0</v>
      </c>
      <c r="DH36" s="87">
        <f>SUM(DH37:DH38)</f>
        <v>0</v>
      </c>
      <c r="DI36" s="314">
        <f>IF(DG36=0,0,(DH36-DG36)/DG36*100)</f>
        <v>0</v>
      </c>
      <c r="DJ36" s="87">
        <f>SUM(DJ37:DJ38)</f>
        <v>0</v>
      </c>
      <c r="DK36" s="87">
        <f>SUM(DK37:DK38)</f>
        <v>0</v>
      </c>
      <c r="DL36" s="314">
        <f>IF(DJ36=0,0,(DK36-DJ36)/DJ36*100)</f>
        <v>0</v>
      </c>
      <c r="DM36" s="87">
        <f>SUM(DM37:DM38)</f>
        <v>0</v>
      </c>
      <c r="DN36" s="87">
        <f>SUM(DN37:DN38)</f>
        <v>0</v>
      </c>
      <c r="DO36" s="314">
        <f>IF(DM36=0,0,(DN36-DM36)/DM36*100)</f>
        <v>0</v>
      </c>
      <c r="DP36" s="87">
        <f>SUM(DP37:DP38)</f>
        <v>0</v>
      </c>
      <c r="DQ36" s="87">
        <f>SUM(DQ37:DQ38)</f>
        <v>0</v>
      </c>
      <c r="DR36" s="314">
        <f>IF(DP36=0,0,(DQ36-DP36)/DP36*100)</f>
        <v>0</v>
      </c>
      <c r="DS36" s="87">
        <f>SUM(DS37:DS38)</f>
        <v>0</v>
      </c>
      <c r="DT36" s="87">
        <f>SUM(DT37:DT38)</f>
        <v>0</v>
      </c>
      <c r="DU36" s="314">
        <f>IF(DS36=0,0,(DT36-DS36)/DS36*100)</f>
        <v>0</v>
      </c>
      <c r="DV36" s="87">
        <f>SUM(DV37:DV38)</f>
        <v>0</v>
      </c>
      <c r="DW36" s="87">
        <f>SUM(DW37:DW38)</f>
        <v>0</v>
      </c>
      <c r="DX36" s="314">
        <f>IF(DV36=0,0,(DW36-DV36)/DV36*100)</f>
        <v>0</v>
      </c>
      <c r="DY36" s="87">
        <f>SUM(DY37:DY38)</f>
        <v>0</v>
      </c>
      <c r="DZ36" s="87">
        <f>SUM(DZ37:DZ38)</f>
        <v>0</v>
      </c>
      <c r="EA36" s="314">
        <f>IF(DY36=0,0,(DZ36-DY36)/DY36*100)</f>
        <v>0</v>
      </c>
      <c r="EB36" s="87">
        <f>SUM(EB37:EB38)</f>
        <v>0</v>
      </c>
      <c r="EC36" s="87">
        <f>SUM(EC37:EC38)</f>
        <v>0</v>
      </c>
      <c r="ED36" s="314">
        <f>IF(EB36=0,0,(EC36-EB36)/EB36*100)</f>
        <v>0</v>
      </c>
      <c r="EE36" s="87">
        <f>SUM(EE37:EE38)</f>
        <v>0</v>
      </c>
      <c r="EF36" s="87">
        <f>SUM(EF37:EF38)</f>
        <v>0</v>
      </c>
      <c r="EG36" s="314">
        <f>IF(EE36=0,0,(EF36-EE36)/EE36*100)</f>
        <v>0</v>
      </c>
      <c r="EH36" s="87">
        <f>SUM(EH37:EH38)</f>
        <v>0</v>
      </c>
      <c r="EI36" s="87">
        <f>SUM(EI37:EI38)</f>
        <v>0</v>
      </c>
      <c r="EJ36" s="314">
        <f>IF(EH36=0,0,(EI36-EH36)/EH36*100)</f>
        <v>0</v>
      </c>
      <c r="EK36" s="87">
        <f>SUM(EK37:EK38)</f>
        <v>0</v>
      </c>
      <c r="EL36" s="87">
        <f>SUM(EL37:EL38)</f>
        <v>0</v>
      </c>
      <c r="EM36" s="314">
        <f>IF(EK36=0,0,(EL36-EK36)/EK36*100)</f>
        <v>0</v>
      </c>
      <c r="EN36" s="87">
        <f>SUM(EN37:EN38)</f>
        <v>0</v>
      </c>
      <c r="EO36" s="87">
        <f>SUM(EO37:EO38)</f>
        <v>0</v>
      </c>
      <c r="EP36" s="314">
        <f>IF(EN36=0,0,(EO36-EN36)/EN36*100)</f>
        <v>0</v>
      </c>
      <c r="EQ36" s="87">
        <f>SUM(EQ37:EQ38)</f>
        <v>0</v>
      </c>
      <c r="ER36" s="87">
        <f>SUM(ER37:ER38)</f>
        <v>0</v>
      </c>
      <c r="ES36" s="314">
        <f>IF(EQ36=0,0,(ER36-EQ36)/EQ36*100)</f>
        <v>0</v>
      </c>
      <c r="ET36" s="87">
        <f>SUM(ET37:ET38)</f>
        <v>0</v>
      </c>
      <c r="EU36" s="87">
        <f>SUM(EU37:EU38)</f>
        <v>0</v>
      </c>
      <c r="EV36" s="314">
        <f>IF(ET36=0,0,(EU36-ET36)/ET36*100)</f>
        <v>0</v>
      </c>
      <c r="EW36" s="87">
        <f>SUM(EW37:EW38)</f>
        <v>0</v>
      </c>
      <c r="EX36" s="87">
        <f>SUM(EX37:EX38)</f>
        <v>0</v>
      </c>
      <c r="EY36" s="314">
        <f>IF(EW36=0,0,(EX36-EW36)/EW36*100)</f>
        <v>0</v>
      </c>
      <c r="EZ36" s="87">
        <f>SUM(EZ37:EZ38)</f>
        <v>0</v>
      </c>
      <c r="FA36" s="87">
        <f>SUM(FA37:FA38)</f>
        <v>0</v>
      </c>
      <c r="FB36" s="314">
        <f>IF(EZ36=0,0,(FA36-EZ36)/EZ36*100)</f>
        <v>0</v>
      </c>
      <c r="FC36" s="87">
        <f>SUM(FC37:FC38)</f>
        <v>0</v>
      </c>
      <c r="FD36" s="87">
        <f>SUM(FD37:FD38)</f>
        <v>0</v>
      </c>
      <c r="FE36" s="314">
        <f>IF(FC36=0,0,(FD36-FC36)/FC36*100)</f>
        <v>0</v>
      </c>
      <c r="FF36" s="87">
        <f>SUM(FF37:FF38)</f>
        <v>0</v>
      </c>
      <c r="FG36" s="87">
        <f>SUM(FG37:FG38)</f>
        <v>0</v>
      </c>
      <c r="FH36" s="314">
        <f>IF(FF36=0,0,(FG36-FF36)/FF36*100)</f>
        <v>0</v>
      </c>
      <c r="FI36" s="87">
        <f>SUM(FI37:FI38)</f>
        <v>0</v>
      </c>
      <c r="FJ36" s="87">
        <f>SUM(FJ37:FJ38)</f>
        <v>0</v>
      </c>
      <c r="FK36" s="314">
        <f>IF(FI36=0,0,(FJ36-FI36)/FI36*100)</f>
        <v>0</v>
      </c>
      <c r="FL36" s="87">
        <f>SUM(FL37:FL38)</f>
        <v>0</v>
      </c>
      <c r="FM36" s="87">
        <f>SUM(FM37:FM38)</f>
        <v>0</v>
      </c>
      <c r="FN36" s="314">
        <f>IF(FL36=0,0,(FM36-FL36)/FL36*100)</f>
        <v>0</v>
      </c>
      <c r="FO36" s="87">
        <f>SUM(FO37:FO38)</f>
        <v>0</v>
      </c>
      <c r="FP36" s="87">
        <f>SUM(FP37:FP38)</f>
        <v>0</v>
      </c>
      <c r="FQ36" s="314">
        <f>IF(FO36=0,0,(FP36-FO36)/FO36*100)</f>
        <v>0</v>
      </c>
      <c r="FR36" s="87">
        <f>SUM(FR37:FR38)</f>
        <v>0</v>
      </c>
      <c r="FS36" s="87">
        <f>SUM(FS37:FS38)</f>
        <v>0</v>
      </c>
      <c r="FT36" s="314">
        <f>IF(FR36=0,0,(FS36-FR36)/FR36*100)</f>
        <v>0</v>
      </c>
      <c r="FU36" s="87">
        <f>SUM(FU37:FU38)</f>
        <v>0</v>
      </c>
      <c r="FV36" s="87">
        <f>SUM(FV37:FV38)</f>
        <v>0</v>
      </c>
      <c r="FW36" s="314">
        <f>IF(FU36=0,0,(FV36-FU36)/FU36*100)</f>
        <v>0</v>
      </c>
      <c r="FZ36" s="912" t="s">
        <v>1665</v>
      </c>
      <c r="GA36" s="930"/>
      <c r="GB36" s="930"/>
      <c r="GC36" s="930"/>
      <c r="GD36" s="930"/>
    </row>
    <row r="37" spans="1:186" ht="16.7" hidden="1" customHeight="1">
      <c r="B37" s="749" t="b">
        <f t="shared" si="22"/>
        <v>1</v>
      </c>
      <c r="E37" s="623">
        <v>17.100000000000001</v>
      </c>
      <c r="F37" s="714">
        <f t="shared" ca="1" si="20"/>
        <v>0</v>
      </c>
      <c r="G37" s="130" t="s">
        <v>1441</v>
      </c>
      <c r="Q37" s="394"/>
      <c r="T37" s="634" t="b">
        <f t="shared" si="21"/>
        <v>0</v>
      </c>
      <c r="X37" s="1405"/>
      <c r="Z37" s="1405"/>
      <c r="AB37" s="223" t="s">
        <v>1442</v>
      </c>
      <c r="AC37" s="110" t="s">
        <v>491</v>
      </c>
      <c r="AD37" s="87">
        <f ca="1">IF(method_reg="Метод экономически обоснованных расходов",SUMIFS('Калькуляция (6.6)'!AJ$25:AJ$133,'Калькуляция (6.6)'!$F$25:$F$133,$F37,'Калькуляция (6.6)'!$G$25:$G$133,$G37),IF(method_reg="Метод сравнения аналогов",SUMIFS(INDEX('Калькуляция (МСА)'!$AE$25:$BC$82,,MATCH(AD$8,'Калькуляция (МСА)'!$AE$8:$BC$8,0)),'Калькуляция (МСА)'!$F$25:$F$82,$F37,'Калькуляция (МСА)'!$G$25:$G$82,$G37),SUMIFS(INDEX('Калькуляция (5.9)'!$AJ$25:$BC$126,,MATCH(AD$8,'Калькуляция (5.9)'!$AJ$8:$BC$8,0)),'Калькуляция (5.9)'!$F$25:$F$126,$F37,'Калькуляция (5.9)'!$G$25:$G$126,$G37)))</f>
        <v>0</v>
      </c>
      <c r="AE37" s="87">
        <f ca="1">IF(method_reg="Метод экономически обоснованных расходов",SUMIFS('Калькуляция (6.6)'!AK$25:AK$133,'Калькуляция (6.6)'!$F$25:$F$133,$F37,'Калькуляция (6.6)'!$G$25:$G$133,$G37),IF(method_reg="Метод сравнения аналогов",SUMIFS(INDEX('Калькуляция (МСА)'!$AE$25:$BC$82,,MATCH(AE$8,'Калькуляция (МСА)'!$AE$8:$BC$8,0)),'Калькуляция (МСА)'!$F$25:$F$82,$F37,'Калькуляция (МСА)'!$G$25:$G$82,$G37),SUMIFS(INDEX('Калькуляция (5.9)'!$AJ$25:$BC$126,,MATCH(AE$8,'Калькуляция (5.9)'!$AJ$8:$BC$8,0)),'Калькуляция (5.9)'!$F$25:$F$126,$F37,'Калькуляция (5.9)'!$G$25:$G$126,$G37)))</f>
        <v>0</v>
      </c>
      <c r="AF37" s="314">
        <f ca="1">IF(AD37=0,0,(AE37-AD37)/AD37*100)</f>
        <v>0</v>
      </c>
      <c r="AG37" s="1260">
        <f ca="1">IF(method_reg="Метод сравнения аналогов",SUMIFS(INDEX('Калькуляция (МСА)'!$AE$25:$BC$82,,MATCH(AG$8,'Калькуляция (МСА)'!$AE$8:$BC$8,0)),'Калькуляция (МСА)'!$F$25:$F$82,$F37,'Калькуляция (МСА)'!$G$25:$G$82,$G37),SUMIFS(INDEX('Калькуляция (5.9)'!$AJ$25:$BC$126,,MATCH(AG$8,'Калькуляция (5.9)'!$AJ$8:$BC$8,0)),'Калькуляция (5.9)'!$F$25:$F$126,$F37,'Калькуляция (5.9)'!$G$25:$G$126,$G37))</f>
        <v>0</v>
      </c>
      <c r="AH37" s="1260">
        <f ca="1">IF(method_reg="Метод сравнения аналогов",SUMIFS(INDEX('Калькуляция (МСА)'!$AE$25:$BC$82,,MATCH(AH$8,'Калькуляция (МСА)'!$AE$8:$BC$8,0)),'Калькуляция (МСА)'!$F$25:$F$82,$F37,'Калькуляция (МСА)'!$G$25:$G$82,$G37),SUMIFS(INDEX('Калькуляция (5.9)'!$AJ$25:$BC$126,,MATCH(AH$8,'Калькуляция (5.9)'!$AJ$8:$BC$8,0)),'Калькуляция (5.9)'!$F$25:$F$126,$F37,'Калькуляция (5.9)'!$G$25:$G$126,$G37))</f>
        <v>0</v>
      </c>
      <c r="AI37" s="314">
        <f ca="1">IF(AG37=0,0,(AH37-AG37)/AG37*100)</f>
        <v>0</v>
      </c>
      <c r="AJ37" s="1260">
        <f ca="1">IF(method_reg="Метод сравнения аналогов",SUMIFS(INDEX('Калькуляция (МСА)'!$AE$25:$BC$82,,MATCH(AJ$8,'Калькуляция (МСА)'!$AE$8:$BC$8,0)),'Калькуляция (МСА)'!$F$25:$F$82,$F37,'Калькуляция (МСА)'!$G$25:$G$82,$G37),SUMIFS(INDEX('Калькуляция (5.9)'!$AJ$25:$BC$126,,MATCH(AJ$8,'Калькуляция (5.9)'!$AJ$8:$BC$8,0)),'Калькуляция (5.9)'!$F$25:$F$126,$F37,'Калькуляция (5.9)'!$G$25:$G$126,$G37))</f>
        <v>0</v>
      </c>
      <c r="AK37" s="1260">
        <f ca="1">IF(method_reg="Метод сравнения аналогов",SUMIFS(INDEX('Калькуляция (МСА)'!$AE$25:$BC$82,,MATCH(AK$8,'Калькуляция (МСА)'!$AE$8:$BC$8,0)),'Калькуляция (МСА)'!$F$25:$F$82,$F37,'Калькуляция (МСА)'!$G$25:$G$82,$G37),SUMIFS(INDEX('Калькуляция (5.9)'!$AJ$25:$BC$126,,MATCH(AK$8,'Калькуляция (5.9)'!$AJ$8:$BC$8,0)),'Калькуляция (5.9)'!$F$25:$F$126,$F37,'Калькуляция (5.9)'!$G$25:$G$126,$G37))</f>
        <v>0</v>
      </c>
      <c r="AL37" s="314">
        <f ca="1">IF(AJ37=0,0,(AK37-AJ37)/AJ37*100)</f>
        <v>0</v>
      </c>
      <c r="AM37" s="87">
        <f ca="1">IF(method_reg="Метод сравнения аналогов",SUMIFS(INDEX('Калькуляция (МСА)'!$AE$25:$BC$82,,MATCH(AM$8,'Калькуляция (МСА)'!$AE$8:$BC$8,0)),'Калькуляция (МСА)'!$F$25:$F$82,$F37,'Калькуляция (МСА)'!$G$25:$G$82,$G37),SUMIFS(INDEX('Калькуляция (5.9)'!$AJ$25:$BC$126,,MATCH(AM$8,'Калькуляция (5.9)'!$AJ$8:$BC$8,0)),'Калькуляция (5.9)'!$F$25:$F$126,$F37,'Калькуляция (5.9)'!$G$25:$G$126,$G37))</f>
        <v>0</v>
      </c>
      <c r="AN37" s="87">
        <f ca="1">IF(method_reg="Метод сравнения аналогов",SUMIFS(INDEX('Калькуляция (МСА)'!$AE$25:$BC$82,,MATCH(AN$8,'Калькуляция (МСА)'!$AE$8:$BC$8,0)),'Калькуляция (МСА)'!$F$25:$F$82,$F37,'Калькуляция (МСА)'!$G$25:$G$82,$G37),SUMIFS(INDEX('Калькуляция (5.9)'!$AJ$25:$BC$126,,MATCH(AN$8,'Калькуляция (5.9)'!$AJ$8:$BC$8,0)),'Калькуляция (5.9)'!$F$25:$F$126,$F37,'Калькуляция (5.9)'!$G$25:$G$126,$G37))</f>
        <v>0</v>
      </c>
      <c r="AO37" s="314">
        <f ca="1">IF(AM37=0,0,(AN37-AM37)/AM37*100)</f>
        <v>0</v>
      </c>
      <c r="AP37" s="87">
        <f ca="1">IF(method_reg="Метод сравнения аналогов",SUMIFS(INDEX('Калькуляция (МСА)'!$AE$25:$BC$82,,MATCH(AP$8,'Калькуляция (МСА)'!$AE$8:$BC$8,0)),'Калькуляция (МСА)'!$F$25:$F$82,$F37,'Калькуляция (МСА)'!$G$25:$G$82,$G37),SUMIFS(INDEX('Калькуляция (5.9)'!$AJ$25:$BC$126,,MATCH(AP$8,'Калькуляция (5.9)'!$AJ$8:$BC$8,0)),'Калькуляция (5.9)'!$F$25:$F$126,$F37,'Калькуляция (5.9)'!$G$25:$G$126,$G37))</f>
        <v>0</v>
      </c>
      <c r="AQ37" s="87">
        <f ca="1">IF(method_reg="Метод сравнения аналогов",SUMIFS(INDEX('Калькуляция (МСА)'!$AE$25:$BC$82,,MATCH(AQ$8,'Калькуляция (МСА)'!$AE$8:$BC$8,0)),'Калькуляция (МСА)'!$F$25:$F$82,$F37,'Калькуляция (МСА)'!$G$25:$G$82,$G37),SUMIFS(INDEX('Калькуляция (5.9)'!$AJ$25:$BC$126,,MATCH(AQ$8,'Калькуляция (5.9)'!$AJ$8:$BC$8,0)),'Калькуляция (5.9)'!$F$25:$F$126,$F37,'Калькуляция (5.9)'!$G$25:$G$126,$G37))</f>
        <v>0</v>
      </c>
      <c r="AR37" s="314">
        <f ca="1">IF(AP37=0,0,(AQ37-AP37)/AP37*100)</f>
        <v>0</v>
      </c>
      <c r="AS37" s="87">
        <f ca="1">IF(method_reg="Метод сравнения аналогов",SUMIFS(INDEX('Калькуляция (МСА)'!$AE$25:$BC$82,,MATCH(AS$8,'Калькуляция (МСА)'!$AE$8:$BC$8,0)),'Калькуляция (МСА)'!$F$25:$F$82,$F37,'Калькуляция (МСА)'!$G$25:$G$82,$G37),SUMIFS(INDEX('Калькуляция (5.9)'!$AJ$25:$BC$126,,MATCH(AS$8,'Калькуляция (5.9)'!$AJ$8:$BC$8,0)),'Калькуляция (5.9)'!$F$25:$F$126,$F37,'Калькуляция (5.9)'!$G$25:$G$126,$G37))</f>
        <v>0</v>
      </c>
      <c r="AT37" s="87">
        <f ca="1">IF(method_reg="Метод сравнения аналогов",SUMIFS(INDEX('Калькуляция (МСА)'!$AE$25:$BC$82,,MATCH(AT$8,'Калькуляция (МСА)'!$AE$8:$BC$8,0)),'Калькуляция (МСА)'!$F$25:$F$82,$F37,'Калькуляция (МСА)'!$G$25:$G$82,$G37),SUMIFS(INDEX('Калькуляция (5.9)'!$AJ$25:$BC$126,,MATCH(AT$8,'Калькуляция (5.9)'!$AJ$8:$BC$8,0)),'Калькуляция (5.9)'!$F$25:$F$126,$F37,'Калькуляция (5.9)'!$G$25:$G$126,$G37))</f>
        <v>0</v>
      </c>
      <c r="AU37" s="314">
        <f ca="1">IF(AS37=0,0,(AT37-AS37)/AS37*100)</f>
        <v>0</v>
      </c>
      <c r="AV37" s="87">
        <f ca="1">IF(method_reg="Метод сравнения аналогов",SUMIFS(INDEX('Калькуляция (МСА)'!$AE$25:$BC$82,,MATCH(AV$8,'Калькуляция (МСА)'!$AE$8:$BC$8,0)),'Калькуляция (МСА)'!$F$25:$F$82,$F37,'Калькуляция (МСА)'!$G$25:$G$82,$G37),SUMIFS(INDEX('Калькуляция (5.9)'!$AJ$25:$BC$126,,MATCH(AV$8,'Калькуляция (5.9)'!$AJ$8:$BC$8,0)),'Калькуляция (5.9)'!$F$25:$F$126,$F37,'Калькуляция (5.9)'!$G$25:$G$126,$G37))</f>
        <v>0</v>
      </c>
      <c r="AW37" s="87">
        <f ca="1">IF(method_reg="Метод сравнения аналогов",SUMIFS(INDEX('Калькуляция (МСА)'!$AE$25:$BC$82,,MATCH(AW$8,'Калькуляция (МСА)'!$AE$8:$BC$8,0)),'Калькуляция (МСА)'!$F$25:$F$82,$F37,'Калькуляция (МСА)'!$G$25:$G$82,$G37),SUMIFS(INDEX('Калькуляция (5.9)'!$AJ$25:$BC$126,,MATCH(AW$8,'Калькуляция (5.9)'!$AJ$8:$BC$8,0)),'Калькуляция (5.9)'!$F$25:$F$126,$F37,'Калькуляция (5.9)'!$G$25:$G$126,$G37))</f>
        <v>0</v>
      </c>
      <c r="AX37" s="314">
        <f ca="1">IF(AV37=0,0,(AW37-AV37)/AV37*100)</f>
        <v>0</v>
      </c>
      <c r="AY37" s="87">
        <f ca="1">IF(method_reg="Метод сравнения аналогов",SUMIFS(INDEX('Калькуляция (МСА)'!$AE$25:$BC$82,,MATCH(AY$8,'Калькуляция (МСА)'!$AE$8:$BC$8,0)),'Калькуляция (МСА)'!$F$25:$F$82,$F37,'Калькуляция (МСА)'!$G$25:$G$82,$G37),SUMIFS(INDEX('Калькуляция (5.9)'!$AJ$25:$BC$126,,MATCH(AY$8,'Калькуляция (5.9)'!$AJ$8:$BC$8,0)),'Калькуляция (5.9)'!$F$25:$F$126,$F37,'Калькуляция (5.9)'!$G$25:$G$126,$G37))</f>
        <v>0</v>
      </c>
      <c r="AZ37" s="87">
        <f ca="1">IF(method_reg="Метод сравнения аналогов",SUMIFS(INDEX('Калькуляция (МСА)'!$AE$25:$BC$82,,MATCH(AZ$8,'Калькуляция (МСА)'!$AE$8:$BC$8,0)),'Калькуляция (МСА)'!$F$25:$F$82,$F37,'Калькуляция (МСА)'!$G$25:$G$82,$G37),SUMIFS(INDEX('Калькуляция (5.9)'!$AJ$25:$BC$126,,MATCH(AZ$8,'Калькуляция (5.9)'!$AJ$8:$BC$8,0)),'Калькуляция (5.9)'!$F$25:$F$126,$F37,'Калькуляция (5.9)'!$G$25:$G$126,$G37))</f>
        <v>0</v>
      </c>
      <c r="BA37" s="314">
        <f ca="1">IF(AY37=0,0,(AZ37-AY37)/AY37*100)</f>
        <v>0</v>
      </c>
      <c r="BB37" s="87">
        <f ca="1">IF(method_reg="Метод сравнения аналогов",SUMIFS(INDEX('Калькуляция (МСА)'!$AE$25:$BC$82,,MATCH(BB$8,'Калькуляция (МСА)'!$AE$8:$BC$8,0)),'Калькуляция (МСА)'!$F$25:$F$82,$F37,'Калькуляция (МСА)'!$G$25:$G$82,$G37),SUMIFS(INDEX('Калькуляция (5.9)'!$AJ$25:$BC$126,,MATCH(BB$8,'Калькуляция (5.9)'!$AJ$8:$BC$8,0)),'Калькуляция (5.9)'!$F$25:$F$126,$F37,'Калькуляция (5.9)'!$G$25:$G$126,$G37))</f>
        <v>0</v>
      </c>
      <c r="BC37" s="87">
        <f ca="1">IF(method_reg="Метод сравнения аналогов",SUMIFS(INDEX('Калькуляция (МСА)'!$AE$25:$BC$82,,MATCH(BC$8,'Калькуляция (МСА)'!$AE$8:$BC$8,0)),'Калькуляция (МСА)'!$F$25:$F$82,$F37,'Калькуляция (МСА)'!$G$25:$G$82,$G37),SUMIFS(INDEX('Калькуляция (5.9)'!$AJ$25:$BC$126,,MATCH(BC$8,'Калькуляция (5.9)'!$AJ$8:$BC$8,0)),'Калькуляция (5.9)'!$F$25:$F$126,$F37,'Калькуляция (5.9)'!$G$25:$G$126,$G37))</f>
        <v>0</v>
      </c>
      <c r="BD37" s="314">
        <f ca="1">IF(BB37=0,0,(BC37-BB37)/BB37*100)</f>
        <v>0</v>
      </c>
      <c r="BE37" s="87">
        <f ca="1">IF(method_reg="Метод сравнения аналогов",SUMIFS(INDEX('Калькуляция (МСА)'!$AE$25:$BC$82,,MATCH(BE$8,'Калькуляция (МСА)'!$AE$8:$BC$8,0)),'Калькуляция (МСА)'!$F$25:$F$82,$F37,'Калькуляция (МСА)'!$G$25:$G$82,$G37),SUMIFS(INDEX('Калькуляция (5.9)'!$AJ$25:$BC$126,,MATCH(BE$8,'Калькуляция (5.9)'!$AJ$8:$BC$8,0)),'Калькуляция (5.9)'!$F$25:$F$126,$F37,'Калькуляция (5.9)'!$G$25:$G$126,$G37))</f>
        <v>0</v>
      </c>
      <c r="BF37" s="87">
        <f ca="1">IF(method_reg="Метод сравнения аналогов",SUMIFS(INDEX('Калькуляция (МСА)'!$AE$25:$BC$82,,MATCH(BF$8,'Калькуляция (МСА)'!$AE$8:$BC$8,0)),'Калькуляция (МСА)'!$F$25:$F$82,$F37,'Калькуляция (МСА)'!$G$25:$G$82,$G37),SUMIFS(INDEX('Калькуляция (5.9)'!$AJ$25:$BC$126,,MATCH(BF$8,'Калькуляция (5.9)'!$AJ$8:$BC$8,0)),'Калькуляция (5.9)'!$F$25:$F$126,$F37,'Калькуляция (5.9)'!$G$25:$G$126,$G37))</f>
        <v>0</v>
      </c>
      <c r="BG37" s="314">
        <f ca="1">IF(BE37=0,0,(BF37-BE37)/BE37*100)</f>
        <v>0</v>
      </c>
      <c r="BH37" s="87"/>
      <c r="BI37" s="87"/>
      <c r="BJ37" s="314">
        <f>IF(BH37=0,0,(BI37-BH37)/BH37*100)</f>
        <v>0</v>
      </c>
      <c r="BK37" s="87"/>
      <c r="BL37" s="87"/>
      <c r="BM37" s="314">
        <f>IF(BK37=0,0,(BL37-BK37)/BK37*100)</f>
        <v>0</v>
      </c>
      <c r="BN37" s="87"/>
      <c r="BO37" s="87"/>
      <c r="BP37" s="314">
        <f>IF(BN37=0,0,(BO37-BN37)/BN37*100)</f>
        <v>0</v>
      </c>
      <c r="BQ37" s="87"/>
      <c r="BR37" s="87"/>
      <c r="BS37" s="314">
        <f>IF(BQ37=0,0,(BR37-BQ37)/BQ37*100)</f>
        <v>0</v>
      </c>
      <c r="BT37" s="87"/>
      <c r="BU37" s="87"/>
      <c r="BV37" s="314">
        <f>IF(BT37=0,0,(BU37-BT37)/BT37*100)</f>
        <v>0</v>
      </c>
      <c r="BW37" s="87"/>
      <c r="BX37" s="87"/>
      <c r="BY37" s="314">
        <f>IF(BW37=0,0,(BX37-BW37)/BW37*100)</f>
        <v>0</v>
      </c>
      <c r="BZ37" s="87"/>
      <c r="CA37" s="87"/>
      <c r="CB37" s="314">
        <f>IF(BZ37=0,0,(CA37-BZ37)/BZ37*100)</f>
        <v>0</v>
      </c>
      <c r="CC37" s="87"/>
      <c r="CD37" s="87"/>
      <c r="CE37" s="314">
        <f>IF(CC37=0,0,(CD37-CC37)/CC37*100)</f>
        <v>0</v>
      </c>
      <c r="CF37" s="87"/>
      <c r="CG37" s="87"/>
      <c r="CH37" s="314">
        <f>IF(CF37=0,0,(CG37-CF37)/CF37*100)</f>
        <v>0</v>
      </c>
      <c r="CI37" s="87"/>
      <c r="CJ37" s="87"/>
      <c r="CK37" s="314">
        <f>IF(CI37=0,0,(CJ37-CI37)/CI37*100)</f>
        <v>0</v>
      </c>
      <c r="CL37" s="87"/>
      <c r="CM37" s="87"/>
      <c r="CN37" s="314">
        <f>IF(CL37=0,0,(CM37-CL37)/CL37*100)</f>
        <v>0</v>
      </c>
      <c r="CO37" s="87"/>
      <c r="CP37" s="87"/>
      <c r="CQ37" s="314">
        <f>IF(CO37=0,0,(CP37-CO37)/CO37*100)</f>
        <v>0</v>
      </c>
      <c r="CR37" s="87"/>
      <c r="CS37" s="87"/>
      <c r="CT37" s="314">
        <f>IF(CR37=0,0,(CS37-CR37)/CR37*100)</f>
        <v>0</v>
      </c>
      <c r="CU37" s="87"/>
      <c r="CV37" s="87"/>
      <c r="CW37" s="314">
        <f>IF(CU37=0,0,(CV37-CU37)/CU37*100)</f>
        <v>0</v>
      </c>
      <c r="CX37" s="87"/>
      <c r="CY37" s="87"/>
      <c r="CZ37" s="314">
        <f>IF(CX37=0,0,(CY37-CX37)/CX37*100)</f>
        <v>0</v>
      </c>
      <c r="DA37" s="87"/>
      <c r="DB37" s="87"/>
      <c r="DC37" s="314">
        <f>IF(DA37=0,0,(DB37-DA37)/DA37*100)</f>
        <v>0</v>
      </c>
      <c r="DD37" s="87"/>
      <c r="DE37" s="87"/>
      <c r="DF37" s="314">
        <f>IF(DD37=0,0,(DE37-DD37)/DD37*100)</f>
        <v>0</v>
      </c>
      <c r="DG37" s="87"/>
      <c r="DH37" s="87"/>
      <c r="DI37" s="314">
        <f>IF(DG37=0,0,(DH37-DG37)/DG37*100)</f>
        <v>0</v>
      </c>
      <c r="DJ37" s="87"/>
      <c r="DK37" s="87"/>
      <c r="DL37" s="314">
        <f>IF(DJ37=0,0,(DK37-DJ37)/DJ37*100)</f>
        <v>0</v>
      </c>
      <c r="DM37" s="87"/>
      <c r="DN37" s="87"/>
      <c r="DO37" s="314">
        <f>IF(DM37=0,0,(DN37-DM37)/DM37*100)</f>
        <v>0</v>
      </c>
      <c r="DP37" s="87"/>
      <c r="DQ37" s="87"/>
      <c r="DR37" s="314">
        <f>IF(DP37=0,0,(DQ37-DP37)/DP37*100)</f>
        <v>0</v>
      </c>
      <c r="DS37" s="87"/>
      <c r="DT37" s="87"/>
      <c r="DU37" s="314">
        <f>IF(DS37=0,0,(DT37-DS37)/DS37*100)</f>
        <v>0</v>
      </c>
      <c r="DV37" s="87"/>
      <c r="DW37" s="87"/>
      <c r="DX37" s="314">
        <f>IF(DV37=0,0,(DW37-DV37)/DV37*100)</f>
        <v>0</v>
      </c>
      <c r="DY37" s="87"/>
      <c r="DZ37" s="87"/>
      <c r="EA37" s="314">
        <f>IF(DY37=0,0,(DZ37-DY37)/DY37*100)</f>
        <v>0</v>
      </c>
      <c r="EB37" s="87"/>
      <c r="EC37" s="87"/>
      <c r="ED37" s="314">
        <f>IF(EB37=0,0,(EC37-EB37)/EB37*100)</f>
        <v>0</v>
      </c>
      <c r="EE37" s="87"/>
      <c r="EF37" s="87"/>
      <c r="EG37" s="314">
        <f>IF(EE37=0,0,(EF37-EE37)/EE37*100)</f>
        <v>0</v>
      </c>
      <c r="EH37" s="87"/>
      <c r="EI37" s="87"/>
      <c r="EJ37" s="314">
        <f>IF(EH37=0,0,(EI37-EH37)/EH37*100)</f>
        <v>0</v>
      </c>
      <c r="EK37" s="87"/>
      <c r="EL37" s="87"/>
      <c r="EM37" s="314">
        <f>IF(EK37=0,0,(EL37-EK37)/EK37*100)</f>
        <v>0</v>
      </c>
      <c r="EN37" s="87"/>
      <c r="EO37" s="87"/>
      <c r="EP37" s="314">
        <f>IF(EN37=0,0,(EO37-EN37)/EN37*100)</f>
        <v>0</v>
      </c>
      <c r="EQ37" s="87"/>
      <c r="ER37" s="87"/>
      <c r="ES37" s="314">
        <f>IF(EQ37=0,0,(ER37-EQ37)/EQ37*100)</f>
        <v>0</v>
      </c>
      <c r="ET37" s="87"/>
      <c r="EU37" s="87"/>
      <c r="EV37" s="314">
        <f>IF(ET37=0,0,(EU37-ET37)/ET37*100)</f>
        <v>0</v>
      </c>
      <c r="EW37" s="87"/>
      <c r="EX37" s="87"/>
      <c r="EY37" s="314">
        <f>IF(EW37=0,0,(EX37-EW37)/EW37*100)</f>
        <v>0</v>
      </c>
      <c r="EZ37" s="87"/>
      <c r="FA37" s="87"/>
      <c r="FB37" s="314">
        <f>IF(EZ37=0,0,(FA37-EZ37)/EZ37*100)</f>
        <v>0</v>
      </c>
      <c r="FC37" s="87"/>
      <c r="FD37" s="87"/>
      <c r="FE37" s="314">
        <f>IF(FC37=0,0,(FD37-FC37)/FC37*100)</f>
        <v>0</v>
      </c>
      <c r="FF37" s="87"/>
      <c r="FG37" s="87"/>
      <c r="FH37" s="314">
        <f>IF(FF37=0,0,(FG37-FF37)/FF37*100)</f>
        <v>0</v>
      </c>
      <c r="FI37" s="87"/>
      <c r="FJ37" s="87"/>
      <c r="FK37" s="314">
        <f>IF(FI37=0,0,(FJ37-FI37)/FI37*100)</f>
        <v>0</v>
      </c>
      <c r="FL37" s="87"/>
      <c r="FM37" s="87"/>
      <c r="FN37" s="314">
        <f>IF(FL37=0,0,(FM37-FL37)/FL37*100)</f>
        <v>0</v>
      </c>
      <c r="FO37" s="87"/>
      <c r="FP37" s="87"/>
      <c r="FQ37" s="314">
        <f>IF(FO37=0,0,(FP37-FO37)/FO37*100)</f>
        <v>0</v>
      </c>
      <c r="FR37" s="87"/>
      <c r="FS37" s="87"/>
      <c r="FT37" s="314">
        <f>IF(FR37=0,0,(FS37-FR37)/FR37*100)</f>
        <v>0</v>
      </c>
      <c r="FU37" s="87"/>
      <c r="FV37" s="87"/>
      <c r="FW37" s="314">
        <f>IF(FU37=0,0,(FV37-FU37)/FU37*100)</f>
        <v>0</v>
      </c>
      <c r="FZ37" s="912" t="s">
        <v>1666</v>
      </c>
      <c r="GA37" s="930"/>
      <c r="GB37" s="930"/>
      <c r="GC37" s="930"/>
      <c r="GD37" s="930"/>
    </row>
    <row r="38" spans="1:186" ht="16.7" hidden="1" customHeight="1">
      <c r="B38" s="749" t="b">
        <f t="shared" si="22"/>
        <v>1</v>
      </c>
      <c r="E38" s="623">
        <v>17.100000000000001</v>
      </c>
      <c r="F38" s="714">
        <f t="shared" ca="1" si="20"/>
        <v>0</v>
      </c>
      <c r="G38" s="130" t="s">
        <v>1448</v>
      </c>
      <c r="Q38" s="394"/>
      <c r="T38" s="634" t="b">
        <f t="shared" si="21"/>
        <v>0</v>
      </c>
      <c r="X38" s="1405"/>
      <c r="Z38" s="1405"/>
      <c r="AB38" s="223" t="s">
        <v>1449</v>
      </c>
      <c r="AC38" s="110" t="s">
        <v>491</v>
      </c>
      <c r="AD38" s="87">
        <f ca="1">IF(method_reg="Метод экономически обоснованных расходов",SUMIFS('Калькуляция (6.6)'!AJ$25:AJ$133,'Калькуляция (6.6)'!$F$25:$F$133,$F38,'Калькуляция (6.6)'!$G$25:$G$133,$G38),IF(method_reg="Метод сравнения аналогов",SUMIFS(INDEX('Калькуляция (МСА)'!$AE$25:$BC$82,,MATCH(AD$8,'Калькуляция (МСА)'!$AE$8:$BC$8,0)),'Калькуляция (МСА)'!$F$25:$F$82,$F38,'Калькуляция (МСА)'!$G$25:$G$82,$G38),SUMIFS(INDEX('Калькуляция (5.9)'!$AJ$25:$BC$126,,MATCH(AD$8,'Калькуляция (5.9)'!$AJ$8:$BC$8,0)),'Калькуляция (5.9)'!$F$25:$F$126,$F38,'Калькуляция (5.9)'!$G$25:$G$126,$G38)))</f>
        <v>0</v>
      </c>
      <c r="AE38" s="87">
        <f ca="1">IF(method_reg="Метод экономически обоснованных расходов",SUMIFS('Калькуляция (6.6)'!AK$25:AK$133,'Калькуляция (6.6)'!$F$25:$F$133,$F38,'Калькуляция (6.6)'!$G$25:$G$133,$G38),IF(method_reg="Метод сравнения аналогов",SUMIFS(INDEX('Калькуляция (МСА)'!$AE$25:$BC$82,,MATCH(AE$8,'Калькуляция (МСА)'!$AE$8:$BC$8,0)),'Калькуляция (МСА)'!$F$25:$F$82,$F38,'Калькуляция (МСА)'!$G$25:$G$82,$G38),SUMIFS(INDEX('Калькуляция (5.9)'!$AJ$25:$BC$126,,MATCH(AE$8,'Калькуляция (5.9)'!$AJ$8:$BC$8,0)),'Калькуляция (5.9)'!$F$25:$F$126,$F38,'Калькуляция (5.9)'!$G$25:$G$126,$G38)))</f>
        <v>0</v>
      </c>
      <c r="AF38" s="314">
        <f ca="1">IF(AD38=0,0,(AE38-AD38)/AD38*100)</f>
        <v>0</v>
      </c>
      <c r="AG38" s="1260">
        <f ca="1">IF(method_reg="Метод сравнения аналогов",SUMIFS(INDEX('Калькуляция (МСА)'!$AE$25:$BC$82,,MATCH(AG$8,'Калькуляция (МСА)'!$AE$8:$BC$8,0)),'Калькуляция (МСА)'!$F$25:$F$82,$F38,'Калькуляция (МСА)'!$G$25:$G$82,$G38),SUMIFS(INDEX('Калькуляция (5.9)'!$AJ$25:$BC$126,,MATCH(AG$8,'Калькуляция (5.9)'!$AJ$8:$BC$8,0)),'Калькуляция (5.9)'!$F$25:$F$126,$F38,'Калькуляция (5.9)'!$G$25:$G$126,$G38))</f>
        <v>0</v>
      </c>
      <c r="AH38" s="1260">
        <f ca="1">IF(method_reg="Метод сравнения аналогов",SUMIFS(INDEX('Калькуляция (МСА)'!$AE$25:$BC$82,,MATCH(AH$8,'Калькуляция (МСА)'!$AE$8:$BC$8,0)),'Калькуляция (МСА)'!$F$25:$F$82,$F38,'Калькуляция (МСА)'!$G$25:$G$82,$G38),SUMIFS(INDEX('Калькуляция (5.9)'!$AJ$25:$BC$126,,MATCH(AH$8,'Калькуляция (5.9)'!$AJ$8:$BC$8,0)),'Калькуляция (5.9)'!$F$25:$F$126,$F38,'Калькуляция (5.9)'!$G$25:$G$126,$G38))</f>
        <v>0</v>
      </c>
      <c r="AI38" s="314">
        <f ca="1">IF(AG38=0,0,(AH38-AG38)/AG38*100)</f>
        <v>0</v>
      </c>
      <c r="AJ38" s="1260">
        <f ca="1">IF(method_reg="Метод сравнения аналогов",SUMIFS(INDEX('Калькуляция (МСА)'!$AE$25:$BC$82,,MATCH(AJ$8,'Калькуляция (МСА)'!$AE$8:$BC$8,0)),'Калькуляция (МСА)'!$F$25:$F$82,$F38,'Калькуляция (МСА)'!$G$25:$G$82,$G38),SUMIFS(INDEX('Калькуляция (5.9)'!$AJ$25:$BC$126,,MATCH(AJ$8,'Калькуляция (5.9)'!$AJ$8:$BC$8,0)),'Калькуляция (5.9)'!$F$25:$F$126,$F38,'Калькуляция (5.9)'!$G$25:$G$126,$G38))</f>
        <v>0</v>
      </c>
      <c r="AK38" s="1260">
        <f ca="1">IF(method_reg="Метод сравнения аналогов",SUMIFS(INDEX('Калькуляция (МСА)'!$AE$25:$BC$82,,MATCH(AK$8,'Калькуляция (МСА)'!$AE$8:$BC$8,0)),'Калькуляция (МСА)'!$F$25:$F$82,$F38,'Калькуляция (МСА)'!$G$25:$G$82,$G38),SUMIFS(INDEX('Калькуляция (5.9)'!$AJ$25:$BC$126,,MATCH(AK$8,'Калькуляция (5.9)'!$AJ$8:$BC$8,0)),'Калькуляция (5.9)'!$F$25:$F$126,$F38,'Калькуляция (5.9)'!$G$25:$G$126,$G38))</f>
        <v>0</v>
      </c>
      <c r="AL38" s="314">
        <f ca="1">IF(AJ38=0,0,(AK38-AJ38)/AJ38*100)</f>
        <v>0</v>
      </c>
      <c r="AM38" s="87">
        <f ca="1">IF(method_reg="Метод сравнения аналогов",SUMIFS(INDEX('Калькуляция (МСА)'!$AE$25:$BC$82,,MATCH(AM$8,'Калькуляция (МСА)'!$AE$8:$BC$8,0)),'Калькуляция (МСА)'!$F$25:$F$82,$F38,'Калькуляция (МСА)'!$G$25:$G$82,$G38),SUMIFS(INDEX('Калькуляция (5.9)'!$AJ$25:$BC$126,,MATCH(AM$8,'Калькуляция (5.9)'!$AJ$8:$BC$8,0)),'Калькуляция (5.9)'!$F$25:$F$126,$F38,'Калькуляция (5.9)'!$G$25:$G$126,$G38))</f>
        <v>0</v>
      </c>
      <c r="AN38" s="87">
        <f ca="1">IF(method_reg="Метод сравнения аналогов",SUMIFS(INDEX('Калькуляция (МСА)'!$AE$25:$BC$82,,MATCH(AN$8,'Калькуляция (МСА)'!$AE$8:$BC$8,0)),'Калькуляция (МСА)'!$F$25:$F$82,$F38,'Калькуляция (МСА)'!$G$25:$G$82,$G38),SUMIFS(INDEX('Калькуляция (5.9)'!$AJ$25:$BC$126,,MATCH(AN$8,'Калькуляция (5.9)'!$AJ$8:$BC$8,0)),'Калькуляция (5.9)'!$F$25:$F$126,$F38,'Калькуляция (5.9)'!$G$25:$G$126,$G38))</f>
        <v>0</v>
      </c>
      <c r="AO38" s="314">
        <f ca="1">IF(AM38=0,0,(AN38-AM38)/AM38*100)</f>
        <v>0</v>
      </c>
      <c r="AP38" s="87">
        <f ca="1">IF(method_reg="Метод сравнения аналогов",SUMIFS(INDEX('Калькуляция (МСА)'!$AE$25:$BC$82,,MATCH(AP$8,'Калькуляция (МСА)'!$AE$8:$BC$8,0)),'Калькуляция (МСА)'!$F$25:$F$82,$F38,'Калькуляция (МСА)'!$G$25:$G$82,$G38),SUMIFS(INDEX('Калькуляция (5.9)'!$AJ$25:$BC$126,,MATCH(AP$8,'Калькуляция (5.9)'!$AJ$8:$BC$8,0)),'Калькуляция (5.9)'!$F$25:$F$126,$F38,'Калькуляция (5.9)'!$G$25:$G$126,$G38))</f>
        <v>0</v>
      </c>
      <c r="AQ38" s="87">
        <f ca="1">IF(method_reg="Метод сравнения аналогов",SUMIFS(INDEX('Калькуляция (МСА)'!$AE$25:$BC$82,,MATCH(AQ$8,'Калькуляция (МСА)'!$AE$8:$BC$8,0)),'Калькуляция (МСА)'!$F$25:$F$82,$F38,'Калькуляция (МСА)'!$G$25:$G$82,$G38),SUMIFS(INDEX('Калькуляция (5.9)'!$AJ$25:$BC$126,,MATCH(AQ$8,'Калькуляция (5.9)'!$AJ$8:$BC$8,0)),'Калькуляция (5.9)'!$F$25:$F$126,$F38,'Калькуляция (5.9)'!$G$25:$G$126,$G38))</f>
        <v>0</v>
      </c>
      <c r="AR38" s="314">
        <f ca="1">IF(AP38=0,0,(AQ38-AP38)/AP38*100)</f>
        <v>0</v>
      </c>
      <c r="AS38" s="87">
        <f ca="1">IF(method_reg="Метод сравнения аналогов",SUMIFS(INDEX('Калькуляция (МСА)'!$AE$25:$BC$82,,MATCH(AS$8,'Калькуляция (МСА)'!$AE$8:$BC$8,0)),'Калькуляция (МСА)'!$F$25:$F$82,$F38,'Калькуляция (МСА)'!$G$25:$G$82,$G38),SUMIFS(INDEX('Калькуляция (5.9)'!$AJ$25:$BC$126,,MATCH(AS$8,'Калькуляция (5.9)'!$AJ$8:$BC$8,0)),'Калькуляция (5.9)'!$F$25:$F$126,$F38,'Калькуляция (5.9)'!$G$25:$G$126,$G38))</f>
        <v>0</v>
      </c>
      <c r="AT38" s="87">
        <f ca="1">IF(method_reg="Метод сравнения аналогов",SUMIFS(INDEX('Калькуляция (МСА)'!$AE$25:$BC$82,,MATCH(AT$8,'Калькуляция (МСА)'!$AE$8:$BC$8,0)),'Калькуляция (МСА)'!$F$25:$F$82,$F38,'Калькуляция (МСА)'!$G$25:$G$82,$G38),SUMIFS(INDEX('Калькуляция (5.9)'!$AJ$25:$BC$126,,MATCH(AT$8,'Калькуляция (5.9)'!$AJ$8:$BC$8,0)),'Калькуляция (5.9)'!$F$25:$F$126,$F38,'Калькуляция (5.9)'!$G$25:$G$126,$G38))</f>
        <v>0</v>
      </c>
      <c r="AU38" s="314">
        <f ca="1">IF(AS38=0,0,(AT38-AS38)/AS38*100)</f>
        <v>0</v>
      </c>
      <c r="AV38" s="87">
        <f ca="1">IF(method_reg="Метод сравнения аналогов",SUMIFS(INDEX('Калькуляция (МСА)'!$AE$25:$BC$82,,MATCH(AV$8,'Калькуляция (МСА)'!$AE$8:$BC$8,0)),'Калькуляция (МСА)'!$F$25:$F$82,$F38,'Калькуляция (МСА)'!$G$25:$G$82,$G38),SUMIFS(INDEX('Калькуляция (5.9)'!$AJ$25:$BC$126,,MATCH(AV$8,'Калькуляция (5.9)'!$AJ$8:$BC$8,0)),'Калькуляция (5.9)'!$F$25:$F$126,$F38,'Калькуляция (5.9)'!$G$25:$G$126,$G38))</f>
        <v>0</v>
      </c>
      <c r="AW38" s="87">
        <f ca="1">IF(method_reg="Метод сравнения аналогов",SUMIFS(INDEX('Калькуляция (МСА)'!$AE$25:$BC$82,,MATCH(AW$8,'Калькуляция (МСА)'!$AE$8:$BC$8,0)),'Калькуляция (МСА)'!$F$25:$F$82,$F38,'Калькуляция (МСА)'!$G$25:$G$82,$G38),SUMIFS(INDEX('Калькуляция (5.9)'!$AJ$25:$BC$126,,MATCH(AW$8,'Калькуляция (5.9)'!$AJ$8:$BC$8,0)),'Калькуляция (5.9)'!$F$25:$F$126,$F38,'Калькуляция (5.9)'!$G$25:$G$126,$G38))</f>
        <v>0</v>
      </c>
      <c r="AX38" s="314">
        <f ca="1">IF(AV38=0,0,(AW38-AV38)/AV38*100)</f>
        <v>0</v>
      </c>
      <c r="AY38" s="87">
        <f ca="1">IF(method_reg="Метод сравнения аналогов",SUMIFS(INDEX('Калькуляция (МСА)'!$AE$25:$BC$82,,MATCH(AY$8,'Калькуляция (МСА)'!$AE$8:$BC$8,0)),'Калькуляция (МСА)'!$F$25:$F$82,$F38,'Калькуляция (МСА)'!$G$25:$G$82,$G38),SUMIFS(INDEX('Калькуляция (5.9)'!$AJ$25:$BC$126,,MATCH(AY$8,'Калькуляция (5.9)'!$AJ$8:$BC$8,0)),'Калькуляция (5.9)'!$F$25:$F$126,$F38,'Калькуляция (5.9)'!$G$25:$G$126,$G38))</f>
        <v>0</v>
      </c>
      <c r="AZ38" s="87">
        <f ca="1">IF(method_reg="Метод сравнения аналогов",SUMIFS(INDEX('Калькуляция (МСА)'!$AE$25:$BC$82,,MATCH(AZ$8,'Калькуляция (МСА)'!$AE$8:$BC$8,0)),'Калькуляция (МСА)'!$F$25:$F$82,$F38,'Калькуляция (МСА)'!$G$25:$G$82,$G38),SUMIFS(INDEX('Калькуляция (5.9)'!$AJ$25:$BC$126,,MATCH(AZ$8,'Калькуляция (5.9)'!$AJ$8:$BC$8,0)),'Калькуляция (5.9)'!$F$25:$F$126,$F38,'Калькуляция (5.9)'!$G$25:$G$126,$G38))</f>
        <v>0</v>
      </c>
      <c r="BA38" s="314">
        <f ca="1">IF(AY38=0,0,(AZ38-AY38)/AY38*100)</f>
        <v>0</v>
      </c>
      <c r="BB38" s="87">
        <f ca="1">IF(method_reg="Метод сравнения аналогов",SUMIFS(INDEX('Калькуляция (МСА)'!$AE$25:$BC$82,,MATCH(BB$8,'Калькуляция (МСА)'!$AE$8:$BC$8,0)),'Калькуляция (МСА)'!$F$25:$F$82,$F38,'Калькуляция (МСА)'!$G$25:$G$82,$G38),SUMIFS(INDEX('Калькуляция (5.9)'!$AJ$25:$BC$126,,MATCH(BB$8,'Калькуляция (5.9)'!$AJ$8:$BC$8,0)),'Калькуляция (5.9)'!$F$25:$F$126,$F38,'Калькуляция (5.9)'!$G$25:$G$126,$G38))</f>
        <v>0</v>
      </c>
      <c r="BC38" s="87">
        <f ca="1">IF(method_reg="Метод сравнения аналогов",SUMIFS(INDEX('Калькуляция (МСА)'!$AE$25:$BC$82,,MATCH(BC$8,'Калькуляция (МСА)'!$AE$8:$BC$8,0)),'Калькуляция (МСА)'!$F$25:$F$82,$F38,'Калькуляция (МСА)'!$G$25:$G$82,$G38),SUMIFS(INDEX('Калькуляция (5.9)'!$AJ$25:$BC$126,,MATCH(BC$8,'Калькуляция (5.9)'!$AJ$8:$BC$8,0)),'Калькуляция (5.9)'!$F$25:$F$126,$F38,'Калькуляция (5.9)'!$G$25:$G$126,$G38))</f>
        <v>0</v>
      </c>
      <c r="BD38" s="314">
        <f ca="1">IF(BB38=0,0,(BC38-BB38)/BB38*100)</f>
        <v>0</v>
      </c>
      <c r="BE38" s="87">
        <f ca="1">IF(method_reg="Метод сравнения аналогов",SUMIFS(INDEX('Калькуляция (МСА)'!$AE$25:$BC$82,,MATCH(BE$8,'Калькуляция (МСА)'!$AE$8:$BC$8,0)),'Калькуляция (МСА)'!$F$25:$F$82,$F38,'Калькуляция (МСА)'!$G$25:$G$82,$G38),SUMIFS(INDEX('Калькуляция (5.9)'!$AJ$25:$BC$126,,MATCH(BE$8,'Калькуляция (5.9)'!$AJ$8:$BC$8,0)),'Калькуляция (5.9)'!$F$25:$F$126,$F38,'Калькуляция (5.9)'!$G$25:$G$126,$G38))</f>
        <v>0</v>
      </c>
      <c r="BF38" s="87">
        <f ca="1">IF(method_reg="Метод сравнения аналогов",SUMIFS(INDEX('Калькуляция (МСА)'!$AE$25:$BC$82,,MATCH(BF$8,'Калькуляция (МСА)'!$AE$8:$BC$8,0)),'Калькуляция (МСА)'!$F$25:$F$82,$F38,'Калькуляция (МСА)'!$G$25:$G$82,$G38),SUMIFS(INDEX('Калькуляция (5.9)'!$AJ$25:$BC$126,,MATCH(BF$8,'Калькуляция (5.9)'!$AJ$8:$BC$8,0)),'Калькуляция (5.9)'!$F$25:$F$126,$F38,'Калькуляция (5.9)'!$G$25:$G$126,$G38))</f>
        <v>0</v>
      </c>
      <c r="BG38" s="314">
        <f ca="1">IF(BE38=0,0,(BF38-BE38)/BE38*100)</f>
        <v>0</v>
      </c>
      <c r="BH38" s="87"/>
      <c r="BI38" s="87"/>
      <c r="BJ38" s="314">
        <f>IF(BH38=0,0,(BI38-BH38)/BH38*100)</f>
        <v>0</v>
      </c>
      <c r="BK38" s="87"/>
      <c r="BL38" s="87"/>
      <c r="BM38" s="314">
        <f>IF(BK38=0,0,(BL38-BK38)/BK38*100)</f>
        <v>0</v>
      </c>
      <c r="BN38" s="87"/>
      <c r="BO38" s="87"/>
      <c r="BP38" s="314">
        <f>IF(BN38=0,0,(BO38-BN38)/BN38*100)</f>
        <v>0</v>
      </c>
      <c r="BQ38" s="87"/>
      <c r="BR38" s="87"/>
      <c r="BS38" s="314">
        <f>IF(BQ38=0,0,(BR38-BQ38)/BQ38*100)</f>
        <v>0</v>
      </c>
      <c r="BT38" s="87"/>
      <c r="BU38" s="87"/>
      <c r="BV38" s="314">
        <f>IF(BT38=0,0,(BU38-BT38)/BT38*100)</f>
        <v>0</v>
      </c>
      <c r="BW38" s="87"/>
      <c r="BX38" s="87"/>
      <c r="BY38" s="314">
        <f>IF(BW38=0,0,(BX38-BW38)/BW38*100)</f>
        <v>0</v>
      </c>
      <c r="BZ38" s="87"/>
      <c r="CA38" s="87"/>
      <c r="CB38" s="314">
        <f>IF(BZ38=0,0,(CA38-BZ38)/BZ38*100)</f>
        <v>0</v>
      </c>
      <c r="CC38" s="87"/>
      <c r="CD38" s="87"/>
      <c r="CE38" s="314">
        <f>IF(CC38=0,0,(CD38-CC38)/CC38*100)</f>
        <v>0</v>
      </c>
      <c r="CF38" s="87"/>
      <c r="CG38" s="87"/>
      <c r="CH38" s="314">
        <f>IF(CF38=0,0,(CG38-CF38)/CF38*100)</f>
        <v>0</v>
      </c>
      <c r="CI38" s="87"/>
      <c r="CJ38" s="87"/>
      <c r="CK38" s="314">
        <f>IF(CI38=0,0,(CJ38-CI38)/CI38*100)</f>
        <v>0</v>
      </c>
      <c r="CL38" s="87"/>
      <c r="CM38" s="87"/>
      <c r="CN38" s="314">
        <f>IF(CL38=0,0,(CM38-CL38)/CL38*100)</f>
        <v>0</v>
      </c>
      <c r="CO38" s="87"/>
      <c r="CP38" s="87"/>
      <c r="CQ38" s="314">
        <f>IF(CO38=0,0,(CP38-CO38)/CO38*100)</f>
        <v>0</v>
      </c>
      <c r="CR38" s="87"/>
      <c r="CS38" s="87"/>
      <c r="CT38" s="314">
        <f>IF(CR38=0,0,(CS38-CR38)/CR38*100)</f>
        <v>0</v>
      </c>
      <c r="CU38" s="87"/>
      <c r="CV38" s="87"/>
      <c r="CW38" s="314">
        <f>IF(CU38=0,0,(CV38-CU38)/CU38*100)</f>
        <v>0</v>
      </c>
      <c r="CX38" s="87"/>
      <c r="CY38" s="87"/>
      <c r="CZ38" s="314">
        <f>IF(CX38=0,0,(CY38-CX38)/CX38*100)</f>
        <v>0</v>
      </c>
      <c r="DA38" s="87"/>
      <c r="DB38" s="87"/>
      <c r="DC38" s="314">
        <f>IF(DA38=0,0,(DB38-DA38)/DA38*100)</f>
        <v>0</v>
      </c>
      <c r="DD38" s="87"/>
      <c r="DE38" s="87"/>
      <c r="DF38" s="314">
        <f>IF(DD38=0,0,(DE38-DD38)/DD38*100)</f>
        <v>0</v>
      </c>
      <c r="DG38" s="87"/>
      <c r="DH38" s="87"/>
      <c r="DI38" s="314">
        <f>IF(DG38=0,0,(DH38-DG38)/DG38*100)</f>
        <v>0</v>
      </c>
      <c r="DJ38" s="87"/>
      <c r="DK38" s="87"/>
      <c r="DL38" s="314">
        <f>IF(DJ38=0,0,(DK38-DJ38)/DJ38*100)</f>
        <v>0</v>
      </c>
      <c r="DM38" s="87"/>
      <c r="DN38" s="87"/>
      <c r="DO38" s="314">
        <f>IF(DM38=0,0,(DN38-DM38)/DM38*100)</f>
        <v>0</v>
      </c>
      <c r="DP38" s="87"/>
      <c r="DQ38" s="87"/>
      <c r="DR38" s="314">
        <f>IF(DP38=0,0,(DQ38-DP38)/DP38*100)</f>
        <v>0</v>
      </c>
      <c r="DS38" s="87"/>
      <c r="DT38" s="87"/>
      <c r="DU38" s="314">
        <f>IF(DS38=0,0,(DT38-DS38)/DS38*100)</f>
        <v>0</v>
      </c>
      <c r="DV38" s="87"/>
      <c r="DW38" s="87"/>
      <c r="DX38" s="314">
        <f>IF(DV38=0,0,(DW38-DV38)/DV38*100)</f>
        <v>0</v>
      </c>
      <c r="DY38" s="87"/>
      <c r="DZ38" s="87"/>
      <c r="EA38" s="314">
        <f>IF(DY38=0,0,(DZ38-DY38)/DY38*100)</f>
        <v>0</v>
      </c>
      <c r="EB38" s="87"/>
      <c r="EC38" s="87"/>
      <c r="ED38" s="314">
        <f>IF(EB38=0,0,(EC38-EB38)/EB38*100)</f>
        <v>0</v>
      </c>
      <c r="EE38" s="87"/>
      <c r="EF38" s="87"/>
      <c r="EG38" s="314">
        <f>IF(EE38=0,0,(EF38-EE38)/EE38*100)</f>
        <v>0</v>
      </c>
      <c r="EH38" s="87"/>
      <c r="EI38" s="87"/>
      <c r="EJ38" s="314">
        <f>IF(EH38=0,0,(EI38-EH38)/EH38*100)</f>
        <v>0</v>
      </c>
      <c r="EK38" s="87"/>
      <c r="EL38" s="87"/>
      <c r="EM38" s="314">
        <f>IF(EK38=0,0,(EL38-EK38)/EK38*100)</f>
        <v>0</v>
      </c>
      <c r="EN38" s="87"/>
      <c r="EO38" s="87"/>
      <c r="EP38" s="314">
        <f>IF(EN38=0,0,(EO38-EN38)/EN38*100)</f>
        <v>0</v>
      </c>
      <c r="EQ38" s="87"/>
      <c r="ER38" s="87"/>
      <c r="ES38" s="314">
        <f>IF(EQ38=0,0,(ER38-EQ38)/EQ38*100)</f>
        <v>0</v>
      </c>
      <c r="ET38" s="87"/>
      <c r="EU38" s="87"/>
      <c r="EV38" s="314">
        <f>IF(ET38=0,0,(EU38-ET38)/ET38*100)</f>
        <v>0</v>
      </c>
      <c r="EW38" s="87"/>
      <c r="EX38" s="87"/>
      <c r="EY38" s="314">
        <f>IF(EW38=0,0,(EX38-EW38)/EW38*100)</f>
        <v>0</v>
      </c>
      <c r="EZ38" s="87"/>
      <c r="FA38" s="87"/>
      <c r="FB38" s="314">
        <f>IF(EZ38=0,0,(FA38-EZ38)/EZ38*100)</f>
        <v>0</v>
      </c>
      <c r="FC38" s="87"/>
      <c r="FD38" s="87"/>
      <c r="FE38" s="314">
        <f>IF(FC38=0,0,(FD38-FC38)/FC38*100)</f>
        <v>0</v>
      </c>
      <c r="FF38" s="87"/>
      <c r="FG38" s="87"/>
      <c r="FH38" s="314">
        <f>IF(FF38=0,0,(FG38-FF38)/FF38*100)</f>
        <v>0</v>
      </c>
      <c r="FI38" s="87"/>
      <c r="FJ38" s="87"/>
      <c r="FK38" s="314">
        <f>IF(FI38=0,0,(FJ38-FI38)/FI38*100)</f>
        <v>0</v>
      </c>
      <c r="FL38" s="87"/>
      <c r="FM38" s="87"/>
      <c r="FN38" s="314">
        <f>IF(FL38=0,0,(FM38-FL38)/FL38*100)</f>
        <v>0</v>
      </c>
      <c r="FO38" s="87"/>
      <c r="FP38" s="87"/>
      <c r="FQ38" s="314">
        <f>IF(FO38=0,0,(FP38-FO38)/FO38*100)</f>
        <v>0</v>
      </c>
      <c r="FR38" s="87"/>
      <c r="FS38" s="87"/>
      <c r="FT38" s="314">
        <f>IF(FR38=0,0,(FS38-FR38)/FR38*100)</f>
        <v>0</v>
      </c>
      <c r="FU38" s="87"/>
      <c r="FV38" s="87"/>
      <c r="FW38" s="314">
        <f>IF(FU38=0,0,(FV38-FU38)/FU38*100)</f>
        <v>0</v>
      </c>
      <c r="FZ38" s="912" t="s">
        <v>1667</v>
      </c>
      <c r="GA38" s="930"/>
      <c r="GB38" s="930"/>
      <c r="GC38" s="930"/>
      <c r="GD38" s="930"/>
    </row>
    <row r="39" spans="1:186" s="283" customFormat="1" ht="16.7" hidden="1" customHeight="1">
      <c r="B39" s="749" t="b">
        <f t="shared" si="22"/>
        <v>1</v>
      </c>
      <c r="E39" s="623">
        <v>17.100000000000001</v>
      </c>
      <c r="F39" s="714">
        <f t="shared" ca="1" si="20"/>
        <v>0</v>
      </c>
      <c r="H39" s="150" t="s">
        <v>391</v>
      </c>
      <c r="I39" s="150" t="s">
        <v>1668</v>
      </c>
      <c r="T39" s="634" t="b">
        <f t="shared" si="21"/>
        <v>0</v>
      </c>
      <c r="X39" s="1544"/>
      <c r="Z39" s="1544"/>
      <c r="AB39" s="284" t="s">
        <v>1669</v>
      </c>
      <c r="AC39" s="285" t="s">
        <v>1446</v>
      </c>
      <c r="AD39" s="86">
        <f ca="1">IF(tax_system="ОСНО",AD33*Сценарии!AE$26,AD33)</f>
        <v>0</v>
      </c>
      <c r="AE39" s="86">
        <f ca="1">IF(tax_system="ОСНО",AE33*Сценарии!AO$26,AE33)</f>
        <v>0</v>
      </c>
      <c r="AF39" s="286">
        <f ca="1">IF(AD39=0,0,(AE39-AD39)/AD39*100)</f>
        <v>0</v>
      </c>
      <c r="AG39" s="1259">
        <f ca="1">IF(tax_system="ОСНО",AG33*Сценарии!AF$26,AG33)</f>
        <v>0</v>
      </c>
      <c r="AH39" s="1259">
        <f ca="1">IF(tax_system="ОСНО",AH33*Сценарии!AP$26,AH33)</f>
        <v>0</v>
      </c>
      <c r="AI39" s="286">
        <f ca="1">IF(AG39=0,0,(AH39-AG39)/AG39*100)</f>
        <v>0</v>
      </c>
      <c r="AJ39" s="1259">
        <f ca="1">IF(tax_system="ОСНО",AJ33*Сценарии!AG$26,AJ33)</f>
        <v>0</v>
      </c>
      <c r="AK39" s="1259">
        <f ca="1">IF(tax_system="ОСНО",AK33*Сценарии!AQ$26,AK33)</f>
        <v>0</v>
      </c>
      <c r="AL39" s="286">
        <f ca="1">IF(AJ39=0,0,(AK39-AJ39)/AJ39*100)</f>
        <v>0</v>
      </c>
      <c r="AM39" s="86">
        <f ca="1">IF(tax_system="ОСНО",AM33*Сценарии!AH$26,AM33)</f>
        <v>0</v>
      </c>
      <c r="AN39" s="86">
        <f ca="1">IF(tax_system="ОСНО",AN33*Сценарии!AR$26,AN33)</f>
        <v>0</v>
      </c>
      <c r="AO39" s="286">
        <f ca="1">IF(AM39=0,0,(AN39-AM39)/AM39*100)</f>
        <v>0</v>
      </c>
      <c r="AP39" s="86">
        <f ca="1">IF(tax_system="ОСНО",AP33*Сценарии!AI$26,AP33)</f>
        <v>0</v>
      </c>
      <c r="AQ39" s="86">
        <f ca="1">IF(tax_system="ОСНО",AQ33*Сценарии!AS$26,AQ33)</f>
        <v>0</v>
      </c>
      <c r="AR39" s="286">
        <f ca="1">IF(AP39=0,0,(AQ39-AP39)/AP39*100)</f>
        <v>0</v>
      </c>
      <c r="AS39" s="86">
        <f ca="1">IF(tax_system="ОСНО",AS33*Сценарии!AJ$26,AS33)</f>
        <v>0</v>
      </c>
      <c r="AT39" s="86">
        <f ca="1">IF(tax_system="ОСНО",AT33*Сценарии!AT$26,AT33)</f>
        <v>0</v>
      </c>
      <c r="AU39" s="286">
        <f ca="1">IF(AS39=0,0,(AT39-AS39)/AS39*100)</f>
        <v>0</v>
      </c>
      <c r="AV39" s="86">
        <f ca="1">IF(tax_system="ОСНО",AV33*Сценарии!AK$26,AV33)</f>
        <v>0</v>
      </c>
      <c r="AW39" s="86">
        <f ca="1">IF(tax_system="ОСНО",AW33*Сценарии!AU$26,AW33)</f>
        <v>0</v>
      </c>
      <c r="AX39" s="286">
        <f ca="1">IF(AV39=0,0,(AW39-AV39)/AV39*100)</f>
        <v>0</v>
      </c>
      <c r="AY39" s="86">
        <f ca="1">IF(tax_system="ОСНО",AY33*Сценарии!AL$26,AY33)</f>
        <v>0</v>
      </c>
      <c r="AZ39" s="86">
        <f ca="1">IF(tax_system="ОСНО",AZ33*Сценарии!AV$26,AZ33)</f>
        <v>0</v>
      </c>
      <c r="BA39" s="286">
        <f ca="1">IF(AY39=0,0,(AZ39-AY39)/AY39*100)</f>
        <v>0</v>
      </c>
      <c r="BB39" s="86">
        <f ca="1">IF(tax_system="ОСНО",BB33*Сценарии!AM$26,BB33)</f>
        <v>0</v>
      </c>
      <c r="BC39" s="86">
        <f ca="1">IF(tax_system="ОСНО",BC33*Сценарии!AW$26,BC33)</f>
        <v>0</v>
      </c>
      <c r="BD39" s="286">
        <f ca="1">IF(BB39=0,0,(BC39-BB39)/BB39*100)</f>
        <v>0</v>
      </c>
      <c r="BE39" s="86">
        <f ca="1">IF(tax_system="ОСНО",BE33*Сценарии!AN$26,BE33)</f>
        <v>0</v>
      </c>
      <c r="BF39" s="86">
        <f ca="1">IF(tax_system="ОСНО",BF33*Сценарии!AX$26,BF33)</f>
        <v>0</v>
      </c>
      <c r="BG39" s="286">
        <f ca="1">IF(BE39=0,0,(BF39-BE39)/BE39*100)</f>
        <v>0</v>
      </c>
      <c r="BH39" s="86"/>
      <c r="BI39" s="86"/>
      <c r="BJ39" s="286">
        <f>IF(BH39=0,0,(BI39-BH39)/BH39*100)</f>
        <v>0</v>
      </c>
      <c r="BK39" s="86"/>
      <c r="BL39" s="86"/>
      <c r="BM39" s="286">
        <f>IF(BK39=0,0,(BL39-BK39)/BK39*100)</f>
        <v>0</v>
      </c>
      <c r="BN39" s="86"/>
      <c r="BO39" s="86"/>
      <c r="BP39" s="286">
        <f>IF(BN39=0,0,(BO39-BN39)/BN39*100)</f>
        <v>0</v>
      </c>
      <c r="BQ39" s="86"/>
      <c r="BR39" s="86"/>
      <c r="BS39" s="286">
        <f>IF(BQ39=0,0,(BR39-BQ39)/BQ39*100)</f>
        <v>0</v>
      </c>
      <c r="BT39" s="86"/>
      <c r="BU39" s="86"/>
      <c r="BV39" s="286">
        <f>IF(BT39=0,0,(BU39-BT39)/BT39*100)</f>
        <v>0</v>
      </c>
      <c r="BW39" s="86"/>
      <c r="BX39" s="86"/>
      <c r="BY39" s="286">
        <f>IF(BW39=0,0,(BX39-BW39)/BW39*100)</f>
        <v>0</v>
      </c>
      <c r="BZ39" s="86"/>
      <c r="CA39" s="86"/>
      <c r="CB39" s="286">
        <f>IF(BZ39=0,0,(CA39-BZ39)/BZ39*100)</f>
        <v>0</v>
      </c>
      <c r="CC39" s="86"/>
      <c r="CD39" s="86"/>
      <c r="CE39" s="286">
        <f>IF(CC39=0,0,(CD39-CC39)/CC39*100)</f>
        <v>0</v>
      </c>
      <c r="CF39" s="86"/>
      <c r="CG39" s="86"/>
      <c r="CH39" s="286">
        <f>IF(CF39=0,0,(CG39-CF39)/CF39*100)</f>
        <v>0</v>
      </c>
      <c r="CI39" s="86"/>
      <c r="CJ39" s="86"/>
      <c r="CK39" s="286">
        <f>IF(CI39=0,0,(CJ39-CI39)/CI39*100)</f>
        <v>0</v>
      </c>
      <c r="CL39" s="86"/>
      <c r="CM39" s="86"/>
      <c r="CN39" s="286">
        <f>IF(CL39=0,0,(CM39-CL39)/CL39*100)</f>
        <v>0</v>
      </c>
      <c r="CO39" s="86"/>
      <c r="CP39" s="86"/>
      <c r="CQ39" s="286">
        <f>IF(CO39=0,0,(CP39-CO39)/CO39*100)</f>
        <v>0</v>
      </c>
      <c r="CR39" s="86"/>
      <c r="CS39" s="86"/>
      <c r="CT39" s="286">
        <f>IF(CR39=0,0,(CS39-CR39)/CR39*100)</f>
        <v>0</v>
      </c>
      <c r="CU39" s="86"/>
      <c r="CV39" s="86"/>
      <c r="CW39" s="286">
        <f>IF(CU39=0,0,(CV39-CU39)/CU39*100)</f>
        <v>0</v>
      </c>
      <c r="CX39" s="86"/>
      <c r="CY39" s="86"/>
      <c r="CZ39" s="286">
        <f>IF(CX39=0,0,(CY39-CX39)/CX39*100)</f>
        <v>0</v>
      </c>
      <c r="DA39" s="86"/>
      <c r="DB39" s="86"/>
      <c r="DC39" s="286">
        <f>IF(DA39=0,0,(DB39-DA39)/DA39*100)</f>
        <v>0</v>
      </c>
      <c r="DD39" s="86"/>
      <c r="DE39" s="86"/>
      <c r="DF39" s="286">
        <f>IF(DD39=0,0,(DE39-DD39)/DD39*100)</f>
        <v>0</v>
      </c>
      <c r="DG39" s="86"/>
      <c r="DH39" s="86"/>
      <c r="DI39" s="286">
        <f>IF(DG39=0,0,(DH39-DG39)/DG39*100)</f>
        <v>0</v>
      </c>
      <c r="DJ39" s="86"/>
      <c r="DK39" s="86"/>
      <c r="DL39" s="286">
        <f>IF(DJ39=0,0,(DK39-DJ39)/DJ39*100)</f>
        <v>0</v>
      </c>
      <c r="DM39" s="86"/>
      <c r="DN39" s="86"/>
      <c r="DO39" s="286">
        <f>IF(DM39=0,0,(DN39-DM39)/DM39*100)</f>
        <v>0</v>
      </c>
      <c r="DP39" s="86"/>
      <c r="DQ39" s="86"/>
      <c r="DR39" s="286">
        <f>IF(DP39=0,0,(DQ39-DP39)/DP39*100)</f>
        <v>0</v>
      </c>
      <c r="DS39" s="86"/>
      <c r="DT39" s="86"/>
      <c r="DU39" s="286">
        <f>IF(DS39=0,0,(DT39-DS39)/DS39*100)</f>
        <v>0</v>
      </c>
      <c r="DV39" s="86"/>
      <c r="DW39" s="86"/>
      <c r="DX39" s="286">
        <f>IF(DV39=0,0,(DW39-DV39)/DV39*100)</f>
        <v>0</v>
      </c>
      <c r="DY39" s="86"/>
      <c r="DZ39" s="86"/>
      <c r="EA39" s="286">
        <f>IF(DY39=0,0,(DZ39-DY39)/DY39*100)</f>
        <v>0</v>
      </c>
      <c r="EB39" s="86"/>
      <c r="EC39" s="86"/>
      <c r="ED39" s="286">
        <f>IF(EB39=0,0,(EC39-EB39)/EB39*100)</f>
        <v>0</v>
      </c>
      <c r="EE39" s="86"/>
      <c r="EF39" s="86"/>
      <c r="EG39" s="286">
        <f>IF(EE39=0,0,(EF39-EE39)/EE39*100)</f>
        <v>0</v>
      </c>
      <c r="EH39" s="86"/>
      <c r="EI39" s="86"/>
      <c r="EJ39" s="286">
        <f>IF(EH39=0,0,(EI39-EH39)/EH39*100)</f>
        <v>0</v>
      </c>
      <c r="EK39" s="86"/>
      <c r="EL39" s="86"/>
      <c r="EM39" s="286">
        <f>IF(EK39=0,0,(EL39-EK39)/EK39*100)</f>
        <v>0</v>
      </c>
      <c r="EN39" s="86"/>
      <c r="EO39" s="86"/>
      <c r="EP39" s="286">
        <f>IF(EN39=0,0,(EO39-EN39)/EN39*100)</f>
        <v>0</v>
      </c>
      <c r="EQ39" s="86"/>
      <c r="ER39" s="86"/>
      <c r="ES39" s="286">
        <f>IF(EQ39=0,0,(ER39-EQ39)/EQ39*100)</f>
        <v>0</v>
      </c>
      <c r="ET39" s="86"/>
      <c r="EU39" s="86"/>
      <c r="EV39" s="286">
        <f>IF(ET39=0,0,(EU39-ET39)/ET39*100)</f>
        <v>0</v>
      </c>
      <c r="EW39" s="86"/>
      <c r="EX39" s="86"/>
      <c r="EY39" s="286">
        <f>IF(EW39=0,0,(EX39-EW39)/EW39*100)</f>
        <v>0</v>
      </c>
      <c r="EZ39" s="86"/>
      <c r="FA39" s="86"/>
      <c r="FB39" s="286">
        <f>IF(EZ39=0,0,(FA39-EZ39)/EZ39*100)</f>
        <v>0</v>
      </c>
      <c r="FC39" s="86"/>
      <c r="FD39" s="86"/>
      <c r="FE39" s="286">
        <f>IF(FC39=0,0,(FD39-FC39)/FC39*100)</f>
        <v>0</v>
      </c>
      <c r="FF39" s="86"/>
      <c r="FG39" s="86"/>
      <c r="FH39" s="286">
        <f>IF(FF39=0,0,(FG39-FF39)/FF39*100)</f>
        <v>0</v>
      </c>
      <c r="FI39" s="86"/>
      <c r="FJ39" s="86"/>
      <c r="FK39" s="286">
        <f>IF(FI39=0,0,(FJ39-FI39)/FI39*100)</f>
        <v>0</v>
      </c>
      <c r="FL39" s="86"/>
      <c r="FM39" s="86"/>
      <c r="FN39" s="286">
        <f>IF(FL39=0,0,(FM39-FL39)/FL39*100)</f>
        <v>0</v>
      </c>
      <c r="FO39" s="86"/>
      <c r="FP39" s="86"/>
      <c r="FQ39" s="286">
        <f>IF(FO39=0,0,(FP39-FO39)/FO39*100)</f>
        <v>0</v>
      </c>
      <c r="FR39" s="86"/>
      <c r="FS39" s="86"/>
      <c r="FT39" s="286">
        <f>IF(FR39=0,0,(FS39-FR39)/FR39*100)</f>
        <v>0</v>
      </c>
      <c r="FU39" s="86"/>
      <c r="FV39" s="86"/>
      <c r="FW39" s="286">
        <f>IF(FU39=0,0,(FV39-FU39)/FU39*100)</f>
        <v>0</v>
      </c>
      <c r="FZ39" s="912" t="s">
        <v>1670</v>
      </c>
      <c r="GA39" s="930"/>
      <c r="GB39" s="930"/>
      <c r="GC39" s="930"/>
      <c r="GD39" s="930"/>
    </row>
    <row r="40" spans="1:186" s="283" customFormat="1" ht="16.7" hidden="1" customHeight="1">
      <c r="B40" s="749" t="b">
        <f t="shared" si="22"/>
        <v>1</v>
      </c>
      <c r="E40" s="623">
        <v>17.100000000000001</v>
      </c>
      <c r="F40" s="714">
        <f t="shared" ca="1" si="20"/>
        <v>0</v>
      </c>
      <c r="H40" s="150" t="s">
        <v>391</v>
      </c>
      <c r="I40" s="150" t="s">
        <v>1671</v>
      </c>
      <c r="T40" s="634" t="b">
        <f t="shared" si="21"/>
        <v>0</v>
      </c>
      <c r="X40" s="1544"/>
      <c r="Z40" s="1544"/>
      <c r="AB40" s="284" t="s">
        <v>1672</v>
      </c>
      <c r="AC40" s="285" t="s">
        <v>1446</v>
      </c>
      <c r="AD40" s="86">
        <f ca="1">IF(tax_system="ОСНО",AD34*Сценарии!AE$26,AD34)</f>
        <v>0</v>
      </c>
      <c r="AE40" s="86">
        <f ca="1">IF(tax_system="ОСНО",AE34*Сценарии!AO$26,AE34)</f>
        <v>0</v>
      </c>
      <c r="AF40" s="286">
        <f ca="1">IF(AD40=0,0,(AE40-AD40)/AD40*100)</f>
        <v>0</v>
      </c>
      <c r="AG40" s="1259">
        <f ca="1">IF(tax_system="ОСНО",AG34*Сценарии!AF$26,AG34)</f>
        <v>0</v>
      </c>
      <c r="AH40" s="1259">
        <f ca="1">IF(tax_system="ОСНО",AH34*Сценарии!AP$26,AH34)</f>
        <v>0</v>
      </c>
      <c r="AI40" s="286">
        <f ca="1">IF(AG40=0,0,(AH40-AG40)/AG40*100)</f>
        <v>0</v>
      </c>
      <c r="AJ40" s="1259">
        <f ca="1">IF(tax_system="ОСНО",AJ34*Сценарии!AG$26,AJ34)</f>
        <v>0</v>
      </c>
      <c r="AK40" s="1259">
        <f ca="1">IF(tax_system="ОСНО",AK34*Сценарии!AQ$26,AK34)</f>
        <v>0</v>
      </c>
      <c r="AL40" s="286">
        <f ca="1">IF(AJ40=0,0,(AK40-AJ40)/AJ40*100)</f>
        <v>0</v>
      </c>
      <c r="AM40" s="86">
        <f ca="1">IF(tax_system="ОСНО",AM34*Сценарии!AH$26,AM34)</f>
        <v>0</v>
      </c>
      <c r="AN40" s="86">
        <f ca="1">IF(tax_system="ОСНО",AN34*Сценарии!AR$26,AN34)</f>
        <v>0</v>
      </c>
      <c r="AO40" s="286">
        <f ca="1">IF(AM40=0,0,(AN40-AM40)/AM40*100)</f>
        <v>0</v>
      </c>
      <c r="AP40" s="86">
        <f ca="1">IF(tax_system="ОСНО",AP34*Сценарии!AI$26,AP34)</f>
        <v>0</v>
      </c>
      <c r="AQ40" s="86">
        <f ca="1">IF(tax_system="ОСНО",AQ34*Сценарии!AS$26,AQ34)</f>
        <v>0</v>
      </c>
      <c r="AR40" s="286">
        <f ca="1">IF(AP40=0,0,(AQ40-AP40)/AP40*100)</f>
        <v>0</v>
      </c>
      <c r="AS40" s="86">
        <f ca="1">IF(tax_system="ОСНО",AS34*Сценарии!AJ$26,AS34)</f>
        <v>0</v>
      </c>
      <c r="AT40" s="86">
        <f ca="1">IF(tax_system="ОСНО",AT34*Сценарии!AT$26,AT34)</f>
        <v>0</v>
      </c>
      <c r="AU40" s="286">
        <f ca="1">IF(AS40=0,0,(AT40-AS40)/AS40*100)</f>
        <v>0</v>
      </c>
      <c r="AV40" s="86">
        <f ca="1">IF(tax_system="ОСНО",AV34*Сценарии!AK$26,AV34)</f>
        <v>0</v>
      </c>
      <c r="AW40" s="86">
        <f ca="1">IF(tax_system="ОСНО",AW34*Сценарии!AU$26,AW34)</f>
        <v>0</v>
      </c>
      <c r="AX40" s="286">
        <f ca="1">IF(AV40=0,0,(AW40-AV40)/AV40*100)</f>
        <v>0</v>
      </c>
      <c r="AY40" s="86">
        <f ca="1">IF(tax_system="ОСНО",AY34*Сценарии!AL$26,AY34)</f>
        <v>0</v>
      </c>
      <c r="AZ40" s="86">
        <f ca="1">IF(tax_system="ОСНО",AZ34*Сценарии!AV$26,AZ34)</f>
        <v>0</v>
      </c>
      <c r="BA40" s="286">
        <f ca="1">IF(AY40=0,0,(AZ40-AY40)/AY40*100)</f>
        <v>0</v>
      </c>
      <c r="BB40" s="86">
        <f ca="1">IF(tax_system="ОСНО",BB34*Сценарии!AM$26,BB34)</f>
        <v>0</v>
      </c>
      <c r="BC40" s="86">
        <f ca="1">IF(tax_system="ОСНО",BC34*Сценарии!AW$26,BC34)</f>
        <v>0</v>
      </c>
      <c r="BD40" s="286">
        <f ca="1">IF(BB40=0,0,(BC40-BB40)/BB40*100)</f>
        <v>0</v>
      </c>
      <c r="BE40" s="86">
        <f ca="1">IF(tax_system="ОСНО",BE34*Сценарии!AN$26,BE34)</f>
        <v>0</v>
      </c>
      <c r="BF40" s="86">
        <f ca="1">IF(tax_system="ОСНО",BF34*Сценарии!AX$26,BF34)</f>
        <v>0</v>
      </c>
      <c r="BG40" s="286">
        <f ca="1">IF(BE40=0,0,(BF40-BE40)/BE40*100)</f>
        <v>0</v>
      </c>
      <c r="BH40" s="86"/>
      <c r="BI40" s="86"/>
      <c r="BJ40" s="286">
        <f>IF(BH40=0,0,(BI40-BH40)/BH40*100)</f>
        <v>0</v>
      </c>
      <c r="BK40" s="86"/>
      <c r="BL40" s="86"/>
      <c r="BM40" s="286">
        <f>IF(BK40=0,0,(BL40-BK40)/BK40*100)</f>
        <v>0</v>
      </c>
      <c r="BN40" s="86"/>
      <c r="BO40" s="86"/>
      <c r="BP40" s="286">
        <f>IF(BN40=0,0,(BO40-BN40)/BN40*100)</f>
        <v>0</v>
      </c>
      <c r="BQ40" s="86"/>
      <c r="BR40" s="86"/>
      <c r="BS40" s="286">
        <f>IF(BQ40=0,0,(BR40-BQ40)/BQ40*100)</f>
        <v>0</v>
      </c>
      <c r="BT40" s="86"/>
      <c r="BU40" s="86"/>
      <c r="BV40" s="286">
        <f>IF(BT40=0,0,(BU40-BT40)/BT40*100)</f>
        <v>0</v>
      </c>
      <c r="BW40" s="86"/>
      <c r="BX40" s="86"/>
      <c r="BY40" s="286">
        <f>IF(BW40=0,0,(BX40-BW40)/BW40*100)</f>
        <v>0</v>
      </c>
      <c r="BZ40" s="86"/>
      <c r="CA40" s="86"/>
      <c r="CB40" s="286">
        <f>IF(BZ40=0,0,(CA40-BZ40)/BZ40*100)</f>
        <v>0</v>
      </c>
      <c r="CC40" s="86"/>
      <c r="CD40" s="86"/>
      <c r="CE40" s="286">
        <f>IF(CC40=0,0,(CD40-CC40)/CC40*100)</f>
        <v>0</v>
      </c>
      <c r="CF40" s="86"/>
      <c r="CG40" s="86"/>
      <c r="CH40" s="286">
        <f>IF(CF40=0,0,(CG40-CF40)/CF40*100)</f>
        <v>0</v>
      </c>
      <c r="CI40" s="86"/>
      <c r="CJ40" s="86"/>
      <c r="CK40" s="286">
        <f>IF(CI40=0,0,(CJ40-CI40)/CI40*100)</f>
        <v>0</v>
      </c>
      <c r="CL40" s="86"/>
      <c r="CM40" s="86"/>
      <c r="CN40" s="286">
        <f>IF(CL40=0,0,(CM40-CL40)/CL40*100)</f>
        <v>0</v>
      </c>
      <c r="CO40" s="86"/>
      <c r="CP40" s="86"/>
      <c r="CQ40" s="286">
        <f>IF(CO40=0,0,(CP40-CO40)/CO40*100)</f>
        <v>0</v>
      </c>
      <c r="CR40" s="86"/>
      <c r="CS40" s="86"/>
      <c r="CT40" s="286">
        <f>IF(CR40=0,0,(CS40-CR40)/CR40*100)</f>
        <v>0</v>
      </c>
      <c r="CU40" s="86"/>
      <c r="CV40" s="86"/>
      <c r="CW40" s="286">
        <f>IF(CU40=0,0,(CV40-CU40)/CU40*100)</f>
        <v>0</v>
      </c>
      <c r="CX40" s="86"/>
      <c r="CY40" s="86"/>
      <c r="CZ40" s="286">
        <f>IF(CX40=0,0,(CY40-CX40)/CX40*100)</f>
        <v>0</v>
      </c>
      <c r="DA40" s="86"/>
      <c r="DB40" s="86"/>
      <c r="DC40" s="286">
        <f>IF(DA40=0,0,(DB40-DA40)/DA40*100)</f>
        <v>0</v>
      </c>
      <c r="DD40" s="86"/>
      <c r="DE40" s="86"/>
      <c r="DF40" s="286">
        <f>IF(DD40=0,0,(DE40-DD40)/DD40*100)</f>
        <v>0</v>
      </c>
      <c r="DG40" s="86"/>
      <c r="DH40" s="86"/>
      <c r="DI40" s="286">
        <f>IF(DG40=0,0,(DH40-DG40)/DG40*100)</f>
        <v>0</v>
      </c>
      <c r="DJ40" s="86"/>
      <c r="DK40" s="86"/>
      <c r="DL40" s="286">
        <f>IF(DJ40=0,0,(DK40-DJ40)/DJ40*100)</f>
        <v>0</v>
      </c>
      <c r="DM40" s="86"/>
      <c r="DN40" s="86"/>
      <c r="DO40" s="286">
        <f>IF(DM40=0,0,(DN40-DM40)/DM40*100)</f>
        <v>0</v>
      </c>
      <c r="DP40" s="86"/>
      <c r="DQ40" s="86"/>
      <c r="DR40" s="286">
        <f>IF(DP40=0,0,(DQ40-DP40)/DP40*100)</f>
        <v>0</v>
      </c>
      <c r="DS40" s="86"/>
      <c r="DT40" s="86"/>
      <c r="DU40" s="286">
        <f>IF(DS40=0,0,(DT40-DS40)/DS40*100)</f>
        <v>0</v>
      </c>
      <c r="DV40" s="86"/>
      <c r="DW40" s="86"/>
      <c r="DX40" s="286">
        <f>IF(DV40=0,0,(DW40-DV40)/DV40*100)</f>
        <v>0</v>
      </c>
      <c r="DY40" s="86"/>
      <c r="DZ40" s="86"/>
      <c r="EA40" s="286">
        <f>IF(DY40=0,0,(DZ40-DY40)/DY40*100)</f>
        <v>0</v>
      </c>
      <c r="EB40" s="86"/>
      <c r="EC40" s="86"/>
      <c r="ED40" s="286">
        <f>IF(EB40=0,0,(EC40-EB40)/EB40*100)</f>
        <v>0</v>
      </c>
      <c r="EE40" s="86"/>
      <c r="EF40" s="86"/>
      <c r="EG40" s="286">
        <f>IF(EE40=0,0,(EF40-EE40)/EE40*100)</f>
        <v>0</v>
      </c>
      <c r="EH40" s="86"/>
      <c r="EI40" s="86"/>
      <c r="EJ40" s="286">
        <f>IF(EH40=0,0,(EI40-EH40)/EH40*100)</f>
        <v>0</v>
      </c>
      <c r="EK40" s="86"/>
      <c r="EL40" s="86"/>
      <c r="EM40" s="286">
        <f>IF(EK40=0,0,(EL40-EK40)/EK40*100)</f>
        <v>0</v>
      </c>
      <c r="EN40" s="86"/>
      <c r="EO40" s="86"/>
      <c r="EP40" s="286">
        <f>IF(EN40=0,0,(EO40-EN40)/EN40*100)</f>
        <v>0</v>
      </c>
      <c r="EQ40" s="86"/>
      <c r="ER40" s="86"/>
      <c r="ES40" s="286">
        <f>IF(EQ40=0,0,(ER40-EQ40)/EQ40*100)</f>
        <v>0</v>
      </c>
      <c r="ET40" s="86"/>
      <c r="EU40" s="86"/>
      <c r="EV40" s="286">
        <f>IF(ET40=0,0,(EU40-ET40)/ET40*100)</f>
        <v>0</v>
      </c>
      <c r="EW40" s="86"/>
      <c r="EX40" s="86"/>
      <c r="EY40" s="286">
        <f>IF(EW40=0,0,(EX40-EW40)/EW40*100)</f>
        <v>0</v>
      </c>
      <c r="EZ40" s="86"/>
      <c r="FA40" s="86"/>
      <c r="FB40" s="286">
        <f>IF(EZ40=0,0,(FA40-EZ40)/EZ40*100)</f>
        <v>0</v>
      </c>
      <c r="FC40" s="86"/>
      <c r="FD40" s="86"/>
      <c r="FE40" s="286">
        <f>IF(FC40=0,0,(FD40-FC40)/FC40*100)</f>
        <v>0</v>
      </c>
      <c r="FF40" s="86"/>
      <c r="FG40" s="86"/>
      <c r="FH40" s="286">
        <f>IF(FF40=0,0,(FG40-FF40)/FF40*100)</f>
        <v>0</v>
      </c>
      <c r="FI40" s="86"/>
      <c r="FJ40" s="86"/>
      <c r="FK40" s="286">
        <f>IF(FI40=0,0,(FJ40-FI40)/FI40*100)</f>
        <v>0</v>
      </c>
      <c r="FL40" s="86"/>
      <c r="FM40" s="86"/>
      <c r="FN40" s="286">
        <f>IF(FL40=0,0,(FM40-FL40)/FL40*100)</f>
        <v>0</v>
      </c>
      <c r="FO40" s="86"/>
      <c r="FP40" s="86"/>
      <c r="FQ40" s="286">
        <f>IF(FO40=0,0,(FP40-FO40)/FO40*100)</f>
        <v>0</v>
      </c>
      <c r="FR40" s="86"/>
      <c r="FS40" s="86"/>
      <c r="FT40" s="286">
        <f>IF(FR40=0,0,(FS40-FR40)/FR40*100)</f>
        <v>0</v>
      </c>
      <c r="FU40" s="86"/>
      <c r="FV40" s="86"/>
      <c r="FW40" s="286">
        <f>IF(FU40=0,0,(FV40-FU40)/FU40*100)</f>
        <v>0</v>
      </c>
      <c r="FZ40" s="912" t="s">
        <v>1673</v>
      </c>
      <c r="GA40" s="930"/>
      <c r="GB40" s="930"/>
      <c r="GC40" s="930"/>
      <c r="GD40" s="930"/>
    </row>
    <row r="41" spans="1:186" ht="16.7" hidden="1" customHeight="1">
      <c r="B41" s="749" t="b">
        <f t="shared" si="22"/>
        <v>1</v>
      </c>
      <c r="E41" s="623">
        <v>17.100000000000001</v>
      </c>
      <c r="F41" s="714">
        <f t="shared" ca="1" si="20"/>
        <v>0</v>
      </c>
      <c r="H41" s="150" t="s">
        <v>394</v>
      </c>
      <c r="I41" s="150" t="s">
        <v>1674</v>
      </c>
      <c r="Q41" s="394"/>
      <c r="T41" s="634" t="b">
        <f t="shared" si="21"/>
        <v>0</v>
      </c>
      <c r="X41" s="1405"/>
      <c r="Z41" s="1405"/>
      <c r="AB41" s="287" t="s">
        <v>1661</v>
      </c>
      <c r="AC41" s="110" t="s">
        <v>388</v>
      </c>
      <c r="AD41" s="791">
        <f ca="1">IF(AD39=0,0,AD40/AD39)</f>
        <v>0</v>
      </c>
      <c r="AE41" s="791">
        <f ca="1">IF(AE39=0,0,AE40/AE39)</f>
        <v>0</v>
      </c>
      <c r="AF41" s="828"/>
      <c r="AG41" s="791">
        <f ca="1">IF(AG39=0,0,AG40/AG39)</f>
        <v>0</v>
      </c>
      <c r="AH41" s="791">
        <f ca="1">IF(AH39=0,0,AH40/AH39)</f>
        <v>0</v>
      </c>
      <c r="AI41" s="828"/>
      <c r="AJ41" s="791">
        <f ca="1">IF(AJ39=0,0,AJ40/AJ39)</f>
        <v>0</v>
      </c>
      <c r="AK41" s="791">
        <f ca="1">IF(AK39=0,0,AK40/AK39)</f>
        <v>0</v>
      </c>
      <c r="AL41" s="828"/>
      <c r="AM41" s="791">
        <f ca="1">IF(AM39=0,0,AM40/AM39)</f>
        <v>0</v>
      </c>
      <c r="AN41" s="791">
        <f ca="1">IF(AN39=0,0,AN40/AN39)</f>
        <v>0</v>
      </c>
      <c r="AO41" s="828"/>
      <c r="AP41" s="791">
        <f ca="1">IF(AP39=0,0,AP40/AP39)</f>
        <v>0</v>
      </c>
      <c r="AQ41" s="791">
        <f ca="1">IF(AQ39=0,0,AQ40/AQ39)</f>
        <v>0</v>
      </c>
      <c r="AR41" s="828"/>
      <c r="AS41" s="791">
        <f ca="1">IF(AS39=0,0,AS40/AS39)</f>
        <v>0</v>
      </c>
      <c r="AT41" s="791">
        <f ca="1">IF(AT39=0,0,AT40/AT39)</f>
        <v>0</v>
      </c>
      <c r="AU41" s="828"/>
      <c r="AV41" s="791">
        <f ca="1">IF(AV39=0,0,AV40/AV39)</f>
        <v>0</v>
      </c>
      <c r="AW41" s="791">
        <f ca="1">IF(AW39=0,0,AW40/AW39)</f>
        <v>0</v>
      </c>
      <c r="AX41" s="828"/>
      <c r="AY41" s="791">
        <f ca="1">IF(AY39=0,0,AY40/AY39)</f>
        <v>0</v>
      </c>
      <c r="AZ41" s="791">
        <f ca="1">IF(AZ39=0,0,AZ40/AZ39)</f>
        <v>0</v>
      </c>
      <c r="BA41" s="828"/>
      <c r="BB41" s="791">
        <f ca="1">IF(BB39=0,0,BB40/BB39)</f>
        <v>0</v>
      </c>
      <c r="BC41" s="791">
        <f ca="1">IF(BC39=0,0,BC40/BC39)</f>
        <v>0</v>
      </c>
      <c r="BD41" s="828"/>
      <c r="BE41" s="791">
        <f ca="1">IF(BE39=0,0,BE40/BE39)</f>
        <v>0</v>
      </c>
      <c r="BF41" s="791">
        <f ca="1">IF(BF39=0,0,BF40/BF39)</f>
        <v>0</v>
      </c>
      <c r="BG41" s="828"/>
      <c r="BH41" s="791">
        <f>IF(BH39=0,0,BH40/BH39)</f>
        <v>0</v>
      </c>
      <c r="BI41" s="791">
        <f>IF(BI39=0,0,BI40/BI39)</f>
        <v>0</v>
      </c>
      <c r="BJ41" s="856"/>
      <c r="BK41" s="791">
        <f>IF(BK39=0,0,BK40/BK39)</f>
        <v>0</v>
      </c>
      <c r="BL41" s="791">
        <f>IF(BL39=0,0,BL40/BL39)</f>
        <v>0</v>
      </c>
      <c r="BM41" s="856"/>
      <c r="BN41" s="791">
        <f>IF(BN39=0,0,BN40/BN39)</f>
        <v>0</v>
      </c>
      <c r="BO41" s="791">
        <f>IF(BO39=0,0,BO40/BO39)</f>
        <v>0</v>
      </c>
      <c r="BP41" s="856"/>
      <c r="BQ41" s="791">
        <f>IF(BQ39=0,0,BQ40/BQ39)</f>
        <v>0</v>
      </c>
      <c r="BR41" s="791">
        <f>IF(BR39=0,0,BR40/BR39)</f>
        <v>0</v>
      </c>
      <c r="BS41" s="856"/>
      <c r="BT41" s="791">
        <f>IF(BT39=0,0,BT40/BT39)</f>
        <v>0</v>
      </c>
      <c r="BU41" s="791">
        <f>IF(BU39=0,0,BU40/BU39)</f>
        <v>0</v>
      </c>
      <c r="BV41" s="856"/>
      <c r="BW41" s="791">
        <f>IF(BW39=0,0,BW40/BW39)</f>
        <v>0</v>
      </c>
      <c r="BX41" s="791">
        <f>IF(BX39=0,0,BX40/BX39)</f>
        <v>0</v>
      </c>
      <c r="BY41" s="856"/>
      <c r="BZ41" s="791">
        <f>IF(BZ39=0,0,BZ40/BZ39)</f>
        <v>0</v>
      </c>
      <c r="CA41" s="791">
        <f>IF(CA39=0,0,CA40/CA39)</f>
        <v>0</v>
      </c>
      <c r="CB41" s="856"/>
      <c r="CC41" s="791">
        <f>IF(CC39=0,0,CC40/CC39)</f>
        <v>0</v>
      </c>
      <c r="CD41" s="791">
        <f>IF(CD39=0,0,CD40/CD39)</f>
        <v>0</v>
      </c>
      <c r="CE41" s="856"/>
      <c r="CF41" s="791">
        <f>IF(CF39=0,0,CF40/CF39)</f>
        <v>0</v>
      </c>
      <c r="CG41" s="791">
        <f>IF(CG39=0,0,CG40/CG39)</f>
        <v>0</v>
      </c>
      <c r="CH41" s="856"/>
      <c r="CI41" s="791">
        <f>IF(CI39=0,0,CI40/CI39)</f>
        <v>0</v>
      </c>
      <c r="CJ41" s="791">
        <f>IF(CJ39=0,0,CJ40/CJ39)</f>
        <v>0</v>
      </c>
      <c r="CK41" s="856"/>
      <c r="CL41" s="791">
        <f>IF(CL39=0,0,CL40/CL39)</f>
        <v>0</v>
      </c>
      <c r="CM41" s="791">
        <f>IF(CM39=0,0,CM40/CM39)</f>
        <v>0</v>
      </c>
      <c r="CN41" s="856"/>
      <c r="CO41" s="791">
        <f>IF(CO39=0,0,CO40/CO39)</f>
        <v>0</v>
      </c>
      <c r="CP41" s="791">
        <f>IF(CP39=0,0,CP40/CP39)</f>
        <v>0</v>
      </c>
      <c r="CQ41" s="856"/>
      <c r="CR41" s="791">
        <f>IF(CR39=0,0,CR40/CR39)</f>
        <v>0</v>
      </c>
      <c r="CS41" s="791">
        <f>IF(CS39=0,0,CS40/CS39)</f>
        <v>0</v>
      </c>
      <c r="CT41" s="856"/>
      <c r="CU41" s="791">
        <f>IF(CU39=0,0,CU40/CU39)</f>
        <v>0</v>
      </c>
      <c r="CV41" s="791">
        <f>IF(CV39=0,0,CV40/CV39)</f>
        <v>0</v>
      </c>
      <c r="CW41" s="856"/>
      <c r="CX41" s="791">
        <f>IF(CX39=0,0,CX40/CX39)</f>
        <v>0</v>
      </c>
      <c r="CY41" s="791">
        <f>IF(CY39=0,0,CY40/CY39)</f>
        <v>0</v>
      </c>
      <c r="CZ41" s="856"/>
      <c r="DA41" s="791">
        <f>IF(DA39=0,0,DA40/DA39)</f>
        <v>0</v>
      </c>
      <c r="DB41" s="791">
        <f>IF(DB39=0,0,DB40/DB39)</f>
        <v>0</v>
      </c>
      <c r="DC41" s="856"/>
      <c r="DD41" s="791">
        <f>IF(DD39=0,0,DD40/DD39)</f>
        <v>0</v>
      </c>
      <c r="DE41" s="791">
        <f>IF(DE39=0,0,DE40/DE39)</f>
        <v>0</v>
      </c>
      <c r="DF41" s="856"/>
      <c r="DG41" s="791">
        <f>IF(DG39=0,0,DG40/DG39)</f>
        <v>0</v>
      </c>
      <c r="DH41" s="791">
        <f>IF(DH39=0,0,DH40/DH39)</f>
        <v>0</v>
      </c>
      <c r="DI41" s="856"/>
      <c r="DJ41" s="791">
        <f>IF(DJ39=0,0,DJ40/DJ39)</f>
        <v>0</v>
      </c>
      <c r="DK41" s="791">
        <f>IF(DK39=0,0,DK40/DK39)</f>
        <v>0</v>
      </c>
      <c r="DL41" s="856"/>
      <c r="DM41" s="791">
        <f>IF(DM39=0,0,DM40/DM39)</f>
        <v>0</v>
      </c>
      <c r="DN41" s="791">
        <f>IF(DN39=0,0,DN40/DN39)</f>
        <v>0</v>
      </c>
      <c r="DO41" s="856"/>
      <c r="DP41" s="791">
        <f>IF(DP39=0,0,DP40/DP39)</f>
        <v>0</v>
      </c>
      <c r="DQ41" s="791">
        <f>IF(DQ39=0,0,DQ40/DQ39)</f>
        <v>0</v>
      </c>
      <c r="DR41" s="856"/>
      <c r="DS41" s="791">
        <f>IF(DS39=0,0,DS40/DS39)</f>
        <v>0</v>
      </c>
      <c r="DT41" s="791">
        <f>IF(DT39=0,0,DT40/DT39)</f>
        <v>0</v>
      </c>
      <c r="DU41" s="856"/>
      <c r="DV41" s="791">
        <f>IF(DV39=0,0,DV40/DV39)</f>
        <v>0</v>
      </c>
      <c r="DW41" s="791">
        <f>IF(DW39=0,0,DW40/DW39)</f>
        <v>0</v>
      </c>
      <c r="DX41" s="856"/>
      <c r="DY41" s="791">
        <f>IF(DY39=0,0,DY40/DY39)</f>
        <v>0</v>
      </c>
      <c r="DZ41" s="791">
        <f>IF(DZ39=0,0,DZ40/DZ39)</f>
        <v>0</v>
      </c>
      <c r="EA41" s="856"/>
      <c r="EB41" s="791">
        <f>IF(EB39=0,0,EB40/EB39)</f>
        <v>0</v>
      </c>
      <c r="EC41" s="791">
        <f>IF(EC39=0,0,EC40/EC39)</f>
        <v>0</v>
      </c>
      <c r="ED41" s="856"/>
      <c r="EE41" s="791">
        <f>IF(EE39=0,0,EE40/EE39)</f>
        <v>0</v>
      </c>
      <c r="EF41" s="791">
        <f>IF(EF39=0,0,EF40/EF39)</f>
        <v>0</v>
      </c>
      <c r="EG41" s="856"/>
      <c r="EH41" s="791">
        <f>IF(EH39=0,0,EH40/EH39)</f>
        <v>0</v>
      </c>
      <c r="EI41" s="791">
        <f>IF(EI39=0,0,EI40/EI39)</f>
        <v>0</v>
      </c>
      <c r="EJ41" s="856"/>
      <c r="EK41" s="791">
        <f>IF(EK39=0,0,EK40/EK39)</f>
        <v>0</v>
      </c>
      <c r="EL41" s="791">
        <f>IF(EL39=0,0,EL40/EL39)</f>
        <v>0</v>
      </c>
      <c r="EM41" s="856"/>
      <c r="EN41" s="791">
        <f>IF(EN39=0,0,EN40/EN39)</f>
        <v>0</v>
      </c>
      <c r="EO41" s="791">
        <f>IF(EO39=0,0,EO40/EO39)</f>
        <v>0</v>
      </c>
      <c r="EP41" s="856"/>
      <c r="EQ41" s="791">
        <f>IF(EQ39=0,0,EQ40/EQ39)</f>
        <v>0</v>
      </c>
      <c r="ER41" s="791">
        <f>IF(ER39=0,0,ER40/ER39)</f>
        <v>0</v>
      </c>
      <c r="ES41" s="856"/>
      <c r="ET41" s="791">
        <f>IF(ET39=0,0,ET40/ET39)</f>
        <v>0</v>
      </c>
      <c r="EU41" s="791">
        <f>IF(EU39=0,0,EU40/EU39)</f>
        <v>0</v>
      </c>
      <c r="EV41" s="856"/>
      <c r="EW41" s="791">
        <f>IF(EW39=0,0,EW40/EW39)</f>
        <v>0</v>
      </c>
      <c r="EX41" s="791">
        <f>IF(EX39=0,0,EX40/EX39)</f>
        <v>0</v>
      </c>
      <c r="EY41" s="856"/>
      <c r="EZ41" s="791">
        <f>IF(EZ39=0,0,EZ40/EZ39)</f>
        <v>0</v>
      </c>
      <c r="FA41" s="791">
        <f>IF(FA39=0,0,FA40/FA39)</f>
        <v>0</v>
      </c>
      <c r="FB41" s="856"/>
      <c r="FC41" s="791">
        <f>IF(FC39=0,0,FC40/FC39)</f>
        <v>0</v>
      </c>
      <c r="FD41" s="791">
        <f>IF(FD39=0,0,FD40/FD39)</f>
        <v>0</v>
      </c>
      <c r="FE41" s="856"/>
      <c r="FF41" s="791">
        <f>IF(FF39=0,0,FF40/FF39)</f>
        <v>0</v>
      </c>
      <c r="FG41" s="791">
        <f>IF(FG39=0,0,FG40/FG39)</f>
        <v>0</v>
      </c>
      <c r="FH41" s="856"/>
      <c r="FI41" s="791">
        <f>IF(FI39=0,0,FI40/FI39)</f>
        <v>0</v>
      </c>
      <c r="FJ41" s="791">
        <f>IF(FJ39=0,0,FJ40/FJ39)</f>
        <v>0</v>
      </c>
      <c r="FK41" s="856"/>
      <c r="FL41" s="791">
        <f>IF(FL39=0,0,FL40/FL39)</f>
        <v>0</v>
      </c>
      <c r="FM41" s="791">
        <f>IF(FM39=0,0,FM40/FM39)</f>
        <v>0</v>
      </c>
      <c r="FN41" s="856"/>
      <c r="FO41" s="791">
        <f>IF(FO39=0,0,FO40/FO39)</f>
        <v>0</v>
      </c>
      <c r="FP41" s="791">
        <f>IF(FP39=0,0,FP40/FP39)</f>
        <v>0</v>
      </c>
      <c r="FQ41" s="856"/>
      <c r="FR41" s="791">
        <f>IF(FR39=0,0,FR40/FR39)</f>
        <v>0</v>
      </c>
      <c r="FS41" s="791">
        <f>IF(FS39=0,0,FS40/FS39)</f>
        <v>0</v>
      </c>
      <c r="FT41" s="856"/>
      <c r="FU41" s="791">
        <f>IF(FU39=0,0,FU40/FU39)</f>
        <v>0</v>
      </c>
      <c r="FV41" s="791">
        <f>IF(FV39=0,0,FV40/FV39)</f>
        <v>0</v>
      </c>
      <c r="FW41" s="856"/>
      <c r="FZ41" s="912" t="s">
        <v>1675</v>
      </c>
      <c r="GA41" s="930"/>
      <c r="GB41" s="930"/>
      <c r="GC41" s="930"/>
      <c r="GD41" s="930"/>
    </row>
    <row r="42" spans="1:186" ht="16.7" hidden="1" customHeight="1">
      <c r="B42" s="749" t="b">
        <f t="shared" si="22"/>
        <v>1</v>
      </c>
      <c r="E42" s="623">
        <v>17.100000000000001</v>
      </c>
      <c r="F42" s="714">
        <f t="shared" ca="1" si="20"/>
        <v>0</v>
      </c>
      <c r="G42" s="130" t="s">
        <v>1676</v>
      </c>
      <c r="H42" s="150" t="s">
        <v>401</v>
      </c>
      <c r="I42" s="150" t="s">
        <v>1674</v>
      </c>
      <c r="Q42" s="394"/>
      <c r="T42" s="634" t="b">
        <f t="shared" si="21"/>
        <v>0</v>
      </c>
      <c r="X42" s="1405"/>
      <c r="Z42" s="1405"/>
      <c r="AB42" s="287" t="s">
        <v>1677</v>
      </c>
      <c r="AC42" s="110" t="s">
        <v>491</v>
      </c>
      <c r="AD42" s="88">
        <f>SUM(AD43:AD44)</f>
        <v>0</v>
      </c>
      <c r="AE42" s="88">
        <f>SUM(AE43:AE44)</f>
        <v>0</v>
      </c>
      <c r="AF42" s="314">
        <f>IF(AD42=0,0,(AE42-AD42)/AD42*100)</f>
        <v>0</v>
      </c>
      <c r="AG42" s="1261">
        <f>SUM(AG43:AG44)</f>
        <v>0</v>
      </c>
      <c r="AH42" s="1261">
        <f>SUM(AH43:AH44)</f>
        <v>0</v>
      </c>
      <c r="AI42" s="314">
        <f>IF(AG42=0,0,(AH42-AG42)/AG42*100)</f>
        <v>0</v>
      </c>
      <c r="AJ42" s="1261">
        <f>SUM(AJ43:AJ44)</f>
        <v>0</v>
      </c>
      <c r="AK42" s="1261">
        <f>SUM(AK43:AK44)</f>
        <v>0</v>
      </c>
      <c r="AL42" s="314">
        <f>IF(AJ42=0,0,(AK42-AJ42)/AJ42*100)</f>
        <v>0</v>
      </c>
      <c r="AM42" s="88">
        <f>SUM(AM43:AM44)</f>
        <v>0</v>
      </c>
      <c r="AN42" s="88">
        <f>SUM(AN43:AN44)</f>
        <v>0</v>
      </c>
      <c r="AO42" s="314">
        <f>IF(AM42=0,0,(AN42-AM42)/AM42*100)</f>
        <v>0</v>
      </c>
      <c r="AP42" s="88">
        <f>SUM(AP43:AP44)</f>
        <v>0</v>
      </c>
      <c r="AQ42" s="88">
        <f>SUM(AQ43:AQ44)</f>
        <v>0</v>
      </c>
      <c r="AR42" s="314">
        <f>IF(AP42=0,0,(AQ42-AP42)/AP42*100)</f>
        <v>0</v>
      </c>
      <c r="AS42" s="88">
        <f>SUM(AS43:AS44)</f>
        <v>0</v>
      </c>
      <c r="AT42" s="88">
        <f>SUM(AT43:AT44)</f>
        <v>0</v>
      </c>
      <c r="AU42" s="314">
        <f>IF(AS42=0,0,(AT42-AS42)/AS42*100)</f>
        <v>0</v>
      </c>
      <c r="AV42" s="88">
        <f>SUM(AV43:AV44)</f>
        <v>0</v>
      </c>
      <c r="AW42" s="88">
        <f>SUM(AW43:AW44)</f>
        <v>0</v>
      </c>
      <c r="AX42" s="314">
        <f>IF(AV42=0,0,(AW42-AV42)/AV42*100)</f>
        <v>0</v>
      </c>
      <c r="AY42" s="88">
        <f>SUM(AY43:AY44)</f>
        <v>0</v>
      </c>
      <c r="AZ42" s="88">
        <f>SUM(AZ43:AZ44)</f>
        <v>0</v>
      </c>
      <c r="BA42" s="314">
        <f>IF(AY42=0,0,(AZ42-AY42)/AY42*100)</f>
        <v>0</v>
      </c>
      <c r="BB42" s="88">
        <f>SUM(BB43:BB44)</f>
        <v>0</v>
      </c>
      <c r="BC42" s="88">
        <f>SUM(BC43:BC44)</f>
        <v>0</v>
      </c>
      <c r="BD42" s="314">
        <f>IF(BB42=0,0,(BC42-BB42)/BB42*100)</f>
        <v>0</v>
      </c>
      <c r="BE42" s="88">
        <f>SUM(BE43:BE44)</f>
        <v>0</v>
      </c>
      <c r="BF42" s="88">
        <f>SUM(BF43:BF44)</f>
        <v>0</v>
      </c>
      <c r="BG42" s="314">
        <f>IF(BE42=0,0,(BF42-BE42)/BE42*100)</f>
        <v>0</v>
      </c>
      <c r="BH42" s="87">
        <f>SUM(BH43:BH44)</f>
        <v>0</v>
      </c>
      <c r="BI42" s="87">
        <f>SUM(BI43:BI44)</f>
        <v>0</v>
      </c>
      <c r="BJ42" s="314">
        <f>IF(BH42=0,0,(BI42-BH42)/BH42*100)</f>
        <v>0</v>
      </c>
      <c r="BK42" s="87">
        <f>SUM(BK43:BK44)</f>
        <v>0</v>
      </c>
      <c r="BL42" s="87">
        <f>SUM(BL43:BL44)</f>
        <v>0</v>
      </c>
      <c r="BM42" s="314">
        <f>IF(BK42=0,0,(BL42-BK42)/BK42*100)</f>
        <v>0</v>
      </c>
      <c r="BN42" s="87">
        <f>SUM(BN43:BN44)</f>
        <v>0</v>
      </c>
      <c r="BO42" s="87">
        <f>SUM(BO43:BO44)</f>
        <v>0</v>
      </c>
      <c r="BP42" s="314">
        <f>IF(BN42=0,0,(BO42-BN42)/BN42*100)</f>
        <v>0</v>
      </c>
      <c r="BQ42" s="87">
        <f>SUM(BQ43:BQ44)</f>
        <v>0</v>
      </c>
      <c r="BR42" s="87">
        <f>SUM(BR43:BR44)</f>
        <v>0</v>
      </c>
      <c r="BS42" s="314">
        <f>IF(BQ42=0,0,(BR42-BQ42)/BQ42*100)</f>
        <v>0</v>
      </c>
      <c r="BT42" s="87">
        <f>SUM(BT43:BT44)</f>
        <v>0</v>
      </c>
      <c r="BU42" s="87">
        <f>SUM(BU43:BU44)</f>
        <v>0</v>
      </c>
      <c r="BV42" s="314">
        <f>IF(BT42=0,0,(BU42-BT42)/BT42*100)</f>
        <v>0</v>
      </c>
      <c r="BW42" s="87">
        <f>SUM(BW43:BW44)</f>
        <v>0</v>
      </c>
      <c r="BX42" s="87">
        <f>SUM(BX43:BX44)</f>
        <v>0</v>
      </c>
      <c r="BY42" s="314">
        <f>IF(BW42=0,0,(BX42-BW42)/BW42*100)</f>
        <v>0</v>
      </c>
      <c r="BZ42" s="87">
        <f>SUM(BZ43:BZ44)</f>
        <v>0</v>
      </c>
      <c r="CA42" s="87">
        <f>SUM(CA43:CA44)</f>
        <v>0</v>
      </c>
      <c r="CB42" s="314">
        <f>IF(BZ42=0,0,(CA42-BZ42)/BZ42*100)</f>
        <v>0</v>
      </c>
      <c r="CC42" s="87">
        <f>SUM(CC43:CC44)</f>
        <v>0</v>
      </c>
      <c r="CD42" s="87">
        <f>SUM(CD43:CD44)</f>
        <v>0</v>
      </c>
      <c r="CE42" s="314">
        <f>IF(CC42=0,0,(CD42-CC42)/CC42*100)</f>
        <v>0</v>
      </c>
      <c r="CF42" s="87">
        <f>SUM(CF43:CF44)</f>
        <v>0</v>
      </c>
      <c r="CG42" s="87">
        <f>SUM(CG43:CG44)</f>
        <v>0</v>
      </c>
      <c r="CH42" s="314">
        <f>IF(CF42=0,0,(CG42-CF42)/CF42*100)</f>
        <v>0</v>
      </c>
      <c r="CI42" s="87">
        <f>SUM(CI43:CI44)</f>
        <v>0</v>
      </c>
      <c r="CJ42" s="87">
        <f>SUM(CJ43:CJ44)</f>
        <v>0</v>
      </c>
      <c r="CK42" s="314">
        <f>IF(CI42=0,0,(CJ42-CI42)/CI42*100)</f>
        <v>0</v>
      </c>
      <c r="CL42" s="87">
        <f>SUM(CL43:CL44)</f>
        <v>0</v>
      </c>
      <c r="CM42" s="87">
        <f>SUM(CM43:CM44)</f>
        <v>0</v>
      </c>
      <c r="CN42" s="314">
        <f>IF(CL42=0,0,(CM42-CL42)/CL42*100)</f>
        <v>0</v>
      </c>
      <c r="CO42" s="87">
        <f>SUM(CO43:CO44)</f>
        <v>0</v>
      </c>
      <c r="CP42" s="87">
        <f>SUM(CP43:CP44)</f>
        <v>0</v>
      </c>
      <c r="CQ42" s="314">
        <f>IF(CO42=0,0,(CP42-CO42)/CO42*100)</f>
        <v>0</v>
      </c>
      <c r="CR42" s="87">
        <f>SUM(CR43:CR44)</f>
        <v>0</v>
      </c>
      <c r="CS42" s="87">
        <f>SUM(CS43:CS44)</f>
        <v>0</v>
      </c>
      <c r="CT42" s="314">
        <f>IF(CR42=0,0,(CS42-CR42)/CR42*100)</f>
        <v>0</v>
      </c>
      <c r="CU42" s="87">
        <f>SUM(CU43:CU44)</f>
        <v>0</v>
      </c>
      <c r="CV42" s="87">
        <f>SUM(CV43:CV44)</f>
        <v>0</v>
      </c>
      <c r="CW42" s="314">
        <f>IF(CU42=0,0,(CV42-CU42)/CU42*100)</f>
        <v>0</v>
      </c>
      <c r="CX42" s="87">
        <f>SUM(CX43:CX44)</f>
        <v>0</v>
      </c>
      <c r="CY42" s="87">
        <f>SUM(CY43:CY44)</f>
        <v>0</v>
      </c>
      <c r="CZ42" s="314">
        <f>IF(CX42=0,0,(CY42-CX42)/CX42*100)</f>
        <v>0</v>
      </c>
      <c r="DA42" s="87">
        <f>SUM(DA43:DA44)</f>
        <v>0</v>
      </c>
      <c r="DB42" s="87">
        <f>SUM(DB43:DB44)</f>
        <v>0</v>
      </c>
      <c r="DC42" s="314">
        <f>IF(DA42=0,0,(DB42-DA42)/DA42*100)</f>
        <v>0</v>
      </c>
      <c r="DD42" s="87">
        <f>SUM(DD43:DD44)</f>
        <v>0</v>
      </c>
      <c r="DE42" s="87">
        <f>SUM(DE43:DE44)</f>
        <v>0</v>
      </c>
      <c r="DF42" s="314">
        <f>IF(DD42=0,0,(DE42-DD42)/DD42*100)</f>
        <v>0</v>
      </c>
      <c r="DG42" s="87">
        <f>SUM(DG43:DG44)</f>
        <v>0</v>
      </c>
      <c r="DH42" s="87">
        <f>SUM(DH43:DH44)</f>
        <v>0</v>
      </c>
      <c r="DI42" s="314">
        <f>IF(DG42=0,0,(DH42-DG42)/DG42*100)</f>
        <v>0</v>
      </c>
      <c r="DJ42" s="87">
        <f>SUM(DJ43:DJ44)</f>
        <v>0</v>
      </c>
      <c r="DK42" s="87">
        <f>SUM(DK43:DK44)</f>
        <v>0</v>
      </c>
      <c r="DL42" s="314">
        <f>IF(DJ42=0,0,(DK42-DJ42)/DJ42*100)</f>
        <v>0</v>
      </c>
      <c r="DM42" s="87">
        <f>SUM(DM43:DM44)</f>
        <v>0</v>
      </c>
      <c r="DN42" s="87">
        <f>SUM(DN43:DN44)</f>
        <v>0</v>
      </c>
      <c r="DO42" s="314">
        <f>IF(DM42=0,0,(DN42-DM42)/DM42*100)</f>
        <v>0</v>
      </c>
      <c r="DP42" s="87">
        <f>SUM(DP43:DP44)</f>
        <v>0</v>
      </c>
      <c r="DQ42" s="87">
        <f>SUM(DQ43:DQ44)</f>
        <v>0</v>
      </c>
      <c r="DR42" s="314">
        <f>IF(DP42=0,0,(DQ42-DP42)/DP42*100)</f>
        <v>0</v>
      </c>
      <c r="DS42" s="87">
        <f>SUM(DS43:DS44)</f>
        <v>0</v>
      </c>
      <c r="DT42" s="87">
        <f>SUM(DT43:DT44)</f>
        <v>0</v>
      </c>
      <c r="DU42" s="314">
        <f>IF(DS42=0,0,(DT42-DS42)/DS42*100)</f>
        <v>0</v>
      </c>
      <c r="DV42" s="87">
        <f>SUM(DV43:DV44)</f>
        <v>0</v>
      </c>
      <c r="DW42" s="87">
        <f>SUM(DW43:DW44)</f>
        <v>0</v>
      </c>
      <c r="DX42" s="314">
        <f>IF(DV42=0,0,(DW42-DV42)/DV42*100)</f>
        <v>0</v>
      </c>
      <c r="DY42" s="87">
        <f>SUM(DY43:DY44)</f>
        <v>0</v>
      </c>
      <c r="DZ42" s="87">
        <f>SUM(DZ43:DZ44)</f>
        <v>0</v>
      </c>
      <c r="EA42" s="314">
        <f>IF(DY42=0,0,(DZ42-DY42)/DY42*100)</f>
        <v>0</v>
      </c>
      <c r="EB42" s="87">
        <f>SUM(EB43:EB44)</f>
        <v>0</v>
      </c>
      <c r="EC42" s="87">
        <f>SUM(EC43:EC44)</f>
        <v>0</v>
      </c>
      <c r="ED42" s="314">
        <f>IF(EB42=0,0,(EC42-EB42)/EB42*100)</f>
        <v>0</v>
      </c>
      <c r="EE42" s="87">
        <f>SUM(EE43:EE44)</f>
        <v>0</v>
      </c>
      <c r="EF42" s="87">
        <f>SUM(EF43:EF44)</f>
        <v>0</v>
      </c>
      <c r="EG42" s="314">
        <f>IF(EE42=0,0,(EF42-EE42)/EE42*100)</f>
        <v>0</v>
      </c>
      <c r="EH42" s="87">
        <f>SUM(EH43:EH44)</f>
        <v>0</v>
      </c>
      <c r="EI42" s="87">
        <f>SUM(EI43:EI44)</f>
        <v>0</v>
      </c>
      <c r="EJ42" s="314">
        <f>IF(EH42=0,0,(EI42-EH42)/EH42*100)</f>
        <v>0</v>
      </c>
      <c r="EK42" s="87">
        <f>SUM(EK43:EK44)</f>
        <v>0</v>
      </c>
      <c r="EL42" s="87">
        <f>SUM(EL43:EL44)</f>
        <v>0</v>
      </c>
      <c r="EM42" s="314">
        <f>IF(EK42=0,0,(EL42-EK42)/EK42*100)</f>
        <v>0</v>
      </c>
      <c r="EN42" s="87">
        <f>SUM(EN43:EN44)</f>
        <v>0</v>
      </c>
      <c r="EO42" s="87">
        <f>SUM(EO43:EO44)</f>
        <v>0</v>
      </c>
      <c r="EP42" s="314">
        <f>IF(EN42=0,0,(EO42-EN42)/EN42*100)</f>
        <v>0</v>
      </c>
      <c r="EQ42" s="87">
        <f>SUM(EQ43:EQ44)</f>
        <v>0</v>
      </c>
      <c r="ER42" s="87">
        <f>SUM(ER43:ER44)</f>
        <v>0</v>
      </c>
      <c r="ES42" s="314">
        <f>IF(EQ42=0,0,(ER42-EQ42)/EQ42*100)</f>
        <v>0</v>
      </c>
      <c r="ET42" s="87">
        <f>SUM(ET43:ET44)</f>
        <v>0</v>
      </c>
      <c r="EU42" s="87">
        <f>SUM(EU43:EU44)</f>
        <v>0</v>
      </c>
      <c r="EV42" s="314">
        <f>IF(ET42=0,0,(EU42-ET42)/ET42*100)</f>
        <v>0</v>
      </c>
      <c r="EW42" s="87">
        <f>SUM(EW43:EW44)</f>
        <v>0</v>
      </c>
      <c r="EX42" s="87">
        <f>SUM(EX43:EX44)</f>
        <v>0</v>
      </c>
      <c r="EY42" s="314">
        <f>IF(EW42=0,0,(EX42-EW42)/EW42*100)</f>
        <v>0</v>
      </c>
      <c r="EZ42" s="87">
        <f>SUM(EZ43:EZ44)</f>
        <v>0</v>
      </c>
      <c r="FA42" s="87">
        <f>SUM(FA43:FA44)</f>
        <v>0</v>
      </c>
      <c r="FB42" s="314">
        <f>IF(EZ42=0,0,(FA42-EZ42)/EZ42*100)</f>
        <v>0</v>
      </c>
      <c r="FC42" s="87">
        <f>SUM(FC43:FC44)</f>
        <v>0</v>
      </c>
      <c r="FD42" s="87">
        <f>SUM(FD43:FD44)</f>
        <v>0</v>
      </c>
      <c r="FE42" s="314">
        <f>IF(FC42=0,0,(FD42-FC42)/FC42*100)</f>
        <v>0</v>
      </c>
      <c r="FF42" s="87">
        <f>SUM(FF43:FF44)</f>
        <v>0</v>
      </c>
      <c r="FG42" s="87">
        <f>SUM(FG43:FG44)</f>
        <v>0</v>
      </c>
      <c r="FH42" s="314">
        <f>IF(FF42=0,0,(FG42-FF42)/FF42*100)</f>
        <v>0</v>
      </c>
      <c r="FI42" s="87">
        <f>SUM(FI43:FI44)</f>
        <v>0</v>
      </c>
      <c r="FJ42" s="87">
        <f>SUM(FJ43:FJ44)</f>
        <v>0</v>
      </c>
      <c r="FK42" s="314">
        <f>IF(FI42=0,0,(FJ42-FI42)/FI42*100)</f>
        <v>0</v>
      </c>
      <c r="FL42" s="87">
        <f>SUM(FL43:FL44)</f>
        <v>0</v>
      </c>
      <c r="FM42" s="87">
        <f>SUM(FM43:FM44)</f>
        <v>0</v>
      </c>
      <c r="FN42" s="314">
        <f>IF(FL42=0,0,(FM42-FL42)/FL42*100)</f>
        <v>0</v>
      </c>
      <c r="FO42" s="87">
        <f>SUM(FO43:FO44)</f>
        <v>0</v>
      </c>
      <c r="FP42" s="87">
        <f>SUM(FP43:FP44)</f>
        <v>0</v>
      </c>
      <c r="FQ42" s="314">
        <f>IF(FO42=0,0,(FP42-FO42)/FO42*100)</f>
        <v>0</v>
      </c>
      <c r="FR42" s="87">
        <f>SUM(FR43:FR44)</f>
        <v>0</v>
      </c>
      <c r="FS42" s="87">
        <f>SUM(FS43:FS44)</f>
        <v>0</v>
      </c>
      <c r="FT42" s="314">
        <f>IF(FR42=0,0,(FS42-FR42)/FR42*100)</f>
        <v>0</v>
      </c>
      <c r="FU42" s="87">
        <f>SUM(FU43:FU44)</f>
        <v>0</v>
      </c>
      <c r="FV42" s="87">
        <f>SUM(FV43:FV44)</f>
        <v>0</v>
      </c>
      <c r="FW42" s="314">
        <f>IF(FU42=0,0,(FV42-FU42)/FU42*100)</f>
        <v>0</v>
      </c>
      <c r="FZ42" s="912" t="s">
        <v>1678</v>
      </c>
      <c r="GA42" s="930"/>
      <c r="GB42" s="930"/>
      <c r="GC42" s="930"/>
      <c r="GD42" s="930"/>
    </row>
    <row r="43" spans="1:186" ht="16.7" hidden="1" customHeight="1">
      <c r="B43" s="749" t="b">
        <f t="shared" si="22"/>
        <v>1</v>
      </c>
      <c r="E43" s="623">
        <v>17.100000000000001</v>
      </c>
      <c r="F43" s="714">
        <f t="shared" ca="1" si="20"/>
        <v>0</v>
      </c>
      <c r="Q43" s="394"/>
      <c r="T43" s="634" t="b">
        <f t="shared" si="21"/>
        <v>0</v>
      </c>
      <c r="X43" s="1405"/>
      <c r="Z43" s="1405"/>
      <c r="AB43" s="210" t="s">
        <v>1679</v>
      </c>
      <c r="AC43" s="110" t="s">
        <v>491</v>
      </c>
      <c r="AD43" s="54"/>
      <c r="AE43" s="54"/>
      <c r="AF43" s="525">
        <f>IF(AD43=0,0,(AE43-AD43)/AD43*100)</f>
        <v>0</v>
      </c>
      <c r="AG43" s="1262"/>
      <c r="AH43" s="1262"/>
      <c r="AI43" s="525">
        <f>IF(AG43=0,0,(AH43-AG43)/AG43*100)</f>
        <v>0</v>
      </c>
      <c r="AJ43" s="1262"/>
      <c r="AK43" s="1262"/>
      <c r="AL43" s="525">
        <f>IF(AJ43=0,0,(AK43-AJ43)/AJ43*100)</f>
        <v>0</v>
      </c>
      <c r="AM43" s="54"/>
      <c r="AN43" s="54"/>
      <c r="AO43" s="525">
        <f>IF(AM43=0,0,(AN43-AM43)/AM43*100)</f>
        <v>0</v>
      </c>
      <c r="AP43" s="54"/>
      <c r="AQ43" s="54"/>
      <c r="AR43" s="525">
        <f>IF(AP43=0,0,(AQ43-AP43)/AP43*100)</f>
        <v>0</v>
      </c>
      <c r="AS43" s="54"/>
      <c r="AT43" s="54"/>
      <c r="AU43" s="525">
        <f>IF(AS43=0,0,(AT43-AS43)/AS43*100)</f>
        <v>0</v>
      </c>
      <c r="AV43" s="54"/>
      <c r="AW43" s="54"/>
      <c r="AX43" s="525">
        <f>IF(AV43=0,0,(AW43-AV43)/AV43*100)</f>
        <v>0</v>
      </c>
      <c r="AY43" s="54"/>
      <c r="AZ43" s="54"/>
      <c r="BA43" s="525">
        <f>IF(AY43=0,0,(AZ43-AY43)/AY43*100)</f>
        <v>0</v>
      </c>
      <c r="BB43" s="54"/>
      <c r="BC43" s="54"/>
      <c r="BD43" s="525">
        <f>IF(BB43=0,0,(BC43-BB43)/BB43*100)</f>
        <v>0</v>
      </c>
      <c r="BE43" s="54"/>
      <c r="BF43" s="54"/>
      <c r="BG43" s="525">
        <f>IF(BE43=0,0,(BF43-BE43)/BE43*100)</f>
        <v>0</v>
      </c>
      <c r="BH43" s="54"/>
      <c r="BI43" s="54"/>
      <c r="BJ43" s="525">
        <f>IF(BH43=0,0,(BI43-BH43)/BH43*100)</f>
        <v>0</v>
      </c>
      <c r="BK43" s="54"/>
      <c r="BL43" s="54"/>
      <c r="BM43" s="525">
        <f>IF(BK43=0,0,(BL43-BK43)/BK43*100)</f>
        <v>0</v>
      </c>
      <c r="BN43" s="54"/>
      <c r="BO43" s="54"/>
      <c r="BP43" s="525">
        <f>IF(BN43=0,0,(BO43-BN43)/BN43*100)</f>
        <v>0</v>
      </c>
      <c r="BQ43" s="54"/>
      <c r="BR43" s="54"/>
      <c r="BS43" s="525">
        <f>IF(BQ43=0,0,(BR43-BQ43)/BQ43*100)</f>
        <v>0</v>
      </c>
      <c r="BT43" s="54"/>
      <c r="BU43" s="54"/>
      <c r="BV43" s="525">
        <f>IF(BT43=0,0,(BU43-BT43)/BT43*100)</f>
        <v>0</v>
      </c>
      <c r="BW43" s="54"/>
      <c r="BX43" s="54"/>
      <c r="BY43" s="525">
        <f>IF(BW43=0,0,(BX43-BW43)/BW43*100)</f>
        <v>0</v>
      </c>
      <c r="BZ43" s="54"/>
      <c r="CA43" s="54"/>
      <c r="CB43" s="525">
        <f>IF(BZ43=0,0,(CA43-BZ43)/BZ43*100)</f>
        <v>0</v>
      </c>
      <c r="CC43" s="54"/>
      <c r="CD43" s="54"/>
      <c r="CE43" s="525">
        <f>IF(CC43=0,0,(CD43-CC43)/CC43*100)</f>
        <v>0</v>
      </c>
      <c r="CF43" s="54"/>
      <c r="CG43" s="54"/>
      <c r="CH43" s="525">
        <f>IF(CF43=0,0,(CG43-CF43)/CF43*100)</f>
        <v>0</v>
      </c>
      <c r="CI43" s="54"/>
      <c r="CJ43" s="54"/>
      <c r="CK43" s="525">
        <f>IF(CI43=0,0,(CJ43-CI43)/CI43*100)</f>
        <v>0</v>
      </c>
      <c r="CL43" s="54"/>
      <c r="CM43" s="54"/>
      <c r="CN43" s="525">
        <f>IF(CL43=0,0,(CM43-CL43)/CL43*100)</f>
        <v>0</v>
      </c>
      <c r="CO43" s="54"/>
      <c r="CP43" s="54"/>
      <c r="CQ43" s="525">
        <f>IF(CO43=0,0,(CP43-CO43)/CO43*100)</f>
        <v>0</v>
      </c>
      <c r="CR43" s="54"/>
      <c r="CS43" s="54"/>
      <c r="CT43" s="525">
        <f>IF(CR43=0,0,(CS43-CR43)/CR43*100)</f>
        <v>0</v>
      </c>
      <c r="CU43" s="54"/>
      <c r="CV43" s="54"/>
      <c r="CW43" s="525">
        <f>IF(CU43=0,0,(CV43-CU43)/CU43*100)</f>
        <v>0</v>
      </c>
      <c r="CX43" s="54"/>
      <c r="CY43" s="54"/>
      <c r="CZ43" s="525">
        <f>IF(CX43=0,0,(CY43-CX43)/CX43*100)</f>
        <v>0</v>
      </c>
      <c r="DA43" s="54"/>
      <c r="DB43" s="54"/>
      <c r="DC43" s="525">
        <f>IF(DA43=0,0,(DB43-DA43)/DA43*100)</f>
        <v>0</v>
      </c>
      <c r="DD43" s="54"/>
      <c r="DE43" s="54"/>
      <c r="DF43" s="525">
        <f>IF(DD43=0,0,(DE43-DD43)/DD43*100)</f>
        <v>0</v>
      </c>
      <c r="DG43" s="54"/>
      <c r="DH43" s="54"/>
      <c r="DI43" s="525">
        <f>IF(DG43=0,0,(DH43-DG43)/DG43*100)</f>
        <v>0</v>
      </c>
      <c r="DJ43" s="54"/>
      <c r="DK43" s="54"/>
      <c r="DL43" s="525">
        <f>IF(DJ43=0,0,(DK43-DJ43)/DJ43*100)</f>
        <v>0</v>
      </c>
      <c r="DM43" s="54"/>
      <c r="DN43" s="54"/>
      <c r="DO43" s="525">
        <f>IF(DM43=0,0,(DN43-DM43)/DM43*100)</f>
        <v>0</v>
      </c>
      <c r="DP43" s="54"/>
      <c r="DQ43" s="54"/>
      <c r="DR43" s="525">
        <f>IF(DP43=0,0,(DQ43-DP43)/DP43*100)</f>
        <v>0</v>
      </c>
      <c r="DS43" s="54"/>
      <c r="DT43" s="54"/>
      <c r="DU43" s="525">
        <f>IF(DS43=0,0,(DT43-DS43)/DS43*100)</f>
        <v>0</v>
      </c>
      <c r="DV43" s="54"/>
      <c r="DW43" s="54"/>
      <c r="DX43" s="525">
        <f>IF(DV43=0,0,(DW43-DV43)/DV43*100)</f>
        <v>0</v>
      </c>
      <c r="DY43" s="54"/>
      <c r="DZ43" s="54"/>
      <c r="EA43" s="525">
        <f>IF(DY43=0,0,(DZ43-DY43)/DY43*100)</f>
        <v>0</v>
      </c>
      <c r="EB43" s="54"/>
      <c r="EC43" s="54"/>
      <c r="ED43" s="525">
        <f>IF(EB43=0,0,(EC43-EB43)/EB43*100)</f>
        <v>0</v>
      </c>
      <c r="EE43" s="54"/>
      <c r="EF43" s="54"/>
      <c r="EG43" s="525">
        <f>IF(EE43=0,0,(EF43-EE43)/EE43*100)</f>
        <v>0</v>
      </c>
      <c r="EH43" s="54"/>
      <c r="EI43" s="54"/>
      <c r="EJ43" s="525">
        <f>IF(EH43=0,0,(EI43-EH43)/EH43*100)</f>
        <v>0</v>
      </c>
      <c r="EK43" s="54"/>
      <c r="EL43" s="54"/>
      <c r="EM43" s="525">
        <f>IF(EK43=0,0,(EL43-EK43)/EK43*100)</f>
        <v>0</v>
      </c>
      <c r="EN43" s="54"/>
      <c r="EO43" s="54"/>
      <c r="EP43" s="525">
        <f>IF(EN43=0,0,(EO43-EN43)/EN43*100)</f>
        <v>0</v>
      </c>
      <c r="EQ43" s="54"/>
      <c r="ER43" s="54"/>
      <c r="ES43" s="525">
        <f>IF(EQ43=0,0,(ER43-EQ43)/EQ43*100)</f>
        <v>0</v>
      </c>
      <c r="ET43" s="54"/>
      <c r="EU43" s="54"/>
      <c r="EV43" s="525">
        <f>IF(ET43=0,0,(EU43-ET43)/ET43*100)</f>
        <v>0</v>
      </c>
      <c r="EW43" s="54"/>
      <c r="EX43" s="54"/>
      <c r="EY43" s="525">
        <f>IF(EW43=0,0,(EX43-EW43)/EW43*100)</f>
        <v>0</v>
      </c>
      <c r="EZ43" s="54"/>
      <c r="FA43" s="54"/>
      <c r="FB43" s="525">
        <f>IF(EZ43=0,0,(FA43-EZ43)/EZ43*100)</f>
        <v>0</v>
      </c>
      <c r="FC43" s="54"/>
      <c r="FD43" s="54"/>
      <c r="FE43" s="525">
        <f>IF(FC43=0,0,(FD43-FC43)/FC43*100)</f>
        <v>0</v>
      </c>
      <c r="FF43" s="54"/>
      <c r="FG43" s="54"/>
      <c r="FH43" s="525">
        <f>IF(FF43=0,0,(FG43-FF43)/FF43*100)</f>
        <v>0</v>
      </c>
      <c r="FI43" s="54"/>
      <c r="FJ43" s="54"/>
      <c r="FK43" s="525">
        <f>IF(FI43=0,0,(FJ43-FI43)/FI43*100)</f>
        <v>0</v>
      </c>
      <c r="FL43" s="54"/>
      <c r="FM43" s="54"/>
      <c r="FN43" s="525">
        <f>IF(FL43=0,0,(FM43-FL43)/FL43*100)</f>
        <v>0</v>
      </c>
      <c r="FO43" s="54"/>
      <c r="FP43" s="54"/>
      <c r="FQ43" s="525">
        <f>IF(FO43=0,0,(FP43-FO43)/FO43*100)</f>
        <v>0</v>
      </c>
      <c r="FR43" s="54"/>
      <c r="FS43" s="54"/>
      <c r="FT43" s="525">
        <f>IF(FR43=0,0,(FS43-FR43)/FR43*100)</f>
        <v>0</v>
      </c>
      <c r="FU43" s="54"/>
      <c r="FV43" s="54"/>
      <c r="FW43" s="525">
        <f>IF(FU43=0,0,(FV43-FU43)/FU43*100)</f>
        <v>0</v>
      </c>
      <c r="FZ43" s="912" t="s">
        <v>1680</v>
      </c>
      <c r="GA43" s="930"/>
      <c r="GB43" s="930"/>
      <c r="GC43" s="930"/>
      <c r="GD43" s="930"/>
    </row>
    <row r="44" spans="1:186" ht="16.7" hidden="1" customHeight="1">
      <c r="B44" s="749" t="b">
        <f t="shared" si="22"/>
        <v>1</v>
      </c>
      <c r="E44" s="623">
        <v>17.100000000000001</v>
      </c>
      <c r="F44" s="714">
        <f t="shared" ca="1" si="20"/>
        <v>0</v>
      </c>
      <c r="Q44" s="394"/>
      <c r="T44" s="634" t="b">
        <f t="shared" si="21"/>
        <v>0</v>
      </c>
      <c r="X44" s="1405"/>
      <c r="Z44" s="1405"/>
      <c r="AB44" s="210" t="s">
        <v>1681</v>
      </c>
      <c r="AC44" s="110" t="s">
        <v>491</v>
      </c>
      <c r="AD44" s="54"/>
      <c r="AE44" s="54"/>
      <c r="AF44" s="525">
        <f>IF(AD44=0,0,(AE44-AD44)/AD44*100)</f>
        <v>0</v>
      </c>
      <c r="AG44" s="1262"/>
      <c r="AH44" s="1262"/>
      <c r="AI44" s="525">
        <f>IF(AG44=0,0,(AH44-AG44)/AG44*100)</f>
        <v>0</v>
      </c>
      <c r="AJ44" s="1262"/>
      <c r="AK44" s="1262"/>
      <c r="AL44" s="525">
        <f>IF(AJ44=0,0,(AK44-AJ44)/AJ44*100)</f>
        <v>0</v>
      </c>
      <c r="AM44" s="54"/>
      <c r="AN44" s="54"/>
      <c r="AO44" s="525">
        <f>IF(AM44=0,0,(AN44-AM44)/AM44*100)</f>
        <v>0</v>
      </c>
      <c r="AP44" s="54"/>
      <c r="AQ44" s="54"/>
      <c r="AR44" s="525">
        <f>IF(AP44=0,0,(AQ44-AP44)/AP44*100)</f>
        <v>0</v>
      </c>
      <c r="AS44" s="54"/>
      <c r="AT44" s="54"/>
      <c r="AU44" s="525">
        <f>IF(AS44=0,0,(AT44-AS44)/AS44*100)</f>
        <v>0</v>
      </c>
      <c r="AV44" s="54"/>
      <c r="AW44" s="54"/>
      <c r="AX44" s="525">
        <f>IF(AV44=0,0,(AW44-AV44)/AV44*100)</f>
        <v>0</v>
      </c>
      <c r="AY44" s="54"/>
      <c r="AZ44" s="54"/>
      <c r="BA44" s="525">
        <f>IF(AY44=0,0,(AZ44-AY44)/AY44*100)</f>
        <v>0</v>
      </c>
      <c r="BB44" s="54"/>
      <c r="BC44" s="54"/>
      <c r="BD44" s="525">
        <f>IF(BB44=0,0,(BC44-BB44)/BB44*100)</f>
        <v>0</v>
      </c>
      <c r="BE44" s="54"/>
      <c r="BF44" s="54"/>
      <c r="BG44" s="525">
        <f>IF(BE44=0,0,(BF44-BE44)/BE44*100)</f>
        <v>0</v>
      </c>
      <c r="BH44" s="54"/>
      <c r="BI44" s="54"/>
      <c r="BJ44" s="525">
        <f>IF(BH44=0,0,(BI44-BH44)/BH44*100)</f>
        <v>0</v>
      </c>
      <c r="BK44" s="54"/>
      <c r="BL44" s="54"/>
      <c r="BM44" s="525">
        <f>IF(BK44=0,0,(BL44-BK44)/BK44*100)</f>
        <v>0</v>
      </c>
      <c r="BN44" s="54"/>
      <c r="BO44" s="54"/>
      <c r="BP44" s="525">
        <f>IF(BN44=0,0,(BO44-BN44)/BN44*100)</f>
        <v>0</v>
      </c>
      <c r="BQ44" s="54"/>
      <c r="BR44" s="54"/>
      <c r="BS44" s="525">
        <f>IF(BQ44=0,0,(BR44-BQ44)/BQ44*100)</f>
        <v>0</v>
      </c>
      <c r="BT44" s="54"/>
      <c r="BU44" s="54"/>
      <c r="BV44" s="525">
        <f>IF(BT44=0,0,(BU44-BT44)/BT44*100)</f>
        <v>0</v>
      </c>
      <c r="BW44" s="54"/>
      <c r="BX44" s="54"/>
      <c r="BY44" s="525">
        <f>IF(BW44=0,0,(BX44-BW44)/BW44*100)</f>
        <v>0</v>
      </c>
      <c r="BZ44" s="54"/>
      <c r="CA44" s="54"/>
      <c r="CB44" s="525">
        <f>IF(BZ44=0,0,(CA44-BZ44)/BZ44*100)</f>
        <v>0</v>
      </c>
      <c r="CC44" s="54"/>
      <c r="CD44" s="54"/>
      <c r="CE44" s="525">
        <f>IF(CC44=0,0,(CD44-CC44)/CC44*100)</f>
        <v>0</v>
      </c>
      <c r="CF44" s="54"/>
      <c r="CG44" s="54"/>
      <c r="CH44" s="525">
        <f>IF(CF44=0,0,(CG44-CF44)/CF44*100)</f>
        <v>0</v>
      </c>
      <c r="CI44" s="54"/>
      <c r="CJ44" s="54"/>
      <c r="CK44" s="525">
        <f>IF(CI44=0,0,(CJ44-CI44)/CI44*100)</f>
        <v>0</v>
      </c>
      <c r="CL44" s="54"/>
      <c r="CM44" s="54"/>
      <c r="CN44" s="525">
        <f>IF(CL44=0,0,(CM44-CL44)/CL44*100)</f>
        <v>0</v>
      </c>
      <c r="CO44" s="54"/>
      <c r="CP44" s="54"/>
      <c r="CQ44" s="525">
        <f>IF(CO44=0,0,(CP44-CO44)/CO44*100)</f>
        <v>0</v>
      </c>
      <c r="CR44" s="54"/>
      <c r="CS44" s="54"/>
      <c r="CT44" s="525">
        <f>IF(CR44=0,0,(CS44-CR44)/CR44*100)</f>
        <v>0</v>
      </c>
      <c r="CU44" s="54"/>
      <c r="CV44" s="54"/>
      <c r="CW44" s="525">
        <f>IF(CU44=0,0,(CV44-CU44)/CU44*100)</f>
        <v>0</v>
      </c>
      <c r="CX44" s="54"/>
      <c r="CY44" s="54"/>
      <c r="CZ44" s="525">
        <f>IF(CX44=0,0,(CY44-CX44)/CX44*100)</f>
        <v>0</v>
      </c>
      <c r="DA44" s="54"/>
      <c r="DB44" s="54"/>
      <c r="DC44" s="525">
        <f>IF(DA44=0,0,(DB44-DA44)/DA44*100)</f>
        <v>0</v>
      </c>
      <c r="DD44" s="54"/>
      <c r="DE44" s="54"/>
      <c r="DF44" s="525">
        <f>IF(DD44=0,0,(DE44-DD44)/DD44*100)</f>
        <v>0</v>
      </c>
      <c r="DG44" s="54"/>
      <c r="DH44" s="54"/>
      <c r="DI44" s="525">
        <f>IF(DG44=0,0,(DH44-DG44)/DG44*100)</f>
        <v>0</v>
      </c>
      <c r="DJ44" s="54"/>
      <c r="DK44" s="54"/>
      <c r="DL44" s="525">
        <f>IF(DJ44=0,0,(DK44-DJ44)/DJ44*100)</f>
        <v>0</v>
      </c>
      <c r="DM44" s="54"/>
      <c r="DN44" s="54"/>
      <c r="DO44" s="525">
        <f>IF(DM44=0,0,(DN44-DM44)/DM44*100)</f>
        <v>0</v>
      </c>
      <c r="DP44" s="54"/>
      <c r="DQ44" s="54"/>
      <c r="DR44" s="525">
        <f>IF(DP44=0,0,(DQ44-DP44)/DP44*100)</f>
        <v>0</v>
      </c>
      <c r="DS44" s="54"/>
      <c r="DT44" s="54"/>
      <c r="DU44" s="525">
        <f>IF(DS44=0,0,(DT44-DS44)/DS44*100)</f>
        <v>0</v>
      </c>
      <c r="DV44" s="54"/>
      <c r="DW44" s="54"/>
      <c r="DX44" s="525">
        <f>IF(DV44=0,0,(DW44-DV44)/DV44*100)</f>
        <v>0</v>
      </c>
      <c r="DY44" s="54"/>
      <c r="DZ44" s="54"/>
      <c r="EA44" s="525">
        <f>IF(DY44=0,0,(DZ44-DY44)/DY44*100)</f>
        <v>0</v>
      </c>
      <c r="EB44" s="54"/>
      <c r="EC44" s="54"/>
      <c r="ED44" s="525">
        <f>IF(EB44=0,0,(EC44-EB44)/EB44*100)</f>
        <v>0</v>
      </c>
      <c r="EE44" s="54"/>
      <c r="EF44" s="54"/>
      <c r="EG44" s="525">
        <f>IF(EE44=0,0,(EF44-EE44)/EE44*100)</f>
        <v>0</v>
      </c>
      <c r="EH44" s="54"/>
      <c r="EI44" s="54"/>
      <c r="EJ44" s="525">
        <f>IF(EH44=0,0,(EI44-EH44)/EH44*100)</f>
        <v>0</v>
      </c>
      <c r="EK44" s="54"/>
      <c r="EL44" s="54"/>
      <c r="EM44" s="525">
        <f>IF(EK44=0,0,(EL44-EK44)/EK44*100)</f>
        <v>0</v>
      </c>
      <c r="EN44" s="54"/>
      <c r="EO44" s="54"/>
      <c r="EP44" s="525">
        <f>IF(EN44=0,0,(EO44-EN44)/EN44*100)</f>
        <v>0</v>
      </c>
      <c r="EQ44" s="54"/>
      <c r="ER44" s="54"/>
      <c r="ES44" s="525">
        <f>IF(EQ44=0,0,(ER44-EQ44)/EQ44*100)</f>
        <v>0</v>
      </c>
      <c r="ET44" s="54"/>
      <c r="EU44" s="54"/>
      <c r="EV44" s="525">
        <f>IF(ET44=0,0,(EU44-ET44)/ET44*100)</f>
        <v>0</v>
      </c>
      <c r="EW44" s="54"/>
      <c r="EX44" s="54"/>
      <c r="EY44" s="525">
        <f>IF(EW44=0,0,(EX44-EW44)/EW44*100)</f>
        <v>0</v>
      </c>
      <c r="EZ44" s="54"/>
      <c r="FA44" s="54"/>
      <c r="FB44" s="525">
        <f>IF(EZ44=0,0,(FA44-EZ44)/EZ44*100)</f>
        <v>0</v>
      </c>
      <c r="FC44" s="54"/>
      <c r="FD44" s="54"/>
      <c r="FE44" s="525">
        <f>IF(FC44=0,0,(FD44-FC44)/FC44*100)</f>
        <v>0</v>
      </c>
      <c r="FF44" s="54"/>
      <c r="FG44" s="54"/>
      <c r="FH44" s="525">
        <f>IF(FF44=0,0,(FG44-FF44)/FF44*100)</f>
        <v>0</v>
      </c>
      <c r="FI44" s="54"/>
      <c r="FJ44" s="54"/>
      <c r="FK44" s="525">
        <f>IF(FI44=0,0,(FJ44-FI44)/FI44*100)</f>
        <v>0</v>
      </c>
      <c r="FL44" s="54"/>
      <c r="FM44" s="54"/>
      <c r="FN44" s="525">
        <f>IF(FL44=0,0,(FM44-FL44)/FL44*100)</f>
        <v>0</v>
      </c>
      <c r="FO44" s="54"/>
      <c r="FP44" s="54"/>
      <c r="FQ44" s="525">
        <f>IF(FO44=0,0,(FP44-FO44)/FO44*100)</f>
        <v>0</v>
      </c>
      <c r="FR44" s="54"/>
      <c r="FS44" s="54"/>
      <c r="FT44" s="525">
        <f>IF(FR44=0,0,(FS44-FR44)/FR44*100)</f>
        <v>0</v>
      </c>
      <c r="FU44" s="54"/>
      <c r="FV44" s="54"/>
      <c r="FW44" s="525">
        <f>IF(FU44=0,0,(FV44-FU44)/FU44*100)</f>
        <v>0</v>
      </c>
      <c r="FZ44" s="912" t="s">
        <v>1682</v>
      </c>
      <c r="GA44" s="930"/>
      <c r="GB44" s="930"/>
      <c r="GC44" s="930"/>
      <c r="GD44" s="930"/>
    </row>
    <row r="45" spans="1:186" s="1057" customFormat="1" ht="16.5" hidden="1" customHeight="1">
      <c r="A45" s="1012"/>
      <c r="B45" s="749" t="b">
        <f ca="1">OFFSET(A45,-1,1)</f>
        <v>1</v>
      </c>
      <c r="C45" s="1012" t="s">
        <v>1683</v>
      </c>
      <c r="D45" s="1012" t="s">
        <v>1684</v>
      </c>
      <c r="E45" s="717">
        <v>17.100000000000001</v>
      </c>
      <c r="F45" s="714">
        <f t="shared" ca="1" si="20"/>
        <v>0</v>
      </c>
      <c r="G45" s="394"/>
      <c r="H45" s="394"/>
      <c r="I45" s="394"/>
      <c r="J45" s="394"/>
      <c r="K45" s="394"/>
      <c r="L45" s="394"/>
      <c r="M45" s="394"/>
      <c r="N45" s="394"/>
      <c r="O45" s="394"/>
      <c r="P45" s="394"/>
      <c r="Q45" s="394">
        <f>AB45</f>
        <v>0</v>
      </c>
      <c r="R45" s="719"/>
      <c r="S45" s="394"/>
      <c r="T45" s="992" t="b">
        <f ca="1">AND(OFFSET(S45,1,1),Y45&gt;0)</f>
        <v>0</v>
      </c>
      <c r="U45" s="1012"/>
      <c r="V45" s="1012"/>
      <c r="W45" s="1012" t="s">
        <v>170</v>
      </c>
      <c r="X45" s="1405"/>
      <c r="Y45" s="1405">
        <v>0</v>
      </c>
      <c r="Z45" s="1405"/>
      <c r="AA45" s="1350" t="s">
        <v>157</v>
      </c>
      <c r="AB45" s="1263"/>
      <c r="AC45" s="1014" t="s">
        <v>738</v>
      </c>
      <c r="AD45" s="1264"/>
      <c r="AE45" s="1264"/>
      <c r="AF45" s="525">
        <f>IF(AD45=0,0,(AE45-AD45)/AD45*100)</f>
        <v>0</v>
      </c>
      <c r="AG45" s="1262"/>
      <c r="AH45" s="1262"/>
      <c r="AI45" s="525">
        <f>IF(AG45=0,0,(AH45-AG45)/AG45*100)</f>
        <v>0</v>
      </c>
      <c r="AJ45" s="1262"/>
      <c r="AK45" s="1262"/>
      <c r="AL45" s="525">
        <f>IF(AJ45=0,0,(AK45-AJ45)/AJ45*100)</f>
        <v>0</v>
      </c>
      <c r="AM45" s="1264"/>
      <c r="AN45" s="1264"/>
      <c r="AO45" s="525">
        <f>IF(AM45=0,0,(AN45-AM45)/AM45*100)</f>
        <v>0</v>
      </c>
      <c r="AP45" s="1264"/>
      <c r="AQ45" s="1264"/>
      <c r="AR45" s="525">
        <f>IF(AP45=0,0,(AQ45-AP45)/AP45*100)</f>
        <v>0</v>
      </c>
      <c r="AS45" s="1264"/>
      <c r="AT45" s="1264"/>
      <c r="AU45" s="525">
        <f>IF(AS45=0,0,(AT45-AS45)/AS45*100)</f>
        <v>0</v>
      </c>
      <c r="AV45" s="1264"/>
      <c r="AW45" s="1264"/>
      <c r="AX45" s="525">
        <f>IF(AV45=0,0,(AW45-AV45)/AV45*100)</f>
        <v>0</v>
      </c>
      <c r="AY45" s="1264"/>
      <c r="AZ45" s="1264"/>
      <c r="BA45" s="525">
        <f>IF(AY45=0,0,(AZ45-AY45)/AY45*100)</f>
        <v>0</v>
      </c>
      <c r="BB45" s="1264"/>
      <c r="BC45" s="1264"/>
      <c r="BD45" s="525">
        <f>IF(BB45=0,0,(BC45-BB45)/BB45*100)</f>
        <v>0</v>
      </c>
      <c r="BE45" s="1264"/>
      <c r="BF45" s="1264"/>
      <c r="BG45" s="525">
        <f>IF(BE45=0,0,(BF45-BE45)/BE45*100)</f>
        <v>0</v>
      </c>
      <c r="BH45" s="1264"/>
      <c r="BI45" s="1264"/>
      <c r="BJ45" s="525">
        <f>IF(BH45=0,0,(BI45-BH45)/BH45*100)</f>
        <v>0</v>
      </c>
      <c r="BK45" s="1264"/>
      <c r="BL45" s="1264"/>
      <c r="BM45" s="525">
        <f>IF(BK45=0,0,(BL45-BK45)/BK45*100)</f>
        <v>0</v>
      </c>
      <c r="BN45" s="1264"/>
      <c r="BO45" s="1264"/>
      <c r="BP45" s="525">
        <f>IF(BN45=0,0,(BO45-BN45)/BN45*100)</f>
        <v>0</v>
      </c>
      <c r="BQ45" s="1264"/>
      <c r="BR45" s="1264"/>
      <c r="BS45" s="525">
        <f>IF(BQ45=0,0,(BR45-BQ45)/BQ45*100)</f>
        <v>0</v>
      </c>
      <c r="BT45" s="1264"/>
      <c r="BU45" s="1264"/>
      <c r="BV45" s="525">
        <f>IF(BT45=0,0,(BU45-BT45)/BT45*100)</f>
        <v>0</v>
      </c>
      <c r="BW45" s="1264"/>
      <c r="BX45" s="1264"/>
      <c r="BY45" s="525">
        <f>IF(BW45=0,0,(BX45-BW45)/BW45*100)</f>
        <v>0</v>
      </c>
      <c r="BZ45" s="1264"/>
      <c r="CA45" s="1264"/>
      <c r="CB45" s="525">
        <f>IF(BZ45=0,0,(CA45-BZ45)/BZ45*100)</f>
        <v>0</v>
      </c>
      <c r="CC45" s="1264"/>
      <c r="CD45" s="1264"/>
      <c r="CE45" s="525">
        <f>IF(CC45=0,0,(CD45-CC45)/CC45*100)</f>
        <v>0</v>
      </c>
      <c r="CF45" s="1264"/>
      <c r="CG45" s="1264"/>
      <c r="CH45" s="525">
        <f>IF(CF45=0,0,(CG45-CF45)/CF45*100)</f>
        <v>0</v>
      </c>
      <c r="CI45" s="1264"/>
      <c r="CJ45" s="1264"/>
      <c r="CK45" s="525">
        <f>IF(CI45=0,0,(CJ45-CI45)/CI45*100)</f>
        <v>0</v>
      </c>
      <c r="CL45" s="1264"/>
      <c r="CM45" s="1264"/>
      <c r="CN45" s="525">
        <f>IF(CL45=0,0,(CM45-CL45)/CL45*100)</f>
        <v>0</v>
      </c>
      <c r="CO45" s="1264"/>
      <c r="CP45" s="1264"/>
      <c r="CQ45" s="525">
        <f>IF(CO45=0,0,(CP45-CO45)/CO45*100)</f>
        <v>0</v>
      </c>
      <c r="CR45" s="1264"/>
      <c r="CS45" s="1264"/>
      <c r="CT45" s="525">
        <f>IF(CR45=0,0,(CS45-CR45)/CR45*100)</f>
        <v>0</v>
      </c>
      <c r="CU45" s="1264"/>
      <c r="CV45" s="1264"/>
      <c r="CW45" s="525">
        <f>IF(CU45=0,0,(CV45-CU45)/CU45*100)</f>
        <v>0</v>
      </c>
      <c r="CX45" s="1264"/>
      <c r="CY45" s="1264"/>
      <c r="CZ45" s="525">
        <f>IF(CX45=0,0,(CY45-CX45)/CX45*100)</f>
        <v>0</v>
      </c>
      <c r="DA45" s="1264"/>
      <c r="DB45" s="1264"/>
      <c r="DC45" s="525">
        <f>IF(DA45=0,0,(DB45-DA45)/DA45*100)</f>
        <v>0</v>
      </c>
      <c r="DD45" s="1264"/>
      <c r="DE45" s="1264"/>
      <c r="DF45" s="525">
        <f>IF(DD45=0,0,(DE45-DD45)/DD45*100)</f>
        <v>0</v>
      </c>
      <c r="DG45" s="1264"/>
      <c r="DH45" s="1264"/>
      <c r="DI45" s="525">
        <f>IF(DG45=0,0,(DH45-DG45)/DG45*100)</f>
        <v>0</v>
      </c>
      <c r="DJ45" s="1264"/>
      <c r="DK45" s="1264"/>
      <c r="DL45" s="525">
        <f>IF(DJ45=0,0,(DK45-DJ45)/DJ45*100)</f>
        <v>0</v>
      </c>
      <c r="DM45" s="1264"/>
      <c r="DN45" s="1264"/>
      <c r="DO45" s="525">
        <f>IF(DM45=0,0,(DN45-DM45)/DM45*100)</f>
        <v>0</v>
      </c>
      <c r="DP45" s="1264"/>
      <c r="DQ45" s="1264"/>
      <c r="DR45" s="525">
        <f>IF(DP45=0,0,(DQ45-DP45)/DP45*100)</f>
        <v>0</v>
      </c>
      <c r="DS45" s="1264"/>
      <c r="DT45" s="1264"/>
      <c r="DU45" s="525">
        <f>IF(DS45=0,0,(DT45-DS45)/DS45*100)</f>
        <v>0</v>
      </c>
      <c r="DV45" s="1264"/>
      <c r="DW45" s="1264"/>
      <c r="DX45" s="525">
        <f>IF(DV45=0,0,(DW45-DV45)/DV45*100)</f>
        <v>0</v>
      </c>
      <c r="DY45" s="1264"/>
      <c r="DZ45" s="1264"/>
      <c r="EA45" s="525">
        <f>IF(DY45=0,0,(DZ45-DY45)/DY45*100)</f>
        <v>0</v>
      </c>
      <c r="EB45" s="1264"/>
      <c r="EC45" s="1264"/>
      <c r="ED45" s="525">
        <f>IF(EB45=0,0,(EC45-EB45)/EB45*100)</f>
        <v>0</v>
      </c>
      <c r="EE45" s="1264"/>
      <c r="EF45" s="1264"/>
      <c r="EG45" s="525">
        <f>IF(EE45=0,0,(EF45-EE45)/EE45*100)</f>
        <v>0</v>
      </c>
      <c r="EH45" s="1264"/>
      <c r="EI45" s="1264"/>
      <c r="EJ45" s="525">
        <f>IF(EH45=0,0,(EI45-EH45)/EH45*100)</f>
        <v>0</v>
      </c>
      <c r="EK45" s="1264"/>
      <c r="EL45" s="1264"/>
      <c r="EM45" s="525">
        <f>IF(EK45=0,0,(EL45-EK45)/EK45*100)</f>
        <v>0</v>
      </c>
      <c r="EN45" s="1264"/>
      <c r="EO45" s="1264"/>
      <c r="EP45" s="525">
        <f>IF(EN45=0,0,(EO45-EN45)/EN45*100)</f>
        <v>0</v>
      </c>
      <c r="EQ45" s="1264"/>
      <c r="ER45" s="1264"/>
      <c r="ES45" s="525">
        <f>IF(EQ45=0,0,(ER45-EQ45)/EQ45*100)</f>
        <v>0</v>
      </c>
      <c r="ET45" s="1264"/>
      <c r="EU45" s="1264"/>
      <c r="EV45" s="525">
        <f>IF(ET45=0,0,(EU45-ET45)/ET45*100)</f>
        <v>0</v>
      </c>
      <c r="EW45" s="1264"/>
      <c r="EX45" s="1264"/>
      <c r="EY45" s="525">
        <f>IF(EW45=0,0,(EX45-EW45)/EW45*100)</f>
        <v>0</v>
      </c>
      <c r="EZ45" s="1264"/>
      <c r="FA45" s="1264"/>
      <c r="FB45" s="525">
        <f>IF(EZ45=0,0,(FA45-EZ45)/EZ45*100)</f>
        <v>0</v>
      </c>
      <c r="FC45" s="1264"/>
      <c r="FD45" s="1264"/>
      <c r="FE45" s="525">
        <f>IF(FC45=0,0,(FD45-FC45)/FC45*100)</f>
        <v>0</v>
      </c>
      <c r="FF45" s="1264"/>
      <c r="FG45" s="1264"/>
      <c r="FH45" s="525">
        <f>IF(FF45=0,0,(FG45-FF45)/FF45*100)</f>
        <v>0</v>
      </c>
      <c r="FI45" s="1264"/>
      <c r="FJ45" s="1264"/>
      <c r="FK45" s="525">
        <f>IF(FI45=0,0,(FJ45-FI45)/FI45*100)</f>
        <v>0</v>
      </c>
      <c r="FL45" s="1264"/>
      <c r="FM45" s="1264"/>
      <c r="FN45" s="525">
        <f>IF(FL45=0,0,(FM45-FL45)/FL45*100)</f>
        <v>0</v>
      </c>
      <c r="FO45" s="1264"/>
      <c r="FP45" s="1264"/>
      <c r="FQ45" s="525">
        <f>IF(FO45=0,0,(FP45-FO45)/FO45*100)</f>
        <v>0</v>
      </c>
      <c r="FR45" s="1264"/>
      <c r="FS45" s="1264"/>
      <c r="FT45" s="525">
        <f>IF(FR45=0,0,(FS45-FR45)/FR45*100)</f>
        <v>0</v>
      </c>
      <c r="FU45" s="1264"/>
      <c r="FV45" s="1264"/>
      <c r="FW45" s="525">
        <f>IF(FU45=0,0,(FV45-FU45)/FU45*100)</f>
        <v>0</v>
      </c>
      <c r="FX45" s="394"/>
      <c r="FY45" s="394"/>
      <c r="FZ45" s="930" t="s">
        <v>1685</v>
      </c>
      <c r="GA45" s="930" t="s">
        <v>1686</v>
      </c>
      <c r="GB45" s="930">
        <f>AB45</f>
        <v>0</v>
      </c>
      <c r="GC45" s="930"/>
      <c r="GD45" s="930" t="b">
        <v>1</v>
      </c>
    </row>
    <row r="46" spans="1:186" s="1057" customFormat="1" ht="16.5" hidden="1" customHeight="1">
      <c r="A46" s="1012"/>
      <c r="B46" s="749" t="b">
        <f ca="1">OFFSET(A46,-1,1)</f>
        <v>1</v>
      </c>
      <c r="C46" s="1012"/>
      <c r="D46" s="1012"/>
      <c r="E46" s="717">
        <v>17.100000000000001</v>
      </c>
      <c r="F46" s="714">
        <f t="shared" ca="1" si="20"/>
        <v>0</v>
      </c>
      <c r="G46" s="394"/>
      <c r="H46" s="394"/>
      <c r="I46" s="394"/>
      <c r="J46" s="394"/>
      <c r="K46" s="394"/>
      <c r="L46" s="394"/>
      <c r="M46" s="394"/>
      <c r="N46" s="394"/>
      <c r="O46" s="394"/>
      <c r="P46" s="394"/>
      <c r="Q46" s="394">
        <f>AB45</f>
        <v>0</v>
      </c>
      <c r="R46" s="719"/>
      <c r="S46" s="394"/>
      <c r="T46" s="992" t="b">
        <f ca="1">AND(OFFSET(S46,1,1),Y45&gt;0)</f>
        <v>0</v>
      </c>
      <c r="U46" s="1012"/>
      <c r="V46" s="1012"/>
      <c r="W46" s="1012"/>
      <c r="X46" s="1405"/>
      <c r="Y46" s="1405"/>
      <c r="Z46" s="1405"/>
      <c r="AA46" s="1350"/>
      <c r="AB46" s="804" t="s">
        <v>1687</v>
      </c>
      <c r="AC46" s="1014" t="s">
        <v>491</v>
      </c>
      <c r="AD46" s="1264"/>
      <c r="AE46" s="1264"/>
      <c r="AF46" s="525">
        <f>IF(AD46=0,0,(AE46-AD46)/AD46*100)</f>
        <v>0</v>
      </c>
      <c r="AG46" s="1262"/>
      <c r="AH46" s="1262"/>
      <c r="AI46" s="525">
        <f>IF(AG46=0,0,(AH46-AG46)/AG46*100)</f>
        <v>0</v>
      </c>
      <c r="AJ46" s="1262"/>
      <c r="AK46" s="1262"/>
      <c r="AL46" s="525">
        <f>IF(AJ46=0,0,(AK46-AJ46)/AJ46*100)</f>
        <v>0</v>
      </c>
      <c r="AM46" s="1264"/>
      <c r="AN46" s="1264"/>
      <c r="AO46" s="525">
        <f>IF(AM46=0,0,(AN46-AM46)/AM46*100)</f>
        <v>0</v>
      </c>
      <c r="AP46" s="1264"/>
      <c r="AQ46" s="1264"/>
      <c r="AR46" s="525">
        <f>IF(AP46=0,0,(AQ46-AP46)/AP46*100)</f>
        <v>0</v>
      </c>
      <c r="AS46" s="1264"/>
      <c r="AT46" s="1264"/>
      <c r="AU46" s="525">
        <f>IF(AS46=0,0,(AT46-AS46)/AS46*100)</f>
        <v>0</v>
      </c>
      <c r="AV46" s="1264"/>
      <c r="AW46" s="1264"/>
      <c r="AX46" s="525">
        <f>IF(AV46=0,0,(AW46-AV46)/AV46*100)</f>
        <v>0</v>
      </c>
      <c r="AY46" s="1264"/>
      <c r="AZ46" s="1264"/>
      <c r="BA46" s="525">
        <f>IF(AY46=0,0,(AZ46-AY46)/AY46*100)</f>
        <v>0</v>
      </c>
      <c r="BB46" s="1264"/>
      <c r="BC46" s="1264"/>
      <c r="BD46" s="525">
        <f>IF(BB46=0,0,(BC46-BB46)/BB46*100)</f>
        <v>0</v>
      </c>
      <c r="BE46" s="1264"/>
      <c r="BF46" s="1264"/>
      <c r="BG46" s="525">
        <f>IF(BE46=0,0,(BF46-BE46)/BE46*100)</f>
        <v>0</v>
      </c>
      <c r="BH46" s="1264"/>
      <c r="BI46" s="1264"/>
      <c r="BJ46" s="525">
        <f>IF(BH46=0,0,(BI46-BH46)/BH46*100)</f>
        <v>0</v>
      </c>
      <c r="BK46" s="1264"/>
      <c r="BL46" s="1264"/>
      <c r="BM46" s="525">
        <f>IF(BK46=0,0,(BL46-BK46)/BK46*100)</f>
        <v>0</v>
      </c>
      <c r="BN46" s="1264"/>
      <c r="BO46" s="1264"/>
      <c r="BP46" s="525">
        <f>IF(BN46=0,0,(BO46-BN46)/BN46*100)</f>
        <v>0</v>
      </c>
      <c r="BQ46" s="1264"/>
      <c r="BR46" s="1264"/>
      <c r="BS46" s="525">
        <f>IF(BQ46=0,0,(BR46-BQ46)/BQ46*100)</f>
        <v>0</v>
      </c>
      <c r="BT46" s="1264"/>
      <c r="BU46" s="1264"/>
      <c r="BV46" s="525">
        <f>IF(BT46=0,0,(BU46-BT46)/BT46*100)</f>
        <v>0</v>
      </c>
      <c r="BW46" s="1264"/>
      <c r="BX46" s="1264"/>
      <c r="BY46" s="525">
        <f>IF(BW46=0,0,(BX46-BW46)/BW46*100)</f>
        <v>0</v>
      </c>
      <c r="BZ46" s="1264"/>
      <c r="CA46" s="1264"/>
      <c r="CB46" s="525">
        <f>IF(BZ46=0,0,(CA46-BZ46)/BZ46*100)</f>
        <v>0</v>
      </c>
      <c r="CC46" s="1264"/>
      <c r="CD46" s="1264"/>
      <c r="CE46" s="525">
        <f>IF(CC46=0,0,(CD46-CC46)/CC46*100)</f>
        <v>0</v>
      </c>
      <c r="CF46" s="1264"/>
      <c r="CG46" s="1264"/>
      <c r="CH46" s="525">
        <f>IF(CF46=0,0,(CG46-CF46)/CF46*100)</f>
        <v>0</v>
      </c>
      <c r="CI46" s="1264"/>
      <c r="CJ46" s="1264"/>
      <c r="CK46" s="525">
        <f>IF(CI46=0,0,(CJ46-CI46)/CI46*100)</f>
        <v>0</v>
      </c>
      <c r="CL46" s="1264"/>
      <c r="CM46" s="1264"/>
      <c r="CN46" s="525">
        <f>IF(CL46=0,0,(CM46-CL46)/CL46*100)</f>
        <v>0</v>
      </c>
      <c r="CO46" s="1264"/>
      <c r="CP46" s="1264"/>
      <c r="CQ46" s="525">
        <f>IF(CO46=0,0,(CP46-CO46)/CO46*100)</f>
        <v>0</v>
      </c>
      <c r="CR46" s="1264"/>
      <c r="CS46" s="1264"/>
      <c r="CT46" s="525">
        <f>IF(CR46=0,0,(CS46-CR46)/CR46*100)</f>
        <v>0</v>
      </c>
      <c r="CU46" s="1264"/>
      <c r="CV46" s="1264"/>
      <c r="CW46" s="525">
        <f>IF(CU46=0,0,(CV46-CU46)/CU46*100)</f>
        <v>0</v>
      </c>
      <c r="CX46" s="1264"/>
      <c r="CY46" s="1264"/>
      <c r="CZ46" s="525">
        <f>IF(CX46=0,0,(CY46-CX46)/CX46*100)</f>
        <v>0</v>
      </c>
      <c r="DA46" s="1264"/>
      <c r="DB46" s="1264"/>
      <c r="DC46" s="525">
        <f>IF(DA46=0,0,(DB46-DA46)/DA46*100)</f>
        <v>0</v>
      </c>
      <c r="DD46" s="1264"/>
      <c r="DE46" s="1264"/>
      <c r="DF46" s="525">
        <f>IF(DD46=0,0,(DE46-DD46)/DD46*100)</f>
        <v>0</v>
      </c>
      <c r="DG46" s="1264"/>
      <c r="DH46" s="1264"/>
      <c r="DI46" s="525">
        <f>IF(DG46=0,0,(DH46-DG46)/DG46*100)</f>
        <v>0</v>
      </c>
      <c r="DJ46" s="1264"/>
      <c r="DK46" s="1264"/>
      <c r="DL46" s="525">
        <f>IF(DJ46=0,0,(DK46-DJ46)/DJ46*100)</f>
        <v>0</v>
      </c>
      <c r="DM46" s="1264"/>
      <c r="DN46" s="1264"/>
      <c r="DO46" s="525">
        <f>IF(DM46=0,0,(DN46-DM46)/DM46*100)</f>
        <v>0</v>
      </c>
      <c r="DP46" s="1264"/>
      <c r="DQ46" s="1264"/>
      <c r="DR46" s="525">
        <f>IF(DP46=0,0,(DQ46-DP46)/DP46*100)</f>
        <v>0</v>
      </c>
      <c r="DS46" s="1264"/>
      <c r="DT46" s="1264"/>
      <c r="DU46" s="525">
        <f>IF(DS46=0,0,(DT46-DS46)/DS46*100)</f>
        <v>0</v>
      </c>
      <c r="DV46" s="1264"/>
      <c r="DW46" s="1264"/>
      <c r="DX46" s="525">
        <f>IF(DV46=0,0,(DW46-DV46)/DV46*100)</f>
        <v>0</v>
      </c>
      <c r="DY46" s="1264"/>
      <c r="DZ46" s="1264"/>
      <c r="EA46" s="525">
        <f>IF(DY46=0,0,(DZ46-DY46)/DY46*100)</f>
        <v>0</v>
      </c>
      <c r="EB46" s="1264"/>
      <c r="EC46" s="1264"/>
      <c r="ED46" s="525">
        <f>IF(EB46=0,0,(EC46-EB46)/EB46*100)</f>
        <v>0</v>
      </c>
      <c r="EE46" s="1264"/>
      <c r="EF46" s="1264"/>
      <c r="EG46" s="525">
        <f>IF(EE46=0,0,(EF46-EE46)/EE46*100)</f>
        <v>0</v>
      </c>
      <c r="EH46" s="1264"/>
      <c r="EI46" s="1264"/>
      <c r="EJ46" s="525">
        <f>IF(EH46=0,0,(EI46-EH46)/EH46*100)</f>
        <v>0</v>
      </c>
      <c r="EK46" s="1264"/>
      <c r="EL46" s="1264"/>
      <c r="EM46" s="525">
        <f>IF(EK46=0,0,(EL46-EK46)/EK46*100)</f>
        <v>0</v>
      </c>
      <c r="EN46" s="1264"/>
      <c r="EO46" s="1264"/>
      <c r="EP46" s="525">
        <f>IF(EN46=0,0,(EO46-EN46)/EN46*100)</f>
        <v>0</v>
      </c>
      <c r="EQ46" s="1264"/>
      <c r="ER46" s="1264"/>
      <c r="ES46" s="525">
        <f>IF(EQ46=0,0,(ER46-EQ46)/EQ46*100)</f>
        <v>0</v>
      </c>
      <c r="ET46" s="1264"/>
      <c r="EU46" s="1264"/>
      <c r="EV46" s="525">
        <f>IF(ET46=0,0,(EU46-ET46)/ET46*100)</f>
        <v>0</v>
      </c>
      <c r="EW46" s="1264"/>
      <c r="EX46" s="1264"/>
      <c r="EY46" s="525">
        <f>IF(EW46=0,0,(EX46-EW46)/EW46*100)</f>
        <v>0</v>
      </c>
      <c r="EZ46" s="1264"/>
      <c r="FA46" s="1264"/>
      <c r="FB46" s="525">
        <f>IF(EZ46=0,0,(FA46-EZ46)/EZ46*100)</f>
        <v>0</v>
      </c>
      <c r="FC46" s="1264"/>
      <c r="FD46" s="1264"/>
      <c r="FE46" s="525">
        <f>IF(FC46=0,0,(FD46-FC46)/FC46*100)</f>
        <v>0</v>
      </c>
      <c r="FF46" s="1264"/>
      <c r="FG46" s="1264"/>
      <c r="FH46" s="525">
        <f>IF(FF46=0,0,(FG46-FF46)/FF46*100)</f>
        <v>0</v>
      </c>
      <c r="FI46" s="1264"/>
      <c r="FJ46" s="1264"/>
      <c r="FK46" s="525">
        <f>IF(FI46=0,0,(FJ46-FI46)/FI46*100)</f>
        <v>0</v>
      </c>
      <c r="FL46" s="1264"/>
      <c r="FM46" s="1264"/>
      <c r="FN46" s="525">
        <f>IF(FL46=0,0,(FM46-FL46)/FL46*100)</f>
        <v>0</v>
      </c>
      <c r="FO46" s="1264"/>
      <c r="FP46" s="1264"/>
      <c r="FQ46" s="525">
        <f>IF(FO46=0,0,(FP46-FO46)/FO46*100)</f>
        <v>0</v>
      </c>
      <c r="FR46" s="1264"/>
      <c r="FS46" s="1264"/>
      <c r="FT46" s="525">
        <f>IF(FR46=0,0,(FS46-FR46)/FR46*100)</f>
        <v>0</v>
      </c>
      <c r="FU46" s="1264"/>
      <c r="FV46" s="1264"/>
      <c r="FW46" s="525">
        <f>IF(FU46=0,0,(FV46-FU46)/FU46*100)</f>
        <v>0</v>
      </c>
      <c r="FX46" s="394"/>
      <c r="FY46" s="394"/>
      <c r="FZ46" s="930" t="s">
        <v>1678</v>
      </c>
      <c r="GA46" s="930" t="s">
        <v>1686</v>
      </c>
      <c r="GB46" s="930">
        <f>GB45</f>
        <v>0</v>
      </c>
      <c r="GC46" s="930"/>
      <c r="GD46" s="930"/>
    </row>
    <row r="47" spans="1:186" ht="15.75" hidden="1" customHeight="1">
      <c r="B47" s="749" t="b">
        <f ca="1">OFFSET(A47,-1,1)</f>
        <v>1</v>
      </c>
      <c r="E47" s="623">
        <v>17</v>
      </c>
      <c r="F47" s="714">
        <f t="shared" ca="1" si="20"/>
        <v>0</v>
      </c>
      <c r="H47" s="150" t="str">
        <f ca="1">F47&amp;"pIns1"</f>
        <v>0pIns1</v>
      </c>
      <c r="Q47" s="394"/>
      <c r="T47" s="634" t="b">
        <f>T44</f>
        <v>0</v>
      </c>
      <c r="W47" s="988" t="s">
        <v>1688</v>
      </c>
      <c r="X47" s="1405"/>
      <c r="Z47" s="1405"/>
      <c r="AB47" s="696" t="s">
        <v>172</v>
      </c>
      <c r="AC47" s="262"/>
      <c r="AD47" s="442"/>
      <c r="AE47" s="442"/>
      <c r="AF47" s="260"/>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C47" s="260"/>
      <c r="BD47" s="260"/>
      <c r="BE47" s="260"/>
      <c r="BF47" s="260"/>
      <c r="BG47" s="260"/>
      <c r="BH47" s="442"/>
      <c r="BI47" s="442"/>
      <c r="BJ47" s="260"/>
      <c r="BK47" s="260"/>
      <c r="BL47" s="260"/>
      <c r="BM47" s="260"/>
      <c r="BN47" s="260"/>
      <c r="BO47" s="260"/>
      <c r="BP47" s="260"/>
      <c r="BQ47" s="260"/>
      <c r="BR47" s="260"/>
      <c r="BS47" s="260"/>
      <c r="BT47" s="260"/>
      <c r="BU47" s="260"/>
      <c r="BV47" s="260"/>
      <c r="BW47" s="260"/>
      <c r="BX47" s="260"/>
      <c r="BY47" s="260"/>
      <c r="BZ47" s="260"/>
      <c r="CA47" s="260"/>
      <c r="CB47" s="260"/>
      <c r="CC47" s="260"/>
      <c r="CD47" s="260"/>
      <c r="CE47" s="260"/>
      <c r="CF47" s="260"/>
      <c r="CG47" s="260"/>
      <c r="CH47" s="260"/>
      <c r="CI47" s="260"/>
      <c r="CJ47" s="260"/>
      <c r="CK47" s="260"/>
      <c r="CL47" s="260"/>
      <c r="CM47" s="260"/>
      <c r="CN47" s="260"/>
      <c r="CO47" s="260"/>
      <c r="CP47" s="260"/>
      <c r="CQ47" s="260"/>
      <c r="CR47" s="260"/>
      <c r="CS47" s="260"/>
      <c r="CT47" s="260"/>
      <c r="CU47" s="260"/>
      <c r="CV47" s="260"/>
      <c r="CW47" s="260"/>
      <c r="CX47" s="260"/>
      <c r="CY47" s="260"/>
      <c r="CZ47" s="260"/>
      <c r="DA47" s="260"/>
      <c r="DB47" s="260"/>
      <c r="DC47" s="260"/>
      <c r="DD47" s="260"/>
      <c r="DE47" s="260"/>
      <c r="DF47" s="260"/>
      <c r="DG47" s="260"/>
      <c r="DH47" s="260"/>
      <c r="DI47" s="260"/>
      <c r="DJ47" s="260"/>
      <c r="DK47" s="260"/>
      <c r="DL47" s="260"/>
      <c r="DM47" s="260"/>
      <c r="DN47" s="260"/>
      <c r="DO47" s="260"/>
      <c r="DP47" s="260"/>
      <c r="DQ47" s="260"/>
      <c r="DR47" s="260"/>
      <c r="DS47" s="260"/>
      <c r="DT47" s="260"/>
      <c r="DU47" s="260"/>
      <c r="DV47" s="260"/>
      <c r="DW47" s="260"/>
      <c r="DX47" s="260"/>
      <c r="DY47" s="260"/>
      <c r="DZ47" s="260"/>
      <c r="EA47" s="260"/>
      <c r="EB47" s="260"/>
      <c r="EC47" s="260"/>
      <c r="ED47" s="260"/>
      <c r="EE47" s="260"/>
      <c r="EF47" s="260"/>
      <c r="EG47" s="260"/>
      <c r="EH47" s="260"/>
      <c r="EI47" s="260"/>
      <c r="EJ47" s="260"/>
      <c r="EK47" s="260"/>
      <c r="EL47" s="260"/>
      <c r="EM47" s="260"/>
      <c r="EN47" s="260"/>
      <c r="EO47" s="260"/>
      <c r="EP47" s="260"/>
      <c r="EQ47" s="260"/>
      <c r="ER47" s="260"/>
      <c r="ES47" s="260"/>
      <c r="ET47" s="260"/>
      <c r="EU47" s="260"/>
      <c r="EV47" s="260"/>
      <c r="EW47" s="260"/>
      <c r="EX47" s="260"/>
      <c r="EY47" s="260"/>
      <c r="EZ47" s="260"/>
      <c r="FA47" s="260"/>
      <c r="FB47" s="260"/>
      <c r="FC47" s="260"/>
      <c r="FD47" s="260"/>
      <c r="FE47" s="260"/>
      <c r="FF47" s="260"/>
      <c r="FG47" s="260"/>
      <c r="FH47" s="260"/>
      <c r="FI47" s="260"/>
      <c r="FJ47" s="260"/>
      <c r="FK47" s="260"/>
      <c r="FL47" s="260"/>
      <c r="FM47" s="260"/>
      <c r="FN47" s="260"/>
      <c r="FO47" s="260"/>
      <c r="FP47" s="260"/>
      <c r="FQ47" s="260"/>
      <c r="FR47" s="260"/>
      <c r="FS47" s="260"/>
      <c r="FT47" s="260"/>
      <c r="FU47" s="260"/>
      <c r="FV47" s="260"/>
      <c r="FW47" s="261"/>
      <c r="GA47" s="930"/>
      <c r="GB47" s="930"/>
      <c r="GC47" s="930" t="s">
        <v>1686</v>
      </c>
      <c r="GD47" s="930"/>
    </row>
    <row r="48" spans="1:186" ht="15.4" hidden="1" customHeight="1">
      <c r="B48" s="749" t="b">
        <f>R28="двухставочный"</f>
        <v>0</v>
      </c>
      <c r="E48" s="623">
        <v>15.8</v>
      </c>
      <c r="F48" s="714">
        <f t="shared" ca="1" si="20"/>
        <v>0</v>
      </c>
      <c r="Q48" s="394"/>
      <c r="T48" s="634" t="b">
        <v>0</v>
      </c>
      <c r="X48" s="1405"/>
      <c r="Z48" s="1405"/>
      <c r="AB48" s="576" t="s">
        <v>1689</v>
      </c>
      <c r="AC48" s="280"/>
      <c r="AD48" s="281"/>
      <c r="AE48" s="281"/>
      <c r="AF48" s="281"/>
      <c r="AG48" s="281"/>
      <c r="AH48" s="281"/>
      <c r="AI48" s="281"/>
      <c r="AJ48" s="281"/>
      <c r="AK48" s="281"/>
      <c r="AL48" s="281"/>
      <c r="AM48" s="281"/>
      <c r="AN48" s="281"/>
      <c r="AO48" s="281"/>
      <c r="AP48" s="281"/>
      <c r="AQ48" s="281"/>
      <c r="AR48" s="281"/>
      <c r="AS48" s="281"/>
      <c r="AT48" s="281"/>
      <c r="AU48" s="281"/>
      <c r="AV48" s="281"/>
      <c r="AW48" s="281"/>
      <c r="AX48" s="281"/>
      <c r="AY48" s="281"/>
      <c r="AZ48" s="281"/>
      <c r="BA48" s="281"/>
      <c r="BB48" s="281"/>
      <c r="BC48" s="281"/>
      <c r="BD48" s="281"/>
      <c r="BE48" s="281"/>
      <c r="BF48" s="281"/>
      <c r="BG48" s="281"/>
      <c r="BH48" s="281"/>
      <c r="BI48" s="281"/>
      <c r="BJ48" s="281"/>
      <c r="BK48" s="281"/>
      <c r="BL48" s="281"/>
      <c r="BM48" s="281"/>
      <c r="BN48" s="281"/>
      <c r="BO48" s="281"/>
      <c r="BP48" s="281"/>
      <c r="BQ48" s="281"/>
      <c r="BR48" s="281"/>
      <c r="BS48" s="281"/>
      <c r="BT48" s="281"/>
      <c r="BU48" s="281"/>
      <c r="BV48" s="281"/>
      <c r="BW48" s="281"/>
      <c r="BX48" s="281"/>
      <c r="BY48" s="281"/>
      <c r="BZ48" s="281"/>
      <c r="CA48" s="281"/>
      <c r="CB48" s="281"/>
      <c r="CC48" s="281"/>
      <c r="CD48" s="281"/>
      <c r="CE48" s="281"/>
      <c r="CF48" s="281"/>
      <c r="CG48" s="281"/>
      <c r="CH48" s="281"/>
      <c r="CI48" s="281"/>
      <c r="CJ48" s="281"/>
      <c r="CK48" s="281"/>
      <c r="CL48" s="281"/>
      <c r="CM48" s="281"/>
      <c r="CN48" s="281"/>
      <c r="CO48" s="281"/>
      <c r="CP48" s="281"/>
      <c r="CQ48" s="281"/>
      <c r="CR48" s="281"/>
      <c r="CS48" s="281"/>
      <c r="CT48" s="281"/>
      <c r="CU48" s="281"/>
      <c r="CV48" s="281"/>
      <c r="CW48" s="281"/>
      <c r="CX48" s="281"/>
      <c r="CY48" s="281"/>
      <c r="CZ48" s="281"/>
      <c r="DA48" s="281"/>
      <c r="DB48" s="281"/>
      <c r="DC48" s="281"/>
      <c r="DD48" s="281"/>
      <c r="DE48" s="281"/>
      <c r="DF48" s="281"/>
      <c r="DG48" s="281"/>
      <c r="DH48" s="281"/>
      <c r="DI48" s="281"/>
      <c r="DJ48" s="281"/>
      <c r="DK48" s="281"/>
      <c r="DL48" s="281"/>
      <c r="DM48" s="281"/>
      <c r="DN48" s="281"/>
      <c r="DO48" s="281"/>
      <c r="DP48" s="281"/>
      <c r="DQ48" s="281"/>
      <c r="DR48" s="281"/>
      <c r="DS48" s="281"/>
      <c r="DT48" s="281"/>
      <c r="DU48" s="281"/>
      <c r="DV48" s="281"/>
      <c r="DW48" s="281"/>
      <c r="DX48" s="281"/>
      <c r="DY48" s="281"/>
      <c r="DZ48" s="281"/>
      <c r="EA48" s="281"/>
      <c r="EB48" s="281"/>
      <c r="EC48" s="281"/>
      <c r="ED48" s="281"/>
      <c r="EE48" s="281"/>
      <c r="EF48" s="281"/>
      <c r="EG48" s="281"/>
      <c r="EH48" s="281"/>
      <c r="EI48" s="281"/>
      <c r="EJ48" s="281"/>
      <c r="EK48" s="281"/>
      <c r="EL48" s="281"/>
      <c r="EM48" s="281"/>
      <c r="EN48" s="281"/>
      <c r="EO48" s="281"/>
      <c r="EP48" s="281"/>
      <c r="EQ48" s="281"/>
      <c r="ER48" s="281"/>
      <c r="ES48" s="281"/>
      <c r="ET48" s="281"/>
      <c r="EU48" s="281"/>
      <c r="EV48" s="281"/>
      <c r="EW48" s="281"/>
      <c r="EX48" s="281"/>
      <c r="EY48" s="281"/>
      <c r="EZ48" s="281"/>
      <c r="FA48" s="281"/>
      <c r="FB48" s="281"/>
      <c r="FC48" s="281"/>
      <c r="FD48" s="281"/>
      <c r="FE48" s="281"/>
      <c r="FF48" s="281"/>
      <c r="FG48" s="281"/>
      <c r="FH48" s="281"/>
      <c r="FI48" s="281"/>
      <c r="FJ48" s="281"/>
      <c r="FK48" s="281"/>
      <c r="FL48" s="281"/>
      <c r="FM48" s="281"/>
      <c r="FN48" s="281"/>
      <c r="FO48" s="281"/>
      <c r="FP48" s="281"/>
      <c r="FQ48" s="281"/>
      <c r="FR48" s="281"/>
      <c r="FS48" s="281"/>
      <c r="FT48" s="281"/>
      <c r="FU48" s="281"/>
      <c r="FV48" s="281"/>
      <c r="FW48" s="282"/>
      <c r="GA48" s="930"/>
      <c r="GB48" s="930"/>
      <c r="GC48" s="930"/>
      <c r="GD48" s="930"/>
    </row>
    <row r="49" spans="2:186" ht="15.4" hidden="1" customHeight="1">
      <c r="B49" s="749" t="b">
        <f t="shared" ref="B49:B72" si="23">B48</f>
        <v>0</v>
      </c>
      <c r="E49" s="623">
        <v>15.8</v>
      </c>
      <c r="F49" s="714">
        <f t="shared" ca="1" si="20"/>
        <v>0</v>
      </c>
      <c r="Q49" s="394"/>
      <c r="T49" s="634" t="b">
        <v>0</v>
      </c>
      <c r="X49" s="1405"/>
      <c r="Z49" s="1405"/>
      <c r="AB49" s="284" t="s">
        <v>1690</v>
      </c>
      <c r="AC49" s="289"/>
      <c r="AD49" s="830"/>
      <c r="AE49" s="830"/>
      <c r="AF49" s="830"/>
      <c r="AG49" s="830"/>
      <c r="AH49" s="830"/>
      <c r="AI49" s="830"/>
      <c r="AJ49" s="830"/>
      <c r="AK49" s="830"/>
      <c r="AL49" s="830"/>
      <c r="AM49" s="830"/>
      <c r="AN49" s="830"/>
      <c r="AO49" s="830"/>
      <c r="AP49" s="830"/>
      <c r="AQ49" s="830"/>
      <c r="AR49" s="830"/>
      <c r="AS49" s="830"/>
      <c r="AT49" s="830"/>
      <c r="AU49" s="830"/>
      <c r="AV49" s="830"/>
      <c r="AW49" s="830"/>
      <c r="AX49" s="830"/>
      <c r="AY49" s="830"/>
      <c r="AZ49" s="830"/>
      <c r="BA49" s="830"/>
      <c r="BB49" s="830"/>
      <c r="BC49" s="830"/>
      <c r="BD49" s="830"/>
      <c r="BE49" s="830"/>
      <c r="BF49" s="830"/>
      <c r="BG49" s="830"/>
      <c r="BH49" s="830"/>
      <c r="BI49" s="830"/>
      <c r="BJ49" s="830"/>
      <c r="BK49" s="830"/>
      <c r="BL49" s="830"/>
      <c r="BM49" s="830"/>
      <c r="BN49" s="830"/>
      <c r="BO49" s="830"/>
      <c r="BP49" s="830"/>
      <c r="BQ49" s="830"/>
      <c r="BR49" s="830"/>
      <c r="BS49" s="830"/>
      <c r="BT49" s="830"/>
      <c r="BU49" s="830"/>
      <c r="BV49" s="830"/>
      <c r="BW49" s="830"/>
      <c r="BX49" s="830"/>
      <c r="BY49" s="830"/>
      <c r="BZ49" s="830"/>
      <c r="CA49" s="830"/>
      <c r="CB49" s="830"/>
      <c r="CC49" s="830"/>
      <c r="CD49" s="830"/>
      <c r="CE49" s="830"/>
      <c r="CF49" s="830"/>
      <c r="CG49" s="830"/>
      <c r="CH49" s="830"/>
      <c r="CI49" s="830"/>
      <c r="CJ49" s="830"/>
      <c r="CK49" s="830"/>
      <c r="CL49" s="830"/>
      <c r="CM49" s="830"/>
      <c r="CN49" s="830"/>
      <c r="CO49" s="830"/>
      <c r="CP49" s="830"/>
      <c r="CQ49" s="830"/>
      <c r="CR49" s="830"/>
      <c r="CS49" s="830"/>
      <c r="CT49" s="830"/>
      <c r="CU49" s="830"/>
      <c r="CV49" s="830"/>
      <c r="CW49" s="830"/>
      <c r="CX49" s="830"/>
      <c r="CY49" s="830"/>
      <c r="CZ49" s="830"/>
      <c r="DA49" s="830"/>
      <c r="DB49" s="830"/>
      <c r="DC49" s="830"/>
      <c r="DD49" s="830"/>
      <c r="DE49" s="830"/>
      <c r="DF49" s="830"/>
      <c r="DG49" s="830"/>
      <c r="DH49" s="830"/>
      <c r="DI49" s="830"/>
      <c r="DJ49" s="830"/>
      <c r="DK49" s="830"/>
      <c r="DL49" s="830"/>
      <c r="DM49" s="830"/>
      <c r="DN49" s="830"/>
      <c r="DO49" s="830"/>
      <c r="DP49" s="830"/>
      <c r="DQ49" s="830"/>
      <c r="DR49" s="830"/>
      <c r="DS49" s="830"/>
      <c r="DT49" s="830"/>
      <c r="DU49" s="830"/>
      <c r="DV49" s="830"/>
      <c r="DW49" s="830"/>
      <c r="DX49" s="830"/>
      <c r="DY49" s="830"/>
      <c r="DZ49" s="830"/>
      <c r="EA49" s="830"/>
      <c r="EB49" s="830"/>
      <c r="EC49" s="830"/>
      <c r="ED49" s="830"/>
      <c r="EE49" s="830"/>
      <c r="EF49" s="830"/>
      <c r="EG49" s="830"/>
      <c r="EH49" s="830"/>
      <c r="EI49" s="830"/>
      <c r="EJ49" s="830"/>
      <c r="EK49" s="830"/>
      <c r="EL49" s="830"/>
      <c r="EM49" s="830"/>
      <c r="EN49" s="830"/>
      <c r="EO49" s="830"/>
      <c r="EP49" s="830"/>
      <c r="EQ49" s="830"/>
      <c r="ER49" s="830"/>
      <c r="ES49" s="830"/>
      <c r="ET49" s="830"/>
      <c r="EU49" s="830"/>
      <c r="EV49" s="830"/>
      <c r="EW49" s="830"/>
      <c r="EX49" s="830"/>
      <c r="EY49" s="830"/>
      <c r="EZ49" s="830"/>
      <c r="FA49" s="830"/>
      <c r="FB49" s="830"/>
      <c r="FC49" s="830"/>
      <c r="FD49" s="830"/>
      <c r="FE49" s="830"/>
      <c r="FF49" s="830"/>
      <c r="FG49" s="830"/>
      <c r="FH49" s="830"/>
      <c r="FI49" s="830"/>
      <c r="FJ49" s="830"/>
      <c r="FK49" s="830"/>
      <c r="FL49" s="830"/>
      <c r="FM49" s="830"/>
      <c r="FN49" s="830"/>
      <c r="FO49" s="830"/>
      <c r="FP49" s="830"/>
      <c r="FQ49" s="830"/>
      <c r="FR49" s="830"/>
      <c r="FS49" s="830"/>
      <c r="FT49" s="830"/>
      <c r="FU49" s="830"/>
      <c r="FV49" s="830"/>
      <c r="FW49" s="831"/>
      <c r="GA49" s="930"/>
      <c r="GB49" s="930"/>
      <c r="GC49" s="930"/>
      <c r="GD49" s="930"/>
    </row>
    <row r="50" spans="2:186" ht="15.4" hidden="1" customHeight="1">
      <c r="B50" s="749" t="b">
        <f t="shared" si="23"/>
        <v>0</v>
      </c>
      <c r="E50" s="623">
        <v>15.8</v>
      </c>
      <c r="F50" s="714">
        <f t="shared" ca="1" si="20"/>
        <v>0</v>
      </c>
      <c r="G50" s="566" t="s">
        <v>1444</v>
      </c>
      <c r="H50" s="150" t="s">
        <v>1691</v>
      </c>
      <c r="I50" s="150" t="s">
        <v>1654</v>
      </c>
      <c r="Q50" s="394"/>
      <c r="T50" s="634" t="b">
        <v>0</v>
      </c>
      <c r="X50" s="1405"/>
      <c r="Z50" s="1405"/>
      <c r="AB50" s="210" t="s">
        <v>1692</v>
      </c>
      <c r="AC50" s="519" t="s">
        <v>738</v>
      </c>
      <c r="GA50" s="930"/>
      <c r="GB50" s="930"/>
      <c r="GC50" s="930"/>
      <c r="GD50" s="930"/>
    </row>
    <row r="51" spans="2:186" ht="15.4" hidden="1" customHeight="1">
      <c r="B51" s="749" t="b">
        <f t="shared" si="23"/>
        <v>0</v>
      </c>
      <c r="E51" s="623">
        <v>15.8</v>
      </c>
      <c r="F51" s="714">
        <f t="shared" ca="1" si="20"/>
        <v>0</v>
      </c>
      <c r="G51" s="566" t="s">
        <v>1693</v>
      </c>
      <c r="H51" s="150" t="s">
        <v>1694</v>
      </c>
      <c r="I51" s="150" t="s">
        <v>1654</v>
      </c>
      <c r="Q51" s="394"/>
      <c r="T51" s="634" t="b">
        <v>0</v>
      </c>
      <c r="X51" s="1405"/>
      <c r="Z51" s="1405"/>
      <c r="AB51" s="210" t="s">
        <v>1695</v>
      </c>
      <c r="AC51" s="519" t="s">
        <v>738</v>
      </c>
      <c r="GA51" s="930"/>
      <c r="GB51" s="930"/>
      <c r="GC51" s="930"/>
      <c r="GD51" s="930"/>
    </row>
    <row r="52" spans="2:186" ht="15.4" hidden="1" customHeight="1">
      <c r="B52" s="749" t="b">
        <f t="shared" si="23"/>
        <v>0</v>
      </c>
      <c r="E52" s="623">
        <v>15.8</v>
      </c>
      <c r="F52" s="714">
        <f t="shared" ca="1" si="20"/>
        <v>0</v>
      </c>
      <c r="G52" s="130" t="s">
        <v>1441</v>
      </c>
      <c r="H52" s="150" t="s">
        <v>1696</v>
      </c>
      <c r="I52" s="150" t="s">
        <v>1654</v>
      </c>
      <c r="Q52" s="394"/>
      <c r="T52" s="634" t="b">
        <v>0</v>
      </c>
      <c r="X52" s="1405"/>
      <c r="Z52" s="1405"/>
      <c r="AB52" s="210" t="s">
        <v>1697</v>
      </c>
      <c r="AC52" s="519" t="s">
        <v>598</v>
      </c>
      <c r="GA52" s="930"/>
      <c r="GB52" s="930"/>
      <c r="GC52" s="930"/>
      <c r="GD52" s="930"/>
    </row>
    <row r="53" spans="2:186" ht="30.75" hidden="1" customHeight="1">
      <c r="B53" s="749" t="b">
        <f t="shared" si="23"/>
        <v>0</v>
      </c>
      <c r="E53" s="623">
        <v>31.5</v>
      </c>
      <c r="F53" s="714">
        <f t="shared" ca="1" si="20"/>
        <v>0</v>
      </c>
      <c r="G53" s="566" t="s">
        <v>1698</v>
      </c>
      <c r="H53" s="150" t="s">
        <v>1699</v>
      </c>
      <c r="I53" s="150" t="s">
        <v>1654</v>
      </c>
      <c r="Q53" s="394"/>
      <c r="T53" s="634" t="b">
        <v>0</v>
      </c>
      <c r="X53" s="1405"/>
      <c r="Z53" s="1405"/>
      <c r="AB53" s="210" t="s">
        <v>1700</v>
      </c>
      <c r="AC53" s="413" t="s">
        <v>1701</v>
      </c>
      <c r="GA53" s="930"/>
      <c r="GB53" s="930"/>
      <c r="GC53" s="930"/>
      <c r="GD53" s="930"/>
    </row>
    <row r="54" spans="2:186" ht="15.4" hidden="1" customHeight="1">
      <c r="B54" s="749" t="b">
        <f t="shared" si="23"/>
        <v>0</v>
      </c>
      <c r="E54" s="623">
        <v>15.8</v>
      </c>
      <c r="F54" s="714">
        <f t="shared" ca="1" si="20"/>
        <v>0</v>
      </c>
      <c r="G54" s="566" t="s">
        <v>1702</v>
      </c>
      <c r="H54" s="150" t="s">
        <v>1703</v>
      </c>
      <c r="I54" s="150" t="s">
        <v>1654</v>
      </c>
      <c r="Q54" s="394"/>
      <c r="T54" s="634" t="b">
        <v>0</v>
      </c>
      <c r="X54" s="1405"/>
      <c r="Z54" s="1405"/>
      <c r="AB54" s="210" t="s">
        <v>1704</v>
      </c>
      <c r="AC54" s="507" t="s">
        <v>804</v>
      </c>
      <c r="GA54" s="930"/>
      <c r="GB54" s="930"/>
      <c r="GC54" s="930"/>
      <c r="GD54" s="930"/>
    </row>
    <row r="55" spans="2:186" ht="15.4" hidden="1" customHeight="1">
      <c r="B55" s="749" t="b">
        <f t="shared" si="23"/>
        <v>0</v>
      </c>
      <c r="E55" s="623">
        <v>15.8</v>
      </c>
      <c r="F55" s="714">
        <f t="shared" ca="1" si="20"/>
        <v>0</v>
      </c>
      <c r="Q55" s="394"/>
      <c r="T55" s="634" t="b">
        <v>0</v>
      </c>
      <c r="X55" s="1405"/>
      <c r="Z55" s="1405"/>
      <c r="AB55" s="284" t="s">
        <v>1705</v>
      </c>
      <c r="AC55" s="289"/>
      <c r="GA55" s="930"/>
      <c r="GB55" s="930"/>
      <c r="GC55" s="930"/>
      <c r="GD55" s="930"/>
    </row>
    <row r="56" spans="2:186" ht="15.4" hidden="1" customHeight="1">
      <c r="B56" s="749" t="b">
        <f t="shared" si="23"/>
        <v>0</v>
      </c>
      <c r="E56" s="623">
        <v>15.8</v>
      </c>
      <c r="F56" s="714">
        <f t="shared" ca="1" si="20"/>
        <v>0</v>
      </c>
      <c r="G56" s="566" t="s">
        <v>1451</v>
      </c>
      <c r="H56" s="150" t="s">
        <v>1691</v>
      </c>
      <c r="I56" s="150" t="s">
        <v>1657</v>
      </c>
      <c r="Q56" s="394"/>
      <c r="T56" s="634" t="b">
        <v>0</v>
      </c>
      <c r="X56" s="1405"/>
      <c r="Z56" s="1405"/>
      <c r="AB56" s="210" t="s">
        <v>1692</v>
      </c>
      <c r="AC56" s="519" t="s">
        <v>738</v>
      </c>
      <c r="GA56" s="930"/>
      <c r="GB56" s="930"/>
      <c r="GC56" s="930"/>
      <c r="GD56" s="930"/>
    </row>
    <row r="57" spans="2:186" ht="15.4" hidden="1" customHeight="1">
      <c r="B57" s="749" t="b">
        <f t="shared" si="23"/>
        <v>0</v>
      </c>
      <c r="E57" s="623">
        <v>15.8</v>
      </c>
      <c r="F57" s="714">
        <f t="shared" ca="1" si="20"/>
        <v>0</v>
      </c>
      <c r="G57" s="566" t="s">
        <v>1706</v>
      </c>
      <c r="H57" s="150" t="s">
        <v>1694</v>
      </c>
      <c r="I57" s="150" t="s">
        <v>1657</v>
      </c>
      <c r="Q57" s="394"/>
      <c r="T57" s="634" t="b">
        <v>0</v>
      </c>
      <c r="X57" s="1405"/>
      <c r="Z57" s="1405"/>
      <c r="AB57" s="210" t="s">
        <v>1695</v>
      </c>
      <c r="AC57" s="519" t="s">
        <v>738</v>
      </c>
      <c r="GA57" s="930"/>
      <c r="GB57" s="930"/>
      <c r="GC57" s="930"/>
      <c r="GD57" s="930"/>
    </row>
    <row r="58" spans="2:186" ht="15.4" hidden="1" customHeight="1">
      <c r="B58" s="749" t="b">
        <f t="shared" si="23"/>
        <v>0</v>
      </c>
      <c r="E58" s="623">
        <v>15.8</v>
      </c>
      <c r="F58" s="714">
        <f t="shared" ca="1" si="20"/>
        <v>0</v>
      </c>
      <c r="G58" s="130" t="s">
        <v>1448</v>
      </c>
      <c r="H58" s="150" t="s">
        <v>1696</v>
      </c>
      <c r="I58" s="150" t="s">
        <v>1657</v>
      </c>
      <c r="Q58" s="394"/>
      <c r="T58" s="634" t="b">
        <v>0</v>
      </c>
      <c r="X58" s="1405"/>
      <c r="Z58" s="1405"/>
      <c r="AB58" s="210" t="s">
        <v>1697</v>
      </c>
      <c r="AC58" s="519" t="s">
        <v>598</v>
      </c>
      <c r="GA58" s="930"/>
      <c r="GB58" s="930"/>
      <c r="GC58" s="930"/>
      <c r="GD58" s="930"/>
    </row>
    <row r="59" spans="2:186" ht="30.75" hidden="1" customHeight="1">
      <c r="B59" s="749" t="b">
        <f t="shared" si="23"/>
        <v>0</v>
      </c>
      <c r="E59" s="623">
        <v>31.5</v>
      </c>
      <c r="F59" s="714">
        <f t="shared" ca="1" si="20"/>
        <v>0</v>
      </c>
      <c r="G59" s="566" t="s">
        <v>1707</v>
      </c>
      <c r="H59" s="150" t="s">
        <v>1699</v>
      </c>
      <c r="I59" s="150" t="s">
        <v>1657</v>
      </c>
      <c r="Q59" s="394"/>
      <c r="T59" s="634" t="b">
        <v>0</v>
      </c>
      <c r="X59" s="1405"/>
      <c r="Z59" s="1405"/>
      <c r="AB59" s="210" t="s">
        <v>1700</v>
      </c>
      <c r="AC59" s="413" t="s">
        <v>1701</v>
      </c>
      <c r="GA59" s="930"/>
      <c r="GB59" s="930"/>
      <c r="GC59" s="930"/>
      <c r="GD59" s="930"/>
    </row>
    <row r="60" spans="2:186" ht="15.4" hidden="1" customHeight="1">
      <c r="B60" s="749" t="b">
        <f t="shared" si="23"/>
        <v>0</v>
      </c>
      <c r="E60" s="623">
        <v>15.8</v>
      </c>
      <c r="F60" s="714">
        <f t="shared" ca="1" si="20"/>
        <v>0</v>
      </c>
      <c r="G60" s="566" t="s">
        <v>1708</v>
      </c>
      <c r="H60" s="150" t="s">
        <v>1703</v>
      </c>
      <c r="I60" s="150" t="s">
        <v>1657</v>
      </c>
      <c r="Q60" s="394"/>
      <c r="T60" s="634" t="b">
        <v>0</v>
      </c>
      <c r="X60" s="1405"/>
      <c r="Z60" s="1405"/>
      <c r="AB60" s="210" t="s">
        <v>1704</v>
      </c>
      <c r="AC60" s="507" t="s">
        <v>804</v>
      </c>
      <c r="GA60" s="930"/>
      <c r="GB60" s="930"/>
      <c r="GC60" s="930"/>
      <c r="GD60" s="930"/>
    </row>
    <row r="61" spans="2:186" ht="15.4" hidden="1" customHeight="1">
      <c r="B61" s="749" t="b">
        <f t="shared" si="23"/>
        <v>0</v>
      </c>
      <c r="E61" s="623">
        <v>15.8</v>
      </c>
      <c r="F61" s="714">
        <f t="shared" ca="1" si="20"/>
        <v>0</v>
      </c>
      <c r="Q61" s="394"/>
      <c r="T61" s="634" t="b">
        <v>0</v>
      </c>
      <c r="X61" s="1405"/>
      <c r="Z61" s="1405"/>
      <c r="AB61" s="284" t="s">
        <v>1669</v>
      </c>
      <c r="AC61" s="289"/>
      <c r="GA61" s="930"/>
      <c r="GB61" s="930"/>
      <c r="GC61" s="930"/>
      <c r="GD61" s="930"/>
    </row>
    <row r="62" spans="2:186" ht="15.4" hidden="1" customHeight="1">
      <c r="B62" s="749" t="b">
        <f t="shared" si="23"/>
        <v>0</v>
      </c>
      <c r="E62" s="623">
        <v>15.8</v>
      </c>
      <c r="F62" s="714">
        <f t="shared" ca="1" si="20"/>
        <v>0</v>
      </c>
      <c r="H62" s="150" t="s">
        <v>1691</v>
      </c>
      <c r="I62" s="150" t="s">
        <v>1668</v>
      </c>
      <c r="Q62" s="394"/>
      <c r="T62" s="634" t="b">
        <v>0</v>
      </c>
      <c r="X62" s="1405"/>
      <c r="Z62" s="1405"/>
      <c r="AB62" s="210" t="s">
        <v>1692</v>
      </c>
      <c r="AC62" s="519" t="s">
        <v>738</v>
      </c>
      <c r="GA62" s="930"/>
      <c r="GB62" s="930"/>
      <c r="GC62" s="930"/>
      <c r="GD62" s="930"/>
    </row>
    <row r="63" spans="2:186" ht="15.4" hidden="1" customHeight="1">
      <c r="B63" s="749" t="b">
        <f t="shared" si="23"/>
        <v>0</v>
      </c>
      <c r="E63" s="623">
        <v>15.8</v>
      </c>
      <c r="F63" s="714">
        <f t="shared" ca="1" si="20"/>
        <v>0</v>
      </c>
      <c r="H63" s="150" t="s">
        <v>1694</v>
      </c>
      <c r="I63" s="150" t="s">
        <v>1668</v>
      </c>
      <c r="Q63" s="394"/>
      <c r="T63" s="634" t="b">
        <v>0</v>
      </c>
      <c r="X63" s="1405"/>
      <c r="Z63" s="1405"/>
      <c r="AB63" s="210" t="s">
        <v>1695</v>
      </c>
      <c r="AC63" s="519" t="s">
        <v>738</v>
      </c>
      <c r="GA63" s="930"/>
      <c r="GB63" s="930"/>
      <c r="GC63" s="930"/>
      <c r="GD63" s="930"/>
    </row>
    <row r="64" spans="2:186" ht="15.4" hidden="1" customHeight="1">
      <c r="B64" s="749" t="b">
        <f t="shared" si="23"/>
        <v>0</v>
      </c>
      <c r="E64" s="623">
        <v>15.8</v>
      </c>
      <c r="F64" s="714">
        <f t="shared" ca="1" si="20"/>
        <v>0</v>
      </c>
      <c r="H64" s="150" t="s">
        <v>1696</v>
      </c>
      <c r="I64" s="150" t="s">
        <v>1668</v>
      </c>
      <c r="Q64" s="394"/>
      <c r="T64" s="634" t="b">
        <v>0</v>
      </c>
      <c r="X64" s="1405"/>
      <c r="Z64" s="1405"/>
      <c r="AB64" s="210" t="s">
        <v>1697</v>
      </c>
      <c r="AC64" s="519" t="s">
        <v>598</v>
      </c>
      <c r="GA64" s="930"/>
      <c r="GB64" s="930"/>
      <c r="GC64" s="930"/>
      <c r="GD64" s="930"/>
    </row>
    <row r="65" spans="1:186" ht="30.75" hidden="1" customHeight="1">
      <c r="B65" s="749" t="b">
        <f t="shared" si="23"/>
        <v>0</v>
      </c>
      <c r="E65" s="623">
        <v>31.5</v>
      </c>
      <c r="F65" s="714">
        <f t="shared" ca="1" si="20"/>
        <v>0</v>
      </c>
      <c r="H65" s="150" t="s">
        <v>1699</v>
      </c>
      <c r="I65" s="150" t="s">
        <v>1668</v>
      </c>
      <c r="Q65" s="394"/>
      <c r="T65" s="634" t="b">
        <v>0</v>
      </c>
      <c r="X65" s="1405"/>
      <c r="Z65" s="1405"/>
      <c r="AB65" s="210" t="s">
        <v>1700</v>
      </c>
      <c r="AC65" s="413" t="s">
        <v>1701</v>
      </c>
      <c r="GA65" s="930"/>
      <c r="GB65" s="930"/>
      <c r="GC65" s="930"/>
      <c r="GD65" s="930"/>
    </row>
    <row r="66" spans="1:186" ht="15.4" hidden="1" customHeight="1">
      <c r="B66" s="749" t="b">
        <f t="shared" si="23"/>
        <v>0</v>
      </c>
      <c r="E66" s="623">
        <v>15.8</v>
      </c>
      <c r="F66" s="714">
        <f t="shared" ca="1" si="20"/>
        <v>0</v>
      </c>
      <c r="H66" s="150" t="s">
        <v>1703</v>
      </c>
      <c r="I66" s="150" t="s">
        <v>1668</v>
      </c>
      <c r="Q66" s="394"/>
      <c r="T66" s="634" t="b">
        <v>0</v>
      </c>
      <c r="X66" s="1405"/>
      <c r="Z66" s="1405"/>
      <c r="AB66" s="210" t="s">
        <v>1704</v>
      </c>
      <c r="AC66" s="507" t="s">
        <v>804</v>
      </c>
      <c r="GA66" s="930"/>
      <c r="GB66" s="930"/>
      <c r="GC66" s="930"/>
      <c r="GD66" s="930"/>
    </row>
    <row r="67" spans="1:186" ht="15.4" hidden="1" customHeight="1">
      <c r="B67" s="749" t="b">
        <f t="shared" si="23"/>
        <v>0</v>
      </c>
      <c r="E67" s="623">
        <v>15.8</v>
      </c>
      <c r="F67" s="714">
        <f t="shared" ca="1" si="20"/>
        <v>0</v>
      </c>
      <c r="Q67" s="394"/>
      <c r="T67" s="634" t="b">
        <v>0</v>
      </c>
      <c r="X67" s="1405"/>
      <c r="Z67" s="1405"/>
      <c r="AB67" s="284" t="s">
        <v>1672</v>
      </c>
      <c r="AC67" s="289"/>
      <c r="GA67" s="930"/>
      <c r="GB67" s="930"/>
      <c r="GC67" s="930"/>
      <c r="GD67" s="930"/>
    </row>
    <row r="68" spans="1:186" ht="15.4" hidden="1" customHeight="1">
      <c r="B68" s="749" t="b">
        <f t="shared" si="23"/>
        <v>0</v>
      </c>
      <c r="E68" s="623">
        <v>15.8</v>
      </c>
      <c r="F68" s="714">
        <f t="shared" ca="1" si="20"/>
        <v>0</v>
      </c>
      <c r="H68" s="150" t="s">
        <v>1691</v>
      </c>
      <c r="I68" s="150" t="s">
        <v>1671</v>
      </c>
      <c r="Q68" s="394"/>
      <c r="T68" s="634" t="b">
        <v>0</v>
      </c>
      <c r="X68" s="1405"/>
      <c r="Z68" s="1405"/>
      <c r="AB68" s="210" t="s">
        <v>1692</v>
      </c>
      <c r="AC68" s="519" t="s">
        <v>738</v>
      </c>
      <c r="GA68" s="930"/>
      <c r="GB68" s="930"/>
      <c r="GC68" s="930"/>
      <c r="GD68" s="930"/>
    </row>
    <row r="69" spans="1:186" ht="15.4" hidden="1" customHeight="1">
      <c r="B69" s="749" t="b">
        <f t="shared" si="23"/>
        <v>0</v>
      </c>
      <c r="E69" s="623">
        <v>15.8</v>
      </c>
      <c r="F69" s="714">
        <f t="shared" ca="1" si="20"/>
        <v>0</v>
      </c>
      <c r="H69" s="150" t="s">
        <v>1694</v>
      </c>
      <c r="I69" s="150" t="s">
        <v>1671</v>
      </c>
      <c r="Q69" s="394"/>
      <c r="T69" s="634" t="b">
        <v>0</v>
      </c>
      <c r="X69" s="1405"/>
      <c r="Z69" s="1405"/>
      <c r="AB69" s="210" t="s">
        <v>1695</v>
      </c>
      <c r="AC69" s="519" t="s">
        <v>738</v>
      </c>
      <c r="GA69" s="930"/>
      <c r="GB69" s="930"/>
      <c r="GC69" s="930"/>
      <c r="GD69" s="930"/>
    </row>
    <row r="70" spans="1:186" ht="15.4" hidden="1" customHeight="1">
      <c r="B70" s="749" t="b">
        <f t="shared" si="23"/>
        <v>0</v>
      </c>
      <c r="E70" s="623">
        <v>15.8</v>
      </c>
      <c r="F70" s="714">
        <f t="shared" ca="1" si="20"/>
        <v>0</v>
      </c>
      <c r="H70" s="150" t="s">
        <v>1696</v>
      </c>
      <c r="I70" s="150" t="s">
        <v>1671</v>
      </c>
      <c r="Q70" s="394"/>
      <c r="T70" s="634" t="b">
        <v>0</v>
      </c>
      <c r="X70" s="1405"/>
      <c r="Z70" s="1405"/>
      <c r="AB70" s="210" t="s">
        <v>1697</v>
      </c>
      <c r="AC70" s="519" t="s">
        <v>598</v>
      </c>
      <c r="GA70" s="930"/>
      <c r="GB70" s="930"/>
      <c r="GC70" s="930"/>
      <c r="GD70" s="930"/>
    </row>
    <row r="71" spans="1:186" ht="30.75" hidden="1" customHeight="1">
      <c r="B71" s="749" t="b">
        <f t="shared" si="23"/>
        <v>0</v>
      </c>
      <c r="E71" s="623">
        <v>31.5</v>
      </c>
      <c r="F71" s="714">
        <f t="shared" ca="1" si="20"/>
        <v>0</v>
      </c>
      <c r="H71" s="150" t="s">
        <v>1699</v>
      </c>
      <c r="I71" s="150" t="s">
        <v>1671</v>
      </c>
      <c r="Q71" s="394"/>
      <c r="T71" s="634" t="b">
        <v>0</v>
      </c>
      <c r="X71" s="1405"/>
      <c r="Z71" s="1405"/>
      <c r="AB71" s="210" t="s">
        <v>1700</v>
      </c>
      <c r="AC71" s="413" t="s">
        <v>1701</v>
      </c>
      <c r="GA71" s="930"/>
      <c r="GB71" s="930"/>
      <c r="GC71" s="930"/>
      <c r="GD71" s="930"/>
    </row>
    <row r="72" spans="1:186" ht="15.4" hidden="1" customHeight="1">
      <c r="B72" s="749" t="b">
        <f t="shared" si="23"/>
        <v>0</v>
      </c>
      <c r="E72" s="623">
        <v>15.8</v>
      </c>
      <c r="F72" s="714">
        <f t="shared" ca="1" si="20"/>
        <v>0</v>
      </c>
      <c r="H72" s="150" t="s">
        <v>1703</v>
      </c>
      <c r="I72" s="150" t="s">
        <v>1671</v>
      </c>
      <c r="Q72" s="394"/>
      <c r="T72" s="634" t="b">
        <v>0</v>
      </c>
      <c r="X72" s="1405"/>
      <c r="Z72" s="1405"/>
      <c r="AB72" s="210" t="s">
        <v>1704</v>
      </c>
      <c r="AC72" s="507" t="s">
        <v>804</v>
      </c>
      <c r="GA72" s="930"/>
      <c r="GB72" s="930"/>
      <c r="GC72" s="930"/>
      <c r="GD72" s="930"/>
    </row>
    <row r="73" spans="1:186" ht="15.75" hidden="1" customHeight="1">
      <c r="B73" s="749" t="b">
        <v>0</v>
      </c>
      <c r="E73" s="623">
        <v>0</v>
      </c>
      <c r="F73" s="714">
        <f t="shared" ca="1" si="20"/>
        <v>0</v>
      </c>
      <c r="H73" s="150" t="str">
        <f ca="1">F73&amp;"pIns2"</f>
        <v>0pIns2</v>
      </c>
      <c r="Q73" s="394"/>
      <c r="T73" s="634" t="b">
        <v>0</v>
      </c>
      <c r="X73" s="1405"/>
      <c r="Z73" s="1405"/>
      <c r="AB73" s="696" t="s">
        <v>172</v>
      </c>
      <c r="AC73" s="262"/>
      <c r="AD73" s="442"/>
      <c r="AE73" s="442"/>
      <c r="AF73" s="442"/>
      <c r="AG73" s="442"/>
      <c r="AH73" s="442"/>
      <c r="AI73" s="442"/>
      <c r="AJ73" s="442"/>
      <c r="AK73" s="442"/>
      <c r="AL73" s="442"/>
      <c r="AM73" s="442"/>
      <c r="AN73" s="442"/>
      <c r="AO73" s="442"/>
      <c r="AP73" s="442"/>
      <c r="AQ73" s="442"/>
      <c r="AR73" s="442"/>
      <c r="AS73" s="442"/>
      <c r="AT73" s="442"/>
      <c r="AU73" s="442"/>
      <c r="AV73" s="442"/>
      <c r="AW73" s="442"/>
      <c r="AX73" s="442"/>
      <c r="AY73" s="442"/>
      <c r="AZ73" s="442"/>
      <c r="BA73" s="442"/>
      <c r="BB73" s="442"/>
      <c r="BC73" s="442"/>
      <c r="BD73" s="442"/>
      <c r="BE73" s="442"/>
      <c r="BF73" s="442"/>
      <c r="BG73" s="442"/>
      <c r="BH73" s="442"/>
      <c r="BI73" s="442"/>
      <c r="BJ73" s="442"/>
      <c r="BK73" s="442"/>
      <c r="BL73" s="442"/>
      <c r="BM73" s="442"/>
      <c r="BN73" s="442"/>
      <c r="BO73" s="442"/>
      <c r="BP73" s="442"/>
      <c r="BQ73" s="442"/>
      <c r="BR73" s="442"/>
      <c r="BS73" s="442"/>
      <c r="BT73" s="442"/>
      <c r="BU73" s="442"/>
      <c r="BV73" s="442"/>
      <c r="BW73" s="442"/>
      <c r="BX73" s="442"/>
      <c r="BY73" s="442"/>
      <c r="BZ73" s="442"/>
      <c r="CA73" s="442"/>
      <c r="CB73" s="442"/>
      <c r="CC73" s="442"/>
      <c r="CD73" s="442"/>
      <c r="CE73" s="442"/>
      <c r="CF73" s="442"/>
      <c r="CG73" s="442"/>
      <c r="CH73" s="442"/>
      <c r="CI73" s="442"/>
      <c r="CJ73" s="442"/>
      <c r="CK73" s="442"/>
      <c r="CL73" s="442"/>
      <c r="CM73" s="442"/>
      <c r="CN73" s="442"/>
      <c r="CO73" s="442"/>
      <c r="CP73" s="442"/>
      <c r="CQ73" s="442"/>
      <c r="CR73" s="442"/>
      <c r="CS73" s="442"/>
      <c r="CT73" s="442"/>
      <c r="CU73" s="442"/>
      <c r="CV73" s="442"/>
      <c r="CW73" s="442"/>
      <c r="CX73" s="442"/>
      <c r="CY73" s="442"/>
      <c r="CZ73" s="442"/>
      <c r="DA73" s="442"/>
      <c r="DB73" s="442"/>
      <c r="DC73" s="442"/>
      <c r="DD73" s="442"/>
      <c r="DE73" s="442"/>
      <c r="DF73" s="442"/>
      <c r="DG73" s="442"/>
      <c r="DH73" s="442"/>
      <c r="DI73" s="442"/>
      <c r="DJ73" s="442"/>
      <c r="DK73" s="442"/>
      <c r="DL73" s="442"/>
      <c r="DM73" s="442"/>
      <c r="DN73" s="442"/>
      <c r="DO73" s="442"/>
      <c r="DP73" s="442"/>
      <c r="DQ73" s="442"/>
      <c r="DR73" s="442"/>
      <c r="DS73" s="442"/>
      <c r="DT73" s="442"/>
      <c r="DU73" s="442"/>
      <c r="DV73" s="442"/>
      <c r="DW73" s="442"/>
      <c r="DX73" s="442"/>
      <c r="DY73" s="442"/>
      <c r="DZ73" s="442"/>
      <c r="EA73" s="442"/>
      <c r="EB73" s="442"/>
      <c r="EC73" s="442"/>
      <c r="ED73" s="442"/>
      <c r="EE73" s="442"/>
      <c r="EF73" s="442"/>
      <c r="EG73" s="442"/>
      <c r="EH73" s="442"/>
      <c r="EI73" s="442"/>
      <c r="EJ73" s="442"/>
      <c r="EK73" s="442"/>
      <c r="EL73" s="442"/>
      <c r="EM73" s="442"/>
      <c r="EN73" s="442"/>
      <c r="EO73" s="442"/>
      <c r="EP73" s="442"/>
      <c r="EQ73" s="442"/>
      <c r="ER73" s="442"/>
      <c r="ES73" s="442"/>
      <c r="ET73" s="442"/>
      <c r="EU73" s="442"/>
      <c r="EV73" s="442"/>
      <c r="EW73" s="442"/>
      <c r="EX73" s="442"/>
      <c r="EY73" s="442"/>
      <c r="EZ73" s="442"/>
      <c r="FA73" s="442"/>
      <c r="FB73" s="442"/>
      <c r="FC73" s="442"/>
      <c r="FD73" s="442"/>
      <c r="FE73" s="442"/>
      <c r="FF73" s="442"/>
      <c r="FG73" s="442"/>
      <c r="FH73" s="442"/>
      <c r="FI73" s="442"/>
      <c r="FJ73" s="442"/>
      <c r="FK73" s="442"/>
      <c r="FL73" s="442"/>
      <c r="FM73" s="442"/>
      <c r="FN73" s="442"/>
      <c r="FO73" s="442"/>
      <c r="FP73" s="442"/>
      <c r="FQ73" s="442"/>
      <c r="FR73" s="442"/>
      <c r="FS73" s="442"/>
      <c r="FT73" s="442"/>
      <c r="FU73" s="442"/>
      <c r="FV73" s="442"/>
      <c r="FW73" s="832"/>
      <c r="GA73" s="930"/>
      <c r="GB73" s="930"/>
      <c r="GC73" s="930"/>
      <c r="GD73" s="930"/>
    </row>
    <row r="74" spans="1:186" s="1057" customFormat="1" ht="21.75" customHeight="1">
      <c r="A74" s="1012"/>
      <c r="B74" s="718"/>
      <c r="C74" s="1012"/>
      <c r="D74" s="1012"/>
      <c r="E74" s="623">
        <v>22.5</v>
      </c>
      <c r="F74" s="714" t="str">
        <f>X74</f>
        <v>1</v>
      </c>
      <c r="G74" s="394"/>
      <c r="H74" s="394"/>
      <c r="I74" s="394"/>
      <c r="J74" s="394"/>
      <c r="K74" s="394"/>
      <c r="L74" s="394"/>
      <c r="M74" s="394"/>
      <c r="N74" s="394"/>
      <c r="O74" s="394"/>
      <c r="P74" s="394"/>
      <c r="Q74" s="394"/>
      <c r="R74" s="150" t="str">
        <f>INDEX('Общие сведения'!$AK$169:$AK$202,MATCH($F74,'Общие сведения'!$Z$169:$Z$202,0))</f>
        <v>одноставочный</v>
      </c>
      <c r="S74" s="394"/>
      <c r="T74" s="634" t="b">
        <f>X74&gt;0</f>
        <v>1</v>
      </c>
      <c r="U74" s="1012"/>
      <c r="V74" s="113" t="str">
        <f>'Калькуляция (МСА)'!$AB$54</f>
        <v>Тариф 1 (Теплоснабжение) - Тарифы на теплоноситель (Не определено)</v>
      </c>
      <c r="W74" s="1012"/>
      <c r="X74" s="1405" t="s">
        <v>247</v>
      </c>
      <c r="Y74" s="1012"/>
      <c r="Z74" s="1405"/>
      <c r="AA74" s="394"/>
      <c r="AB74" s="1545" t="str">
        <f>IF(ISBLANK('Калькуляция (МСА)'!$AB$54),"",'Калькуляция (МСА)'!$AB$54)</f>
        <v>Тариф 1 (Теплоснабжение) - Тарифы на теплоноситель (Не определено)</v>
      </c>
      <c r="AC74" s="1546"/>
      <c r="AD74" s="274" t="str">
        <f>"Тариф "&amp;F74</f>
        <v>Тариф 1</v>
      </c>
      <c r="AE74" s="275"/>
      <c r="AF74" s="275"/>
      <c r="AG74" s="275"/>
      <c r="AH74" s="275"/>
      <c r="AI74" s="275"/>
      <c r="AJ74" s="275"/>
      <c r="AK74" s="275"/>
      <c r="AL74" s="275"/>
      <c r="AM74" s="275"/>
      <c r="AN74" s="275"/>
      <c r="AO74" s="275"/>
      <c r="AP74" s="275"/>
      <c r="AQ74" s="275"/>
      <c r="AR74" s="275"/>
      <c r="AS74" s="275"/>
      <c r="AT74" s="275"/>
      <c r="AU74" s="275"/>
      <c r="AV74" s="275"/>
      <c r="AW74" s="275"/>
      <c r="AX74" s="275"/>
      <c r="AY74" s="275"/>
      <c r="AZ74" s="275"/>
      <c r="BA74" s="275"/>
      <c r="BB74" s="275"/>
      <c r="BC74" s="275"/>
      <c r="BD74" s="275"/>
      <c r="BE74" s="275"/>
      <c r="BF74" s="275"/>
      <c r="BG74" s="275"/>
      <c r="BH74" s="275"/>
      <c r="BI74" s="275"/>
      <c r="BJ74" s="275"/>
      <c r="BK74" s="275"/>
      <c r="BL74" s="275"/>
      <c r="BM74" s="275"/>
      <c r="BN74" s="275"/>
      <c r="BO74" s="275"/>
      <c r="BP74" s="275"/>
      <c r="BQ74" s="275"/>
      <c r="BR74" s="275"/>
      <c r="BS74" s="275"/>
      <c r="BT74" s="275"/>
      <c r="BU74" s="275"/>
      <c r="BV74" s="275"/>
      <c r="BW74" s="275"/>
      <c r="BX74" s="275"/>
      <c r="BY74" s="275"/>
      <c r="BZ74" s="275"/>
      <c r="CA74" s="275"/>
      <c r="CB74" s="275"/>
      <c r="CC74" s="275"/>
      <c r="CD74" s="275"/>
      <c r="CE74" s="275"/>
      <c r="CF74" s="275"/>
      <c r="CG74" s="275"/>
      <c r="CH74" s="275"/>
      <c r="CI74" s="275"/>
      <c r="CJ74" s="275"/>
      <c r="CK74" s="275"/>
      <c r="CL74" s="275"/>
      <c r="CM74" s="275"/>
      <c r="CN74" s="275"/>
      <c r="CO74" s="275"/>
      <c r="CP74" s="275"/>
      <c r="CQ74" s="275"/>
      <c r="CR74" s="275"/>
      <c r="CS74" s="275"/>
      <c r="CT74" s="275"/>
      <c r="CU74" s="275"/>
      <c r="CV74" s="275"/>
      <c r="CW74" s="275"/>
      <c r="CX74" s="275"/>
      <c r="CY74" s="275"/>
      <c r="CZ74" s="275"/>
      <c r="DA74" s="275"/>
      <c r="DB74" s="275"/>
      <c r="DC74" s="275"/>
      <c r="DD74" s="275"/>
      <c r="DE74" s="275"/>
      <c r="DF74" s="275"/>
      <c r="DG74" s="275"/>
      <c r="DH74" s="275"/>
      <c r="DI74" s="275"/>
      <c r="DJ74" s="275"/>
      <c r="DK74" s="275"/>
      <c r="DL74" s="275"/>
      <c r="DM74" s="275"/>
      <c r="DN74" s="275"/>
      <c r="DO74" s="275"/>
      <c r="DP74" s="275"/>
      <c r="DQ74" s="275"/>
      <c r="DR74" s="275"/>
      <c r="DS74" s="275"/>
      <c r="DT74" s="275"/>
      <c r="DU74" s="275"/>
      <c r="DV74" s="275"/>
      <c r="DW74" s="275"/>
      <c r="DX74" s="275"/>
      <c r="DY74" s="275"/>
      <c r="DZ74" s="275"/>
      <c r="EA74" s="275"/>
      <c r="EB74" s="275"/>
      <c r="EC74" s="275"/>
      <c r="ED74" s="275"/>
      <c r="EE74" s="275"/>
      <c r="EF74" s="275"/>
      <c r="EG74" s="275"/>
      <c r="EH74" s="275"/>
      <c r="EI74" s="275"/>
      <c r="EJ74" s="275"/>
      <c r="EK74" s="275"/>
      <c r="EL74" s="275"/>
      <c r="EM74" s="275"/>
      <c r="EN74" s="275"/>
      <c r="EO74" s="275"/>
      <c r="EP74" s="275"/>
      <c r="EQ74" s="275"/>
      <c r="ER74" s="275"/>
      <c r="ES74" s="275"/>
      <c r="ET74" s="275"/>
      <c r="EU74" s="275"/>
      <c r="EV74" s="275"/>
      <c r="EW74" s="275"/>
      <c r="EX74" s="275"/>
      <c r="EY74" s="275"/>
      <c r="EZ74" s="275"/>
      <c r="FA74" s="275"/>
      <c r="FB74" s="275"/>
      <c r="FC74" s="275"/>
      <c r="FD74" s="275"/>
      <c r="FE74" s="275"/>
      <c r="FF74" s="275"/>
      <c r="FG74" s="275"/>
      <c r="FH74" s="275"/>
      <c r="FI74" s="275"/>
      <c r="FJ74" s="275"/>
      <c r="FK74" s="275"/>
      <c r="FL74" s="275"/>
      <c r="FM74" s="275"/>
      <c r="FN74" s="275"/>
      <c r="FO74" s="275"/>
      <c r="FP74" s="275"/>
      <c r="FQ74" s="275"/>
      <c r="FR74" s="275"/>
      <c r="FS74" s="275"/>
      <c r="FT74" s="275"/>
      <c r="FU74" s="275"/>
      <c r="FV74" s="275"/>
      <c r="FW74" s="276"/>
      <c r="FX74" s="394"/>
      <c r="FY74" s="394"/>
      <c r="FZ74" s="930"/>
      <c r="GA74" s="930"/>
      <c r="GB74" s="930"/>
      <c r="GC74" s="930"/>
      <c r="GD74" s="930"/>
    </row>
    <row r="75" spans="1:186" s="1057" customFormat="1" ht="15" hidden="1" customHeight="1">
      <c r="A75" s="1012"/>
      <c r="B75" s="718"/>
      <c r="C75" s="1012"/>
      <c r="D75" s="1012"/>
      <c r="E75" s="623">
        <v>0</v>
      </c>
      <c r="F75" s="714" t="str">
        <f t="shared" ref="F75:F117" ca="1" si="24">OFFSET(G75,-1,-1)</f>
        <v>1</v>
      </c>
      <c r="G75" s="394"/>
      <c r="H75" s="394"/>
      <c r="I75" s="394"/>
      <c r="J75" s="394"/>
      <c r="K75" s="394"/>
      <c r="L75" s="394"/>
      <c r="M75" s="394"/>
      <c r="N75" s="394"/>
      <c r="O75" s="394"/>
      <c r="P75" s="394"/>
      <c r="Q75" s="394"/>
      <c r="R75" s="719"/>
      <c r="S75" s="394"/>
      <c r="T75" s="634" t="b">
        <v>0</v>
      </c>
      <c r="U75" s="1012"/>
      <c r="V75" s="1012"/>
      <c r="W75" s="1012"/>
      <c r="X75" s="1405"/>
      <c r="Y75" s="1012"/>
      <c r="Z75" s="1405"/>
      <c r="AA75" s="394"/>
      <c r="AB75" s="1384"/>
      <c r="AC75" s="1386"/>
      <c r="AD75" s="274"/>
      <c r="AE75" s="277"/>
      <c r="AF75" s="277"/>
      <c r="AG75" s="277"/>
      <c r="AH75" s="277"/>
      <c r="AI75" s="277"/>
      <c r="AJ75" s="277"/>
      <c r="AK75" s="277"/>
      <c r="AL75" s="277"/>
      <c r="AM75" s="277"/>
      <c r="AN75" s="277"/>
      <c r="AO75" s="277"/>
      <c r="AP75" s="277"/>
      <c r="AQ75" s="277"/>
      <c r="AR75" s="277"/>
      <c r="AS75" s="277"/>
      <c r="AT75" s="277"/>
      <c r="AU75" s="277"/>
      <c r="AV75" s="277"/>
      <c r="AW75" s="277"/>
      <c r="AX75" s="277"/>
      <c r="AY75" s="277"/>
      <c r="AZ75" s="277"/>
      <c r="BA75" s="277"/>
      <c r="BB75" s="277"/>
      <c r="BC75" s="277"/>
      <c r="BD75" s="277"/>
      <c r="BE75" s="277"/>
      <c r="BF75" s="277"/>
      <c r="BG75" s="277"/>
      <c r="BH75" s="277"/>
      <c r="BI75" s="277"/>
      <c r="BJ75" s="277"/>
      <c r="BK75" s="277"/>
      <c r="BL75" s="277"/>
      <c r="BM75" s="277"/>
      <c r="BN75" s="277"/>
      <c r="BO75" s="277"/>
      <c r="BP75" s="277"/>
      <c r="BQ75" s="277"/>
      <c r="BR75" s="277"/>
      <c r="BS75" s="277"/>
      <c r="BT75" s="277"/>
      <c r="BU75" s="277"/>
      <c r="BV75" s="277"/>
      <c r="BW75" s="277"/>
      <c r="BX75" s="277"/>
      <c r="BY75" s="277"/>
      <c r="BZ75" s="277"/>
      <c r="CA75" s="277"/>
      <c r="CB75" s="277"/>
      <c r="CC75" s="277"/>
      <c r="CD75" s="277"/>
      <c r="CE75" s="277"/>
      <c r="CF75" s="277"/>
      <c r="CG75" s="277"/>
      <c r="CH75" s="277"/>
      <c r="CI75" s="277"/>
      <c r="CJ75" s="277"/>
      <c r="CK75" s="277"/>
      <c r="CL75" s="277"/>
      <c r="CM75" s="277"/>
      <c r="CN75" s="277"/>
      <c r="CO75" s="277"/>
      <c r="CP75" s="277"/>
      <c r="CQ75" s="277"/>
      <c r="CR75" s="277"/>
      <c r="CS75" s="277"/>
      <c r="CT75" s="277"/>
      <c r="CU75" s="277"/>
      <c r="CV75" s="277"/>
      <c r="CW75" s="277"/>
      <c r="CX75" s="277"/>
      <c r="CY75" s="277"/>
      <c r="CZ75" s="277"/>
      <c r="DA75" s="277"/>
      <c r="DB75" s="277"/>
      <c r="DC75" s="277"/>
      <c r="DD75" s="277"/>
      <c r="DE75" s="277"/>
      <c r="DF75" s="277"/>
      <c r="DG75" s="277"/>
      <c r="DH75" s="277"/>
      <c r="DI75" s="277"/>
      <c r="DJ75" s="277"/>
      <c r="DK75" s="277"/>
      <c r="DL75" s="277"/>
      <c r="DM75" s="277"/>
      <c r="DN75" s="277"/>
      <c r="DO75" s="277"/>
      <c r="DP75" s="277"/>
      <c r="DQ75" s="277"/>
      <c r="DR75" s="277"/>
      <c r="DS75" s="277"/>
      <c r="DT75" s="277"/>
      <c r="DU75" s="277"/>
      <c r="DV75" s="277"/>
      <c r="DW75" s="277"/>
      <c r="DX75" s="277"/>
      <c r="DY75" s="277"/>
      <c r="DZ75" s="277"/>
      <c r="EA75" s="277"/>
      <c r="EB75" s="277"/>
      <c r="EC75" s="277"/>
      <c r="ED75" s="277"/>
      <c r="EE75" s="277"/>
      <c r="EF75" s="277"/>
      <c r="EG75" s="277"/>
      <c r="EH75" s="277"/>
      <c r="EI75" s="277"/>
      <c r="EJ75" s="277"/>
      <c r="EK75" s="277"/>
      <c r="EL75" s="277"/>
      <c r="EM75" s="277"/>
      <c r="EN75" s="277"/>
      <c r="EO75" s="277"/>
      <c r="EP75" s="277"/>
      <c r="EQ75" s="277"/>
      <c r="ER75" s="277"/>
      <c r="ES75" s="277"/>
      <c r="ET75" s="277"/>
      <c r="EU75" s="277"/>
      <c r="EV75" s="277"/>
      <c r="EW75" s="277"/>
      <c r="EX75" s="277"/>
      <c r="EY75" s="277"/>
      <c r="EZ75" s="277"/>
      <c r="FA75" s="277"/>
      <c r="FB75" s="277"/>
      <c r="FC75" s="277"/>
      <c r="FD75" s="277"/>
      <c r="FE75" s="277"/>
      <c r="FF75" s="277"/>
      <c r="FG75" s="277"/>
      <c r="FH75" s="277"/>
      <c r="FI75" s="277"/>
      <c r="FJ75" s="277"/>
      <c r="FK75" s="277"/>
      <c r="FL75" s="277"/>
      <c r="FM75" s="277"/>
      <c r="FN75" s="277"/>
      <c r="FO75" s="277"/>
      <c r="FP75" s="277"/>
      <c r="FQ75" s="277"/>
      <c r="FR75" s="277"/>
      <c r="FS75" s="277"/>
      <c r="FT75" s="277"/>
      <c r="FU75" s="277"/>
      <c r="FV75" s="277"/>
      <c r="FW75" s="278"/>
      <c r="FX75" s="394"/>
      <c r="FY75" s="394"/>
      <c r="FZ75" s="930"/>
      <c r="GA75" s="930"/>
      <c r="GB75" s="930"/>
      <c r="GC75" s="930"/>
      <c r="GD75" s="930"/>
    </row>
    <row r="76" spans="1:186" s="1057" customFormat="1" ht="16.5" customHeight="1">
      <c r="A76" s="1012"/>
      <c r="B76" s="718"/>
      <c r="C76" s="1012"/>
      <c r="D76" s="1012"/>
      <c r="E76" s="623">
        <v>17.100000000000001</v>
      </c>
      <c r="F76" s="714" t="str">
        <f t="shared" ca="1" si="24"/>
        <v>1</v>
      </c>
      <c r="G76" s="394"/>
      <c r="H76" s="394"/>
      <c r="I76" s="394"/>
      <c r="J76" s="394"/>
      <c r="K76" s="394"/>
      <c r="L76" s="394"/>
      <c r="M76" s="394"/>
      <c r="N76" s="394"/>
      <c r="O76" s="394"/>
      <c r="P76" s="394"/>
      <c r="Q76" s="394"/>
      <c r="R76" s="719"/>
      <c r="S76" s="394"/>
      <c r="T76" s="634" t="b">
        <f>T74</f>
        <v>1</v>
      </c>
      <c r="U76" s="1012"/>
      <c r="V76" s="1012"/>
      <c r="W76" s="1012"/>
      <c r="X76" s="1405"/>
      <c r="Y76" s="1012"/>
      <c r="Z76" s="1405"/>
      <c r="AA76" s="394"/>
      <c r="AB76" s="1384" t="s">
        <v>1651</v>
      </c>
      <c r="AC76" s="1386"/>
      <c r="AD76" s="274" t="str">
        <f ca="1">INDEX('Общие сведения'!$AI$169:$AI$202,MATCH($F76,'Общие сведения'!$Z$169:$Z$202,0))</f>
        <v>Тарифы на теплоноситель</v>
      </c>
      <c r="AE76" s="277"/>
      <c r="AF76" s="277"/>
      <c r="AG76" s="277"/>
      <c r="AH76" s="277"/>
      <c r="AI76" s="277"/>
      <c r="AJ76" s="277"/>
      <c r="AK76" s="277"/>
      <c r="AL76" s="277"/>
      <c r="AM76" s="277"/>
      <c r="AN76" s="277"/>
      <c r="AO76" s="277"/>
      <c r="AP76" s="277"/>
      <c r="AQ76" s="277"/>
      <c r="AR76" s="277"/>
      <c r="AS76" s="277"/>
      <c r="AT76" s="277"/>
      <c r="AU76" s="277"/>
      <c r="AV76" s="277"/>
      <c r="AW76" s="277"/>
      <c r="AX76" s="277"/>
      <c r="AY76" s="277"/>
      <c r="AZ76" s="277"/>
      <c r="BA76" s="277"/>
      <c r="BB76" s="277"/>
      <c r="BC76" s="277"/>
      <c r="BD76" s="277"/>
      <c r="BE76" s="277"/>
      <c r="BF76" s="277"/>
      <c r="BG76" s="277"/>
      <c r="BH76" s="277"/>
      <c r="BI76" s="277"/>
      <c r="BJ76" s="277"/>
      <c r="BK76" s="277"/>
      <c r="BL76" s="277"/>
      <c r="BM76" s="277"/>
      <c r="BN76" s="277"/>
      <c r="BO76" s="277"/>
      <c r="BP76" s="277"/>
      <c r="BQ76" s="277"/>
      <c r="BR76" s="277"/>
      <c r="BS76" s="277"/>
      <c r="BT76" s="277"/>
      <c r="BU76" s="277"/>
      <c r="BV76" s="277"/>
      <c r="BW76" s="277"/>
      <c r="BX76" s="277"/>
      <c r="BY76" s="277"/>
      <c r="BZ76" s="277"/>
      <c r="CA76" s="277"/>
      <c r="CB76" s="277"/>
      <c r="CC76" s="277"/>
      <c r="CD76" s="277"/>
      <c r="CE76" s="277"/>
      <c r="CF76" s="277"/>
      <c r="CG76" s="277"/>
      <c r="CH76" s="277"/>
      <c r="CI76" s="277"/>
      <c r="CJ76" s="277"/>
      <c r="CK76" s="277"/>
      <c r="CL76" s="277"/>
      <c r="CM76" s="277"/>
      <c r="CN76" s="277"/>
      <c r="CO76" s="277"/>
      <c r="CP76" s="277"/>
      <c r="CQ76" s="277"/>
      <c r="CR76" s="277"/>
      <c r="CS76" s="277"/>
      <c r="CT76" s="277"/>
      <c r="CU76" s="277"/>
      <c r="CV76" s="277"/>
      <c r="CW76" s="277"/>
      <c r="CX76" s="277"/>
      <c r="CY76" s="277"/>
      <c r="CZ76" s="277"/>
      <c r="DA76" s="277"/>
      <c r="DB76" s="277"/>
      <c r="DC76" s="277"/>
      <c r="DD76" s="277"/>
      <c r="DE76" s="277"/>
      <c r="DF76" s="277"/>
      <c r="DG76" s="277"/>
      <c r="DH76" s="277"/>
      <c r="DI76" s="277"/>
      <c r="DJ76" s="277"/>
      <c r="DK76" s="277"/>
      <c r="DL76" s="277"/>
      <c r="DM76" s="277"/>
      <c r="DN76" s="277"/>
      <c r="DO76" s="277"/>
      <c r="DP76" s="277"/>
      <c r="DQ76" s="277"/>
      <c r="DR76" s="277"/>
      <c r="DS76" s="277"/>
      <c r="DT76" s="277"/>
      <c r="DU76" s="277"/>
      <c r="DV76" s="277"/>
      <c r="DW76" s="277"/>
      <c r="DX76" s="277"/>
      <c r="DY76" s="277"/>
      <c r="DZ76" s="277"/>
      <c r="EA76" s="277"/>
      <c r="EB76" s="277"/>
      <c r="EC76" s="277"/>
      <c r="ED76" s="277"/>
      <c r="EE76" s="277"/>
      <c r="EF76" s="277"/>
      <c r="EG76" s="277"/>
      <c r="EH76" s="277"/>
      <c r="EI76" s="277"/>
      <c r="EJ76" s="277"/>
      <c r="EK76" s="277"/>
      <c r="EL76" s="277"/>
      <c r="EM76" s="277"/>
      <c r="EN76" s="277"/>
      <c r="EO76" s="277"/>
      <c r="EP76" s="277"/>
      <c r="EQ76" s="277"/>
      <c r="ER76" s="277"/>
      <c r="ES76" s="277"/>
      <c r="ET76" s="277"/>
      <c r="EU76" s="277"/>
      <c r="EV76" s="277"/>
      <c r="EW76" s="277"/>
      <c r="EX76" s="277"/>
      <c r="EY76" s="277"/>
      <c r="EZ76" s="277"/>
      <c r="FA76" s="277"/>
      <c r="FB76" s="277"/>
      <c r="FC76" s="277"/>
      <c r="FD76" s="277"/>
      <c r="FE76" s="277"/>
      <c r="FF76" s="277"/>
      <c r="FG76" s="277"/>
      <c r="FH76" s="277"/>
      <c r="FI76" s="277"/>
      <c r="FJ76" s="277"/>
      <c r="FK76" s="277"/>
      <c r="FL76" s="277"/>
      <c r="FM76" s="277"/>
      <c r="FN76" s="277"/>
      <c r="FO76" s="277"/>
      <c r="FP76" s="277"/>
      <c r="FQ76" s="277"/>
      <c r="FR76" s="277"/>
      <c r="FS76" s="277"/>
      <c r="FT76" s="277"/>
      <c r="FU76" s="277"/>
      <c r="FV76" s="277"/>
      <c r="FW76" s="278"/>
      <c r="FX76" s="394"/>
      <c r="FY76" s="394"/>
      <c r="FZ76" s="930"/>
      <c r="GA76" s="930"/>
      <c r="GB76" s="930"/>
      <c r="GC76" s="930"/>
      <c r="GD76" s="930"/>
    </row>
    <row r="77" spans="1:186" s="1057" customFormat="1" ht="16.5" customHeight="1">
      <c r="A77" s="1012"/>
      <c r="B77" s="718"/>
      <c r="C77" s="1012"/>
      <c r="D77" s="1012"/>
      <c r="E77" s="623">
        <v>17.100000000000001</v>
      </c>
      <c r="F77" s="714" t="str">
        <f t="shared" ca="1" si="24"/>
        <v>1</v>
      </c>
      <c r="G77" s="394"/>
      <c r="H77" s="394"/>
      <c r="I77" s="394"/>
      <c r="J77" s="394"/>
      <c r="K77" s="394"/>
      <c r="L77" s="394"/>
      <c r="M77" s="394"/>
      <c r="N77" s="394"/>
      <c r="O77" s="394"/>
      <c r="P77" s="394"/>
      <c r="Q77" s="394"/>
      <c r="R77" s="719"/>
      <c r="S77" s="394"/>
      <c r="T77" s="634" t="b">
        <f t="shared" ref="T77:T91" si="25">T76</f>
        <v>1</v>
      </c>
      <c r="U77" s="1012"/>
      <c r="V77" s="1012"/>
      <c r="W77" s="1012"/>
      <c r="X77" s="1405"/>
      <c r="Y77" s="1012"/>
      <c r="Z77" s="1405"/>
      <c r="AA77" s="394"/>
      <c r="AB77" s="1384" t="s">
        <v>1652</v>
      </c>
      <c r="AC77" s="1386"/>
      <c r="AD77" s="274" t="str">
        <f ca="1">INDEX('Общие сведения'!$AJ$169:$AJ$202,MATCH($F77,'Общие сведения'!$Z$169:$Z$202,0))</f>
        <v>Не определено</v>
      </c>
      <c r="AE77" s="277"/>
      <c r="AF77" s="277"/>
      <c r="AG77" s="277"/>
      <c r="AH77" s="277"/>
      <c r="AI77" s="277"/>
      <c r="AJ77" s="277"/>
      <c r="AK77" s="277"/>
      <c r="AL77" s="277"/>
      <c r="AM77" s="277"/>
      <c r="AN77" s="277"/>
      <c r="AO77" s="277"/>
      <c r="AP77" s="277"/>
      <c r="AQ77" s="277"/>
      <c r="AR77" s="277"/>
      <c r="AS77" s="277"/>
      <c r="AT77" s="277"/>
      <c r="AU77" s="277"/>
      <c r="AV77" s="277"/>
      <c r="AW77" s="277"/>
      <c r="AX77" s="277"/>
      <c r="AY77" s="277"/>
      <c r="AZ77" s="277"/>
      <c r="BA77" s="277"/>
      <c r="BB77" s="277"/>
      <c r="BC77" s="277"/>
      <c r="BD77" s="277"/>
      <c r="BE77" s="277"/>
      <c r="BF77" s="277"/>
      <c r="BG77" s="277"/>
      <c r="BH77" s="277"/>
      <c r="BI77" s="277"/>
      <c r="BJ77" s="277"/>
      <c r="BK77" s="277"/>
      <c r="BL77" s="277"/>
      <c r="BM77" s="277"/>
      <c r="BN77" s="277"/>
      <c r="BO77" s="277"/>
      <c r="BP77" s="277"/>
      <c r="BQ77" s="277"/>
      <c r="BR77" s="277"/>
      <c r="BS77" s="277"/>
      <c r="BT77" s="277"/>
      <c r="BU77" s="277"/>
      <c r="BV77" s="277"/>
      <c r="BW77" s="277"/>
      <c r="BX77" s="277"/>
      <c r="BY77" s="277"/>
      <c r="BZ77" s="277"/>
      <c r="CA77" s="277"/>
      <c r="CB77" s="277"/>
      <c r="CC77" s="277"/>
      <c r="CD77" s="277"/>
      <c r="CE77" s="277"/>
      <c r="CF77" s="277"/>
      <c r="CG77" s="277"/>
      <c r="CH77" s="277"/>
      <c r="CI77" s="277"/>
      <c r="CJ77" s="277"/>
      <c r="CK77" s="277"/>
      <c r="CL77" s="277"/>
      <c r="CM77" s="277"/>
      <c r="CN77" s="277"/>
      <c r="CO77" s="277"/>
      <c r="CP77" s="277"/>
      <c r="CQ77" s="277"/>
      <c r="CR77" s="277"/>
      <c r="CS77" s="277"/>
      <c r="CT77" s="277"/>
      <c r="CU77" s="277"/>
      <c r="CV77" s="277"/>
      <c r="CW77" s="277"/>
      <c r="CX77" s="277"/>
      <c r="CY77" s="277"/>
      <c r="CZ77" s="277"/>
      <c r="DA77" s="277"/>
      <c r="DB77" s="277"/>
      <c r="DC77" s="277"/>
      <c r="DD77" s="277"/>
      <c r="DE77" s="277"/>
      <c r="DF77" s="277"/>
      <c r="DG77" s="277"/>
      <c r="DH77" s="277"/>
      <c r="DI77" s="277"/>
      <c r="DJ77" s="277"/>
      <c r="DK77" s="277"/>
      <c r="DL77" s="277"/>
      <c r="DM77" s="277"/>
      <c r="DN77" s="277"/>
      <c r="DO77" s="277"/>
      <c r="DP77" s="277"/>
      <c r="DQ77" s="277"/>
      <c r="DR77" s="277"/>
      <c r="DS77" s="277"/>
      <c r="DT77" s="277"/>
      <c r="DU77" s="277"/>
      <c r="DV77" s="277"/>
      <c r="DW77" s="277"/>
      <c r="DX77" s="277"/>
      <c r="DY77" s="277"/>
      <c r="DZ77" s="277"/>
      <c r="EA77" s="277"/>
      <c r="EB77" s="277"/>
      <c r="EC77" s="277"/>
      <c r="ED77" s="277"/>
      <c r="EE77" s="277"/>
      <c r="EF77" s="277"/>
      <c r="EG77" s="277"/>
      <c r="EH77" s="277"/>
      <c r="EI77" s="277"/>
      <c r="EJ77" s="277"/>
      <c r="EK77" s="277"/>
      <c r="EL77" s="277"/>
      <c r="EM77" s="277"/>
      <c r="EN77" s="277"/>
      <c r="EO77" s="277"/>
      <c r="EP77" s="277"/>
      <c r="EQ77" s="277"/>
      <c r="ER77" s="277"/>
      <c r="ES77" s="277"/>
      <c r="ET77" s="277"/>
      <c r="EU77" s="277"/>
      <c r="EV77" s="277"/>
      <c r="EW77" s="277"/>
      <c r="EX77" s="277"/>
      <c r="EY77" s="277"/>
      <c r="EZ77" s="277"/>
      <c r="FA77" s="277"/>
      <c r="FB77" s="277"/>
      <c r="FC77" s="277"/>
      <c r="FD77" s="277"/>
      <c r="FE77" s="277"/>
      <c r="FF77" s="277"/>
      <c r="FG77" s="277"/>
      <c r="FH77" s="277"/>
      <c r="FI77" s="277"/>
      <c r="FJ77" s="277"/>
      <c r="FK77" s="277"/>
      <c r="FL77" s="277"/>
      <c r="FM77" s="277"/>
      <c r="FN77" s="277"/>
      <c r="FO77" s="277"/>
      <c r="FP77" s="277"/>
      <c r="FQ77" s="277"/>
      <c r="FR77" s="277"/>
      <c r="FS77" s="277"/>
      <c r="FT77" s="277"/>
      <c r="FU77" s="277"/>
      <c r="FV77" s="277"/>
      <c r="FW77" s="278"/>
      <c r="FX77" s="394"/>
      <c r="FY77" s="394"/>
      <c r="FZ77" s="930"/>
      <c r="GA77" s="930"/>
      <c r="GB77" s="930"/>
      <c r="GC77" s="930"/>
      <c r="GD77" s="930"/>
    </row>
    <row r="78" spans="1:186" s="1057" customFormat="1" ht="16.5" customHeight="1">
      <c r="A78" s="1012"/>
      <c r="B78" s="749" t="b">
        <f>R74="одноставочный"</f>
        <v>1</v>
      </c>
      <c r="C78" s="1012"/>
      <c r="D78" s="1012"/>
      <c r="E78" s="623">
        <v>17.100000000000001</v>
      </c>
      <c r="F78" s="714" t="str">
        <f t="shared" ca="1" si="24"/>
        <v>1</v>
      </c>
      <c r="G78" s="394"/>
      <c r="H78" s="394"/>
      <c r="I78" s="394"/>
      <c r="J78" s="394"/>
      <c r="K78" s="394"/>
      <c r="L78" s="394"/>
      <c r="M78" s="394"/>
      <c r="N78" s="394"/>
      <c r="O78" s="394"/>
      <c r="P78" s="394"/>
      <c r="Q78" s="394"/>
      <c r="R78" s="719"/>
      <c r="S78" s="394"/>
      <c r="T78" s="634" t="b">
        <f t="shared" si="25"/>
        <v>1</v>
      </c>
      <c r="U78" s="1012"/>
      <c r="V78" s="1012"/>
      <c r="W78" s="1012"/>
      <c r="X78" s="1405"/>
      <c r="Y78" s="1012"/>
      <c r="Z78" s="1405"/>
      <c r="AA78" s="394"/>
      <c r="AB78" s="279" t="s">
        <v>1653</v>
      </c>
      <c r="AC78" s="280"/>
      <c r="AD78" s="281"/>
      <c r="AE78" s="281"/>
      <c r="AF78" s="281"/>
      <c r="AG78" s="281"/>
      <c r="AH78" s="281"/>
      <c r="AI78" s="281"/>
      <c r="AJ78" s="281"/>
      <c r="AK78" s="281"/>
      <c r="AL78" s="281"/>
      <c r="AM78" s="281"/>
      <c r="AN78" s="281"/>
      <c r="AO78" s="281"/>
      <c r="AP78" s="281"/>
      <c r="AQ78" s="281"/>
      <c r="AR78" s="281"/>
      <c r="AS78" s="281"/>
      <c r="AT78" s="281"/>
      <c r="AU78" s="281"/>
      <c r="AV78" s="281"/>
      <c r="AW78" s="281"/>
      <c r="AX78" s="281"/>
      <c r="AY78" s="281"/>
      <c r="AZ78" s="281"/>
      <c r="BA78" s="281"/>
      <c r="BB78" s="281"/>
      <c r="BC78" s="281"/>
      <c r="BD78" s="281"/>
      <c r="BE78" s="281"/>
      <c r="BF78" s="281"/>
      <c r="BG78" s="281"/>
      <c r="BH78" s="281"/>
      <c r="BI78" s="281"/>
      <c r="BJ78" s="282"/>
      <c r="BK78" s="281"/>
      <c r="BL78" s="281"/>
      <c r="BM78" s="282"/>
      <c r="BN78" s="281"/>
      <c r="BO78" s="281"/>
      <c r="BP78" s="282"/>
      <c r="BQ78" s="281"/>
      <c r="BR78" s="281"/>
      <c r="BS78" s="282"/>
      <c r="BT78" s="281"/>
      <c r="BU78" s="281"/>
      <c r="BV78" s="282"/>
      <c r="BW78" s="281"/>
      <c r="BX78" s="281"/>
      <c r="BY78" s="282"/>
      <c r="BZ78" s="281"/>
      <c r="CA78" s="281"/>
      <c r="CB78" s="282"/>
      <c r="CC78" s="281"/>
      <c r="CD78" s="281"/>
      <c r="CE78" s="282"/>
      <c r="CF78" s="281"/>
      <c r="CG78" s="281"/>
      <c r="CH78" s="282"/>
      <c r="CI78" s="281"/>
      <c r="CJ78" s="281"/>
      <c r="CK78" s="282"/>
      <c r="CL78" s="281"/>
      <c r="CM78" s="281"/>
      <c r="CN78" s="282"/>
      <c r="CO78" s="281"/>
      <c r="CP78" s="281"/>
      <c r="CQ78" s="282"/>
      <c r="CR78" s="281"/>
      <c r="CS78" s="281"/>
      <c r="CT78" s="282"/>
      <c r="CU78" s="281"/>
      <c r="CV78" s="281"/>
      <c r="CW78" s="282"/>
      <c r="CX78" s="281"/>
      <c r="CY78" s="281"/>
      <c r="CZ78" s="282"/>
      <c r="DA78" s="281"/>
      <c r="DB78" s="281"/>
      <c r="DC78" s="282"/>
      <c r="DD78" s="281"/>
      <c r="DE78" s="281"/>
      <c r="DF78" s="282"/>
      <c r="DG78" s="281"/>
      <c r="DH78" s="281"/>
      <c r="DI78" s="282"/>
      <c r="DJ78" s="281"/>
      <c r="DK78" s="281"/>
      <c r="DL78" s="282"/>
      <c r="DM78" s="281"/>
      <c r="DN78" s="281"/>
      <c r="DO78" s="282"/>
      <c r="DP78" s="281"/>
      <c r="DQ78" s="281"/>
      <c r="DR78" s="282"/>
      <c r="DS78" s="281"/>
      <c r="DT78" s="281"/>
      <c r="DU78" s="282"/>
      <c r="DV78" s="281"/>
      <c r="DW78" s="281"/>
      <c r="DX78" s="282"/>
      <c r="DY78" s="281"/>
      <c r="DZ78" s="281"/>
      <c r="EA78" s="282"/>
      <c r="EB78" s="281"/>
      <c r="EC78" s="281"/>
      <c r="ED78" s="282"/>
      <c r="EE78" s="281"/>
      <c r="EF78" s="281"/>
      <c r="EG78" s="282"/>
      <c r="EH78" s="281"/>
      <c r="EI78" s="281"/>
      <c r="EJ78" s="282"/>
      <c r="EK78" s="281"/>
      <c r="EL78" s="281"/>
      <c r="EM78" s="282"/>
      <c r="EN78" s="281"/>
      <c r="EO78" s="281"/>
      <c r="EP78" s="282"/>
      <c r="EQ78" s="281"/>
      <c r="ER78" s="281"/>
      <c r="ES78" s="282"/>
      <c r="ET78" s="281"/>
      <c r="EU78" s="281"/>
      <c r="EV78" s="282"/>
      <c r="EW78" s="281"/>
      <c r="EX78" s="281"/>
      <c r="EY78" s="282"/>
      <c r="EZ78" s="281"/>
      <c r="FA78" s="281"/>
      <c r="FB78" s="282"/>
      <c r="FC78" s="281"/>
      <c r="FD78" s="281"/>
      <c r="FE78" s="282"/>
      <c r="FF78" s="281"/>
      <c r="FG78" s="281"/>
      <c r="FH78" s="282"/>
      <c r="FI78" s="281"/>
      <c r="FJ78" s="281"/>
      <c r="FK78" s="282"/>
      <c r="FL78" s="281"/>
      <c r="FM78" s="281"/>
      <c r="FN78" s="282"/>
      <c r="FO78" s="281"/>
      <c r="FP78" s="281"/>
      <c r="FQ78" s="282"/>
      <c r="FR78" s="281"/>
      <c r="FS78" s="281"/>
      <c r="FT78" s="282"/>
      <c r="FU78" s="281"/>
      <c r="FV78" s="281"/>
      <c r="FW78" s="282"/>
      <c r="FX78" s="394"/>
      <c r="FY78" s="394"/>
      <c r="FZ78" s="930"/>
      <c r="GA78" s="930"/>
      <c r="GB78" s="930"/>
      <c r="GC78" s="930"/>
      <c r="GD78" s="930"/>
    </row>
    <row r="79" spans="1:186" s="1265" customFormat="1" ht="16.5" customHeight="1">
      <c r="A79" s="283"/>
      <c r="B79" s="749" t="b">
        <f t="shared" ref="B79:B90" si="26">B78</f>
        <v>1</v>
      </c>
      <c r="C79" s="283"/>
      <c r="D79" s="283"/>
      <c r="E79" s="623">
        <v>17.100000000000001</v>
      </c>
      <c r="F79" s="714" t="str">
        <f t="shared" ca="1" si="24"/>
        <v>1</v>
      </c>
      <c r="G79" s="566" t="s">
        <v>1444</v>
      </c>
      <c r="H79" s="150" t="s">
        <v>391</v>
      </c>
      <c r="I79" s="150" t="s">
        <v>1654</v>
      </c>
      <c r="J79" s="283"/>
      <c r="K79" s="283"/>
      <c r="L79" s="283"/>
      <c r="M79" s="283"/>
      <c r="N79" s="283"/>
      <c r="O79" s="283"/>
      <c r="P79" s="283"/>
      <c r="Q79" s="283"/>
      <c r="R79" s="283"/>
      <c r="S79" s="283"/>
      <c r="T79" s="634" t="b">
        <f t="shared" si="25"/>
        <v>1</v>
      </c>
      <c r="U79" s="283"/>
      <c r="V79" s="283"/>
      <c r="W79" s="283"/>
      <c r="X79" s="1544"/>
      <c r="Y79" s="283"/>
      <c r="Z79" s="1544"/>
      <c r="AA79" s="283"/>
      <c r="AB79" s="284" t="s">
        <v>1655</v>
      </c>
      <c r="AC79" s="285" t="s">
        <v>1446</v>
      </c>
      <c r="AD79" s="1266">
        <f ca="1">IF(method_reg="Метод экономически обоснованных расходов",SUMIFS('Калькуляция (6.6)'!AJ$25:AJ$133,'Калькуляция (6.6)'!$F$25:$F$133,$F79,'Калькуляция (6.6)'!$G$25:$G$133,$G79),IF(method_reg="Метод сравнения аналогов",SUMIFS(INDEX('Калькуляция (МСА)'!$AE$25:$BC$82,,MATCH(AD$8,'Калькуляция (МСА)'!$AE$8:$BC$8,0)),'Калькуляция (МСА)'!$F$25:$F$82,$F79,'Калькуляция (МСА)'!$G$25:$G$82,$G79),SUMIFS(INDEX('Калькуляция (5.9)'!$AJ$25:$BC$126,,MATCH(AD$8,'Калькуляция (5.9)'!$AJ$8:$BC$8,0)),'Калькуляция (5.9)'!$F$25:$F$126,$F79,'Калькуляция (5.9)'!$G$25:$G$126,$G79)))</f>
        <v>57.03</v>
      </c>
      <c r="AE79" s="1266">
        <f ca="1">IF(method_reg="Метод экономически обоснованных расходов",SUMIFS('Калькуляция (6.6)'!AK$25:AK$133,'Калькуляция (6.6)'!$F$25:$F$133,$F79,'Калькуляция (6.6)'!$G$25:$G$133,$G79),IF(method_reg="Метод сравнения аналогов",SUMIFS(INDEX('Калькуляция (МСА)'!$AE$25:$BC$82,,MATCH(AE$8,'Калькуляция (МСА)'!$AE$8:$BC$8,0)),'Калькуляция (МСА)'!$F$25:$F$82,$F79,'Калькуляция (МСА)'!$G$25:$G$82,$G79),SUMIFS(INDEX('Калькуляция (5.9)'!$AJ$25:$BC$126,,MATCH(AE$8,'Калькуляция (5.9)'!$AJ$8:$BC$8,0)),'Калькуляция (5.9)'!$F$25:$F$126,$F79,'Калькуляция (5.9)'!$G$25:$G$126,$G79)))</f>
        <v>57.03</v>
      </c>
      <c r="AF79" s="286">
        <f ca="1">IF(AD79=0,0,(AE79-AD79)/AD79*100)</f>
        <v>0</v>
      </c>
      <c r="AG79" s="1259">
        <f ca="1">IF(method_reg="Метод сравнения аналогов",SUMIFS(INDEX('Калькуляция (МСА)'!$AE$25:$BC$82,,MATCH(AG$8,'Калькуляция (МСА)'!$AE$8:$BC$8,0)),'Калькуляция (МСА)'!$F$25:$F$82,$F79,'Калькуляция (МСА)'!$G$25:$G$82,$G79),SUMIFS(INDEX('Калькуляция (5.9)'!$AJ$25:$BC$126,,MATCH(AG$8,'Калькуляция (5.9)'!$AJ$8:$BC$8,0)),'Калькуляция (5.9)'!$F$25:$F$126,$F79,'Калькуляция (5.9)'!$G$25:$G$126,$G79))</f>
        <v>0</v>
      </c>
      <c r="AH79" s="1259">
        <f ca="1">IF(method_reg="Метод сравнения аналогов",SUMIFS(INDEX('Калькуляция (МСА)'!$AE$25:$BC$82,,MATCH(AH$8,'Калькуляция (МСА)'!$AE$8:$BC$8,0)),'Калькуляция (МСА)'!$F$25:$F$82,$F79,'Калькуляция (МСА)'!$G$25:$G$82,$G79),SUMIFS(INDEX('Калькуляция (5.9)'!$AJ$25:$BC$126,,MATCH(AH$8,'Калькуляция (5.9)'!$AJ$8:$BC$8,0)),'Калькуляция (5.9)'!$F$25:$F$126,$F79,'Калькуляция (5.9)'!$G$25:$G$126,$G79))</f>
        <v>0</v>
      </c>
      <c r="AI79" s="286">
        <f ca="1">IF(AG79=0,0,(AH79-AG79)/AG79*100)</f>
        <v>0</v>
      </c>
      <c r="AJ79" s="1259">
        <f ca="1">IF(method_reg="Метод сравнения аналогов",SUMIFS(INDEX('Калькуляция (МСА)'!$AE$25:$BC$82,,MATCH(AJ$8,'Калькуляция (МСА)'!$AE$8:$BC$8,0)),'Калькуляция (МСА)'!$F$25:$F$82,$F79,'Калькуляция (МСА)'!$G$25:$G$82,$G79),SUMIFS(INDEX('Калькуляция (5.9)'!$AJ$25:$BC$126,,MATCH(AJ$8,'Калькуляция (5.9)'!$AJ$8:$BC$8,0)),'Калькуляция (5.9)'!$F$25:$F$126,$F79,'Калькуляция (5.9)'!$G$25:$G$126,$G79))</f>
        <v>0</v>
      </c>
      <c r="AK79" s="1259">
        <f ca="1">IF(method_reg="Метод сравнения аналогов",SUMIFS(INDEX('Калькуляция (МСА)'!$AE$25:$BC$82,,MATCH(AK$8,'Калькуляция (МСА)'!$AE$8:$BC$8,0)),'Калькуляция (МСА)'!$F$25:$F$82,$F79,'Калькуляция (МСА)'!$G$25:$G$82,$G79),SUMIFS(INDEX('Калькуляция (5.9)'!$AJ$25:$BC$126,,MATCH(AK$8,'Калькуляция (5.9)'!$AJ$8:$BC$8,0)),'Калькуляция (5.9)'!$F$25:$F$126,$F79,'Калькуляция (5.9)'!$G$25:$G$126,$G79))</f>
        <v>0</v>
      </c>
      <c r="AL79" s="286">
        <f ca="1">IF(AJ79=0,0,(AK79-AJ79)/AJ79*100)</f>
        <v>0</v>
      </c>
      <c r="AM79" s="1266">
        <f ca="1">IF(method_reg="Метод сравнения аналогов",SUMIFS(INDEX('Калькуляция (МСА)'!$AE$25:$BC$82,,MATCH(AM$8,'Калькуляция (МСА)'!$AE$8:$BC$8,0)),'Калькуляция (МСА)'!$F$25:$F$82,$F79,'Калькуляция (МСА)'!$G$25:$G$82,$G79),SUMIFS(INDEX('Калькуляция (5.9)'!$AJ$25:$BC$126,,MATCH(AM$8,'Калькуляция (5.9)'!$AJ$8:$BC$8,0)),'Калькуляция (5.9)'!$F$25:$F$126,$F79,'Калькуляция (5.9)'!$G$25:$G$126,$G79))</f>
        <v>0</v>
      </c>
      <c r="AN79" s="1266">
        <f ca="1">IF(method_reg="Метод сравнения аналогов",SUMIFS(INDEX('Калькуляция (МСА)'!$AE$25:$BC$82,,MATCH(AN$8,'Калькуляция (МСА)'!$AE$8:$BC$8,0)),'Калькуляция (МСА)'!$F$25:$F$82,$F79,'Калькуляция (МСА)'!$G$25:$G$82,$G79),SUMIFS(INDEX('Калькуляция (5.9)'!$AJ$25:$BC$126,,MATCH(AN$8,'Калькуляция (5.9)'!$AJ$8:$BC$8,0)),'Калькуляция (5.9)'!$F$25:$F$126,$F79,'Калькуляция (5.9)'!$G$25:$G$126,$G79))</f>
        <v>0</v>
      </c>
      <c r="AO79" s="286">
        <f ca="1">IF(AM79=0,0,(AN79-AM79)/AM79*100)</f>
        <v>0</v>
      </c>
      <c r="AP79" s="1266">
        <f ca="1">IF(method_reg="Метод сравнения аналогов",SUMIFS(INDEX('Калькуляция (МСА)'!$AE$25:$BC$82,,MATCH(AP$8,'Калькуляция (МСА)'!$AE$8:$BC$8,0)),'Калькуляция (МСА)'!$F$25:$F$82,$F79,'Калькуляция (МСА)'!$G$25:$G$82,$G79),SUMIFS(INDEX('Калькуляция (5.9)'!$AJ$25:$BC$126,,MATCH(AP$8,'Калькуляция (5.9)'!$AJ$8:$BC$8,0)),'Калькуляция (5.9)'!$F$25:$F$126,$F79,'Калькуляция (5.9)'!$G$25:$G$126,$G79))</f>
        <v>0</v>
      </c>
      <c r="AQ79" s="1266">
        <f ca="1">IF(method_reg="Метод сравнения аналогов",SUMIFS(INDEX('Калькуляция (МСА)'!$AE$25:$BC$82,,MATCH(AQ$8,'Калькуляция (МСА)'!$AE$8:$BC$8,0)),'Калькуляция (МСА)'!$F$25:$F$82,$F79,'Калькуляция (МСА)'!$G$25:$G$82,$G79),SUMIFS(INDEX('Калькуляция (5.9)'!$AJ$25:$BC$126,,MATCH(AQ$8,'Калькуляция (5.9)'!$AJ$8:$BC$8,0)),'Калькуляция (5.9)'!$F$25:$F$126,$F79,'Калькуляция (5.9)'!$G$25:$G$126,$G79))</f>
        <v>0</v>
      </c>
      <c r="AR79" s="286">
        <f ca="1">IF(AP79=0,0,(AQ79-AP79)/AP79*100)</f>
        <v>0</v>
      </c>
      <c r="AS79" s="1266">
        <f ca="1">IF(method_reg="Метод сравнения аналогов",SUMIFS(INDEX('Калькуляция (МСА)'!$AE$25:$BC$82,,MATCH(AS$8,'Калькуляция (МСА)'!$AE$8:$BC$8,0)),'Калькуляция (МСА)'!$F$25:$F$82,$F79,'Калькуляция (МСА)'!$G$25:$G$82,$G79),SUMIFS(INDEX('Калькуляция (5.9)'!$AJ$25:$BC$126,,MATCH(AS$8,'Калькуляция (5.9)'!$AJ$8:$BC$8,0)),'Калькуляция (5.9)'!$F$25:$F$126,$F79,'Калькуляция (5.9)'!$G$25:$G$126,$G79))</f>
        <v>0</v>
      </c>
      <c r="AT79" s="1266">
        <f ca="1">IF(method_reg="Метод сравнения аналогов",SUMIFS(INDEX('Калькуляция (МСА)'!$AE$25:$BC$82,,MATCH(AT$8,'Калькуляция (МСА)'!$AE$8:$BC$8,0)),'Калькуляция (МСА)'!$F$25:$F$82,$F79,'Калькуляция (МСА)'!$G$25:$G$82,$G79),SUMIFS(INDEX('Калькуляция (5.9)'!$AJ$25:$BC$126,,MATCH(AT$8,'Калькуляция (5.9)'!$AJ$8:$BC$8,0)),'Калькуляция (5.9)'!$F$25:$F$126,$F79,'Калькуляция (5.9)'!$G$25:$G$126,$G79))</f>
        <v>0</v>
      </c>
      <c r="AU79" s="286">
        <f ca="1">IF(AS79=0,0,(AT79-AS79)/AS79*100)</f>
        <v>0</v>
      </c>
      <c r="AV79" s="1266">
        <f ca="1">IF(method_reg="Метод сравнения аналогов",SUMIFS(INDEX('Калькуляция (МСА)'!$AE$25:$BC$82,,MATCH(AV$8,'Калькуляция (МСА)'!$AE$8:$BC$8,0)),'Калькуляция (МСА)'!$F$25:$F$82,$F79,'Калькуляция (МСА)'!$G$25:$G$82,$G79),SUMIFS(INDEX('Калькуляция (5.9)'!$AJ$25:$BC$126,,MATCH(AV$8,'Калькуляция (5.9)'!$AJ$8:$BC$8,0)),'Калькуляция (5.9)'!$F$25:$F$126,$F79,'Калькуляция (5.9)'!$G$25:$G$126,$G79))</f>
        <v>0</v>
      </c>
      <c r="AW79" s="1266">
        <f ca="1">IF(method_reg="Метод сравнения аналогов",SUMIFS(INDEX('Калькуляция (МСА)'!$AE$25:$BC$82,,MATCH(AW$8,'Калькуляция (МСА)'!$AE$8:$BC$8,0)),'Калькуляция (МСА)'!$F$25:$F$82,$F79,'Калькуляция (МСА)'!$G$25:$G$82,$G79),SUMIFS(INDEX('Калькуляция (5.9)'!$AJ$25:$BC$126,,MATCH(AW$8,'Калькуляция (5.9)'!$AJ$8:$BC$8,0)),'Калькуляция (5.9)'!$F$25:$F$126,$F79,'Калькуляция (5.9)'!$G$25:$G$126,$G79))</f>
        <v>0</v>
      </c>
      <c r="AX79" s="286">
        <f ca="1">IF(AV79=0,0,(AW79-AV79)/AV79*100)</f>
        <v>0</v>
      </c>
      <c r="AY79" s="1266">
        <f ca="1">IF(method_reg="Метод сравнения аналогов",SUMIFS(INDEX('Калькуляция (МСА)'!$AE$25:$BC$82,,MATCH(AY$8,'Калькуляция (МСА)'!$AE$8:$BC$8,0)),'Калькуляция (МСА)'!$F$25:$F$82,$F79,'Калькуляция (МСА)'!$G$25:$G$82,$G79),SUMIFS(INDEX('Калькуляция (5.9)'!$AJ$25:$BC$126,,MATCH(AY$8,'Калькуляция (5.9)'!$AJ$8:$BC$8,0)),'Калькуляция (5.9)'!$F$25:$F$126,$F79,'Калькуляция (5.9)'!$G$25:$G$126,$G79))</f>
        <v>0</v>
      </c>
      <c r="AZ79" s="1266">
        <f ca="1">IF(method_reg="Метод сравнения аналогов",SUMIFS(INDEX('Калькуляция (МСА)'!$AE$25:$BC$82,,MATCH(AZ$8,'Калькуляция (МСА)'!$AE$8:$BC$8,0)),'Калькуляция (МСА)'!$F$25:$F$82,$F79,'Калькуляция (МСА)'!$G$25:$G$82,$G79),SUMIFS(INDEX('Калькуляция (5.9)'!$AJ$25:$BC$126,,MATCH(AZ$8,'Калькуляция (5.9)'!$AJ$8:$BC$8,0)),'Калькуляция (5.9)'!$F$25:$F$126,$F79,'Калькуляция (5.9)'!$G$25:$G$126,$G79))</f>
        <v>0</v>
      </c>
      <c r="BA79" s="286">
        <f ca="1">IF(AY79=0,0,(AZ79-AY79)/AY79*100)</f>
        <v>0</v>
      </c>
      <c r="BB79" s="1266">
        <f ca="1">IF(method_reg="Метод сравнения аналогов",SUMIFS(INDEX('Калькуляция (МСА)'!$AE$25:$BC$82,,MATCH(BB$8,'Калькуляция (МСА)'!$AE$8:$BC$8,0)),'Калькуляция (МСА)'!$F$25:$F$82,$F79,'Калькуляция (МСА)'!$G$25:$G$82,$G79),SUMIFS(INDEX('Калькуляция (5.9)'!$AJ$25:$BC$126,,MATCH(BB$8,'Калькуляция (5.9)'!$AJ$8:$BC$8,0)),'Калькуляция (5.9)'!$F$25:$F$126,$F79,'Калькуляция (5.9)'!$G$25:$G$126,$G79))</f>
        <v>0</v>
      </c>
      <c r="BC79" s="1266">
        <f ca="1">IF(method_reg="Метод сравнения аналогов",SUMIFS(INDEX('Калькуляция (МСА)'!$AE$25:$BC$82,,MATCH(BC$8,'Калькуляция (МСА)'!$AE$8:$BC$8,0)),'Калькуляция (МСА)'!$F$25:$F$82,$F79,'Калькуляция (МСА)'!$G$25:$G$82,$G79),SUMIFS(INDEX('Калькуляция (5.9)'!$AJ$25:$BC$126,,MATCH(BC$8,'Калькуляция (5.9)'!$AJ$8:$BC$8,0)),'Калькуляция (5.9)'!$F$25:$F$126,$F79,'Калькуляция (5.9)'!$G$25:$G$126,$G79))</f>
        <v>0</v>
      </c>
      <c r="BD79" s="286">
        <f ca="1">IF(BB79=0,0,(BC79-BB79)/BB79*100)</f>
        <v>0</v>
      </c>
      <c r="BE79" s="1266">
        <f ca="1">IF(method_reg="Метод сравнения аналогов",SUMIFS(INDEX('Калькуляция (МСА)'!$AE$25:$BC$82,,MATCH(BE$8,'Калькуляция (МСА)'!$AE$8:$BC$8,0)),'Калькуляция (МСА)'!$F$25:$F$82,$F79,'Калькуляция (МСА)'!$G$25:$G$82,$G79),SUMIFS(INDEX('Калькуляция (5.9)'!$AJ$25:$BC$126,,MATCH(BE$8,'Калькуляция (5.9)'!$AJ$8:$BC$8,0)),'Калькуляция (5.9)'!$F$25:$F$126,$F79,'Калькуляция (5.9)'!$G$25:$G$126,$G79))</f>
        <v>0</v>
      </c>
      <c r="BF79" s="1266">
        <f ca="1">IF(method_reg="Метод сравнения аналогов",SUMIFS(INDEX('Калькуляция (МСА)'!$AE$25:$BC$82,,MATCH(BF$8,'Калькуляция (МСА)'!$AE$8:$BC$8,0)),'Калькуляция (МСА)'!$F$25:$F$82,$F79,'Калькуляция (МСА)'!$G$25:$G$82,$G79),SUMIFS(INDEX('Калькуляция (5.9)'!$AJ$25:$BC$126,,MATCH(BF$8,'Калькуляция (5.9)'!$AJ$8:$BC$8,0)),'Калькуляция (5.9)'!$F$25:$F$126,$F79,'Калькуляция (5.9)'!$G$25:$G$126,$G79))</f>
        <v>0</v>
      </c>
      <c r="BG79" s="286">
        <f ca="1">IF(BE79=0,0,(BF79-BE79)/BE79*100)</f>
        <v>0</v>
      </c>
      <c r="BH79" s="1266"/>
      <c r="BI79" s="1266"/>
      <c r="BJ79" s="286">
        <f>IF(BH79=0,0,(BI79-BH79)/BH79*100)</f>
        <v>0</v>
      </c>
      <c r="BK79" s="1266"/>
      <c r="BL79" s="1266"/>
      <c r="BM79" s="286">
        <f>IF(BK79=0,0,(BL79-BK79)/BK79*100)</f>
        <v>0</v>
      </c>
      <c r="BN79" s="1266"/>
      <c r="BO79" s="1266"/>
      <c r="BP79" s="286">
        <f>IF(BN79=0,0,(BO79-BN79)/BN79*100)</f>
        <v>0</v>
      </c>
      <c r="BQ79" s="1266"/>
      <c r="BR79" s="1266"/>
      <c r="BS79" s="286">
        <f>IF(BQ79=0,0,(BR79-BQ79)/BQ79*100)</f>
        <v>0</v>
      </c>
      <c r="BT79" s="1266"/>
      <c r="BU79" s="1266"/>
      <c r="BV79" s="286">
        <f>IF(BT79=0,0,(BU79-BT79)/BT79*100)</f>
        <v>0</v>
      </c>
      <c r="BW79" s="1266"/>
      <c r="BX79" s="1266"/>
      <c r="BY79" s="286">
        <f>IF(BW79=0,0,(BX79-BW79)/BW79*100)</f>
        <v>0</v>
      </c>
      <c r="BZ79" s="1266"/>
      <c r="CA79" s="1266"/>
      <c r="CB79" s="286">
        <f>IF(BZ79=0,0,(CA79-BZ79)/BZ79*100)</f>
        <v>0</v>
      </c>
      <c r="CC79" s="1266"/>
      <c r="CD79" s="1266"/>
      <c r="CE79" s="286">
        <f>IF(CC79=0,0,(CD79-CC79)/CC79*100)</f>
        <v>0</v>
      </c>
      <c r="CF79" s="1266"/>
      <c r="CG79" s="1266"/>
      <c r="CH79" s="286">
        <f>IF(CF79=0,0,(CG79-CF79)/CF79*100)</f>
        <v>0</v>
      </c>
      <c r="CI79" s="1266"/>
      <c r="CJ79" s="1266"/>
      <c r="CK79" s="286">
        <f>IF(CI79=0,0,(CJ79-CI79)/CI79*100)</f>
        <v>0</v>
      </c>
      <c r="CL79" s="1266"/>
      <c r="CM79" s="1266"/>
      <c r="CN79" s="286">
        <f>IF(CL79=0,0,(CM79-CL79)/CL79*100)</f>
        <v>0</v>
      </c>
      <c r="CO79" s="1266"/>
      <c r="CP79" s="1266"/>
      <c r="CQ79" s="286">
        <f>IF(CO79=0,0,(CP79-CO79)/CO79*100)</f>
        <v>0</v>
      </c>
      <c r="CR79" s="1266"/>
      <c r="CS79" s="1266"/>
      <c r="CT79" s="286">
        <f>IF(CR79=0,0,(CS79-CR79)/CR79*100)</f>
        <v>0</v>
      </c>
      <c r="CU79" s="1266"/>
      <c r="CV79" s="1266"/>
      <c r="CW79" s="286">
        <f>IF(CU79=0,0,(CV79-CU79)/CU79*100)</f>
        <v>0</v>
      </c>
      <c r="CX79" s="1266"/>
      <c r="CY79" s="1266"/>
      <c r="CZ79" s="286">
        <f>IF(CX79=0,0,(CY79-CX79)/CX79*100)</f>
        <v>0</v>
      </c>
      <c r="DA79" s="1266"/>
      <c r="DB79" s="1266"/>
      <c r="DC79" s="286">
        <f>IF(DA79=0,0,(DB79-DA79)/DA79*100)</f>
        <v>0</v>
      </c>
      <c r="DD79" s="1266"/>
      <c r="DE79" s="1266"/>
      <c r="DF79" s="286">
        <f>IF(DD79=0,0,(DE79-DD79)/DD79*100)</f>
        <v>0</v>
      </c>
      <c r="DG79" s="1266"/>
      <c r="DH79" s="1266"/>
      <c r="DI79" s="286">
        <f>IF(DG79=0,0,(DH79-DG79)/DG79*100)</f>
        <v>0</v>
      </c>
      <c r="DJ79" s="1266"/>
      <c r="DK79" s="1266"/>
      <c r="DL79" s="286">
        <f>IF(DJ79=0,0,(DK79-DJ79)/DJ79*100)</f>
        <v>0</v>
      </c>
      <c r="DM79" s="1266"/>
      <c r="DN79" s="1266"/>
      <c r="DO79" s="286">
        <f>IF(DM79=0,0,(DN79-DM79)/DM79*100)</f>
        <v>0</v>
      </c>
      <c r="DP79" s="1266"/>
      <c r="DQ79" s="1266"/>
      <c r="DR79" s="286">
        <f>IF(DP79=0,0,(DQ79-DP79)/DP79*100)</f>
        <v>0</v>
      </c>
      <c r="DS79" s="1266"/>
      <c r="DT79" s="1266"/>
      <c r="DU79" s="286">
        <f>IF(DS79=0,0,(DT79-DS79)/DS79*100)</f>
        <v>0</v>
      </c>
      <c r="DV79" s="1266"/>
      <c r="DW79" s="1266"/>
      <c r="DX79" s="286">
        <f>IF(DV79=0,0,(DW79-DV79)/DV79*100)</f>
        <v>0</v>
      </c>
      <c r="DY79" s="1266"/>
      <c r="DZ79" s="1266"/>
      <c r="EA79" s="286">
        <f>IF(DY79=0,0,(DZ79-DY79)/DY79*100)</f>
        <v>0</v>
      </c>
      <c r="EB79" s="1266"/>
      <c r="EC79" s="1266"/>
      <c r="ED79" s="286">
        <f>IF(EB79=0,0,(EC79-EB79)/EB79*100)</f>
        <v>0</v>
      </c>
      <c r="EE79" s="1266"/>
      <c r="EF79" s="1266"/>
      <c r="EG79" s="286">
        <f>IF(EE79=0,0,(EF79-EE79)/EE79*100)</f>
        <v>0</v>
      </c>
      <c r="EH79" s="1266"/>
      <c r="EI79" s="1266"/>
      <c r="EJ79" s="286">
        <f>IF(EH79=0,0,(EI79-EH79)/EH79*100)</f>
        <v>0</v>
      </c>
      <c r="EK79" s="1266"/>
      <c r="EL79" s="1266"/>
      <c r="EM79" s="286">
        <f>IF(EK79=0,0,(EL79-EK79)/EK79*100)</f>
        <v>0</v>
      </c>
      <c r="EN79" s="1266"/>
      <c r="EO79" s="1266"/>
      <c r="EP79" s="286">
        <f>IF(EN79=0,0,(EO79-EN79)/EN79*100)</f>
        <v>0</v>
      </c>
      <c r="EQ79" s="1266"/>
      <c r="ER79" s="1266"/>
      <c r="ES79" s="286">
        <f>IF(EQ79=0,0,(ER79-EQ79)/EQ79*100)</f>
        <v>0</v>
      </c>
      <c r="ET79" s="1266"/>
      <c r="EU79" s="1266"/>
      <c r="EV79" s="286">
        <f>IF(ET79=0,0,(EU79-ET79)/ET79*100)</f>
        <v>0</v>
      </c>
      <c r="EW79" s="1266"/>
      <c r="EX79" s="1266"/>
      <c r="EY79" s="286">
        <f>IF(EW79=0,0,(EX79-EW79)/EW79*100)</f>
        <v>0</v>
      </c>
      <c r="EZ79" s="1266"/>
      <c r="FA79" s="1266"/>
      <c r="FB79" s="286">
        <f>IF(EZ79=0,0,(FA79-EZ79)/EZ79*100)</f>
        <v>0</v>
      </c>
      <c r="FC79" s="1266"/>
      <c r="FD79" s="1266"/>
      <c r="FE79" s="286">
        <f>IF(FC79=0,0,(FD79-FC79)/FC79*100)</f>
        <v>0</v>
      </c>
      <c r="FF79" s="1266"/>
      <c r="FG79" s="1266"/>
      <c r="FH79" s="286">
        <f>IF(FF79=0,0,(FG79-FF79)/FF79*100)</f>
        <v>0</v>
      </c>
      <c r="FI79" s="1266"/>
      <c r="FJ79" s="1266"/>
      <c r="FK79" s="286">
        <f>IF(FI79=0,0,(FJ79-FI79)/FI79*100)</f>
        <v>0</v>
      </c>
      <c r="FL79" s="1266"/>
      <c r="FM79" s="1266"/>
      <c r="FN79" s="286">
        <f>IF(FL79=0,0,(FM79-FL79)/FL79*100)</f>
        <v>0</v>
      </c>
      <c r="FO79" s="1266"/>
      <c r="FP79" s="1266"/>
      <c r="FQ79" s="286">
        <f>IF(FO79=0,0,(FP79-FO79)/FO79*100)</f>
        <v>0</v>
      </c>
      <c r="FR79" s="1266"/>
      <c r="FS79" s="1266"/>
      <c r="FT79" s="286">
        <f>IF(FR79=0,0,(FS79-FR79)/FR79*100)</f>
        <v>0</v>
      </c>
      <c r="FU79" s="1266"/>
      <c r="FV79" s="1266"/>
      <c r="FW79" s="286">
        <f>IF(FU79=0,0,(FV79-FU79)/FU79*100)</f>
        <v>0</v>
      </c>
      <c r="FX79" s="283"/>
      <c r="FY79" s="283"/>
      <c r="FZ79" s="912" t="s">
        <v>1656</v>
      </c>
      <c r="GA79" s="930"/>
      <c r="GB79" s="930"/>
      <c r="GC79" s="930"/>
      <c r="GD79" s="930"/>
    </row>
    <row r="80" spans="1:186" s="1267" customFormat="1" ht="16.5" customHeight="1">
      <c r="A80" s="283"/>
      <c r="B80" s="749" t="b">
        <f t="shared" si="26"/>
        <v>1</v>
      </c>
      <c r="C80" s="283"/>
      <c r="D80" s="283"/>
      <c r="E80" s="623">
        <v>17.100000000000001</v>
      </c>
      <c r="F80" s="714" t="str">
        <f t="shared" ca="1" si="24"/>
        <v>1</v>
      </c>
      <c r="G80" s="566" t="s">
        <v>1451</v>
      </c>
      <c r="H80" s="150" t="s">
        <v>391</v>
      </c>
      <c r="I80" s="150" t="s">
        <v>1657</v>
      </c>
      <c r="J80" s="283"/>
      <c r="K80" s="283"/>
      <c r="L80" s="283"/>
      <c r="M80" s="283"/>
      <c r="N80" s="283"/>
      <c r="O80" s="283"/>
      <c r="P80" s="283"/>
      <c r="Q80" s="283"/>
      <c r="R80" s="283"/>
      <c r="S80" s="283"/>
      <c r="T80" s="634" t="b">
        <f t="shared" si="25"/>
        <v>1</v>
      </c>
      <c r="U80" s="283"/>
      <c r="V80" s="283"/>
      <c r="W80" s="283"/>
      <c r="X80" s="1544"/>
      <c r="Y80" s="283"/>
      <c r="Z80" s="1544"/>
      <c r="AA80" s="283"/>
      <c r="AB80" s="284" t="s">
        <v>1658</v>
      </c>
      <c r="AC80" s="285" t="s">
        <v>1446</v>
      </c>
      <c r="AD80" s="1266">
        <f ca="1">IF(method_reg="Метод экономически обоснованных расходов",SUMIFS('Калькуляция (6.6)'!AJ$25:AJ$133,'Калькуляция (6.6)'!$F$25:$F$133,$F80,'Калькуляция (6.6)'!$G$25:$G$133,$G80),IF(method_reg="Метод сравнения аналогов",SUMIFS(INDEX('Калькуляция (МСА)'!$AE$25:$BC$82,,MATCH(AD$8,'Калькуляция (МСА)'!$AE$8:$BC$8,0)),'Калькуляция (МСА)'!$F$25:$F$82,$F80,'Калькуляция (МСА)'!$G$25:$G$82,$G80),SUMIFS(INDEX('Калькуляция (5.9)'!$AJ$25:$BC$126,,MATCH(AD$8,'Калькуляция (5.9)'!$AJ$8:$BC$8,0)),'Калькуляция (5.9)'!$F$25:$F$126,$F80,'Калькуляция (5.9)'!$G$25:$G$126,$G80)))</f>
        <v>62.37317895913958</v>
      </c>
      <c r="AE80" s="1266">
        <f ca="1">IF(method_reg="Метод экономически обоснованных расходов",SUMIFS('Калькуляция (6.6)'!AK$25:AK$133,'Калькуляция (6.6)'!$F$25:$F$133,$F80,'Калькуляция (6.6)'!$G$25:$G$133,$G80),IF(method_reg="Метод сравнения аналогов",SUMIFS(INDEX('Калькуляция (МСА)'!$AE$25:$BC$82,,MATCH(AE$8,'Калькуляция (МСА)'!$AE$8:$BC$8,0)),'Калькуляция (МСА)'!$F$25:$F$82,$F80,'Калькуляция (МСА)'!$G$25:$G$82,$G80),SUMIFS(INDEX('Калькуляция (5.9)'!$AJ$25:$BC$126,,MATCH(AE$8,'Калькуляция (5.9)'!$AJ$8:$BC$8,0)),'Калькуляция (5.9)'!$F$25:$F$126,$F80,'Калькуляция (5.9)'!$G$25:$G$126,$G80)))</f>
        <v>63.870014411159183</v>
      </c>
      <c r="AF80" s="286">
        <f ca="1">IF(AD80=0,0,(AE80-AD80)/AD80*100)</f>
        <v>2.3998062580715565</v>
      </c>
      <c r="AG80" s="1259">
        <f ca="1">IF(method_reg="Метод сравнения аналогов",SUMIFS(INDEX('Калькуляция (МСА)'!$AE$25:$BC$82,,MATCH(AG$8,'Калькуляция (МСА)'!$AE$8:$BC$8,0)),'Калькуляция (МСА)'!$F$25:$F$82,$F80,'Калькуляция (МСА)'!$G$25:$G$82,$G80),SUMIFS(INDEX('Калькуляция (5.9)'!$AJ$25:$BC$126,,MATCH(AG$8,'Калькуляция (5.9)'!$AJ$8:$BC$8,0)),'Калькуляция (5.9)'!$F$25:$F$126,$F80,'Калькуляция (5.9)'!$G$25:$G$126,$G80))</f>
        <v>0</v>
      </c>
      <c r="AH80" s="1259">
        <f ca="1">IF(method_reg="Метод сравнения аналогов",SUMIFS(INDEX('Калькуляция (МСА)'!$AE$25:$BC$82,,MATCH(AH$8,'Калькуляция (МСА)'!$AE$8:$BC$8,0)),'Калькуляция (МСА)'!$F$25:$F$82,$F80,'Калькуляция (МСА)'!$G$25:$G$82,$G80),SUMIFS(INDEX('Калькуляция (5.9)'!$AJ$25:$BC$126,,MATCH(AH$8,'Калькуляция (5.9)'!$AJ$8:$BC$8,0)),'Калькуляция (5.9)'!$F$25:$F$126,$F80,'Калькуляция (5.9)'!$G$25:$G$126,$G80))</f>
        <v>0</v>
      </c>
      <c r="AI80" s="286">
        <f ca="1">IF(AG80=0,0,(AH80-AG80)/AG80*100)</f>
        <v>0</v>
      </c>
      <c r="AJ80" s="1259">
        <f ca="1">IF(method_reg="Метод сравнения аналогов",SUMIFS(INDEX('Калькуляция (МСА)'!$AE$25:$BC$82,,MATCH(AJ$8,'Калькуляция (МСА)'!$AE$8:$BC$8,0)),'Калькуляция (МСА)'!$F$25:$F$82,$F80,'Калькуляция (МСА)'!$G$25:$G$82,$G80),SUMIFS(INDEX('Калькуляция (5.9)'!$AJ$25:$BC$126,,MATCH(AJ$8,'Калькуляция (5.9)'!$AJ$8:$BC$8,0)),'Калькуляция (5.9)'!$F$25:$F$126,$F80,'Калькуляция (5.9)'!$G$25:$G$126,$G80))</f>
        <v>0</v>
      </c>
      <c r="AK80" s="1259">
        <f ca="1">IF(method_reg="Метод сравнения аналогов",SUMIFS(INDEX('Калькуляция (МСА)'!$AE$25:$BC$82,,MATCH(AK$8,'Калькуляция (МСА)'!$AE$8:$BC$8,0)),'Калькуляция (МСА)'!$F$25:$F$82,$F80,'Калькуляция (МСА)'!$G$25:$G$82,$G80),SUMIFS(INDEX('Калькуляция (5.9)'!$AJ$25:$BC$126,,MATCH(AK$8,'Калькуляция (5.9)'!$AJ$8:$BC$8,0)),'Калькуляция (5.9)'!$F$25:$F$126,$F80,'Калькуляция (5.9)'!$G$25:$G$126,$G80))</f>
        <v>0</v>
      </c>
      <c r="AL80" s="286">
        <f ca="1">IF(AJ80=0,0,(AK80-AJ80)/AJ80*100)</f>
        <v>0</v>
      </c>
      <c r="AM80" s="1266">
        <f ca="1">IF(method_reg="Метод сравнения аналогов",SUMIFS(INDEX('Калькуляция (МСА)'!$AE$25:$BC$82,,MATCH(AM$8,'Калькуляция (МСА)'!$AE$8:$BC$8,0)),'Калькуляция (МСА)'!$F$25:$F$82,$F80,'Калькуляция (МСА)'!$G$25:$G$82,$G80),SUMIFS(INDEX('Калькуляция (5.9)'!$AJ$25:$BC$126,,MATCH(AM$8,'Калькуляция (5.9)'!$AJ$8:$BC$8,0)),'Калькуляция (5.9)'!$F$25:$F$126,$F80,'Калькуляция (5.9)'!$G$25:$G$126,$G80))</f>
        <v>0</v>
      </c>
      <c r="AN80" s="1266">
        <f ca="1">IF(method_reg="Метод сравнения аналогов",SUMIFS(INDEX('Калькуляция (МСА)'!$AE$25:$BC$82,,MATCH(AN$8,'Калькуляция (МСА)'!$AE$8:$BC$8,0)),'Калькуляция (МСА)'!$F$25:$F$82,$F80,'Калькуляция (МСА)'!$G$25:$G$82,$G80),SUMIFS(INDEX('Калькуляция (5.9)'!$AJ$25:$BC$126,,MATCH(AN$8,'Калькуляция (5.9)'!$AJ$8:$BC$8,0)),'Калькуляция (5.9)'!$F$25:$F$126,$F80,'Калькуляция (5.9)'!$G$25:$G$126,$G80))</f>
        <v>0</v>
      </c>
      <c r="AO80" s="286">
        <f ca="1">IF(AM80=0,0,(AN80-AM80)/AM80*100)</f>
        <v>0</v>
      </c>
      <c r="AP80" s="1266">
        <f ca="1">IF(method_reg="Метод сравнения аналогов",SUMIFS(INDEX('Калькуляция (МСА)'!$AE$25:$BC$82,,MATCH(AP$8,'Калькуляция (МСА)'!$AE$8:$BC$8,0)),'Калькуляция (МСА)'!$F$25:$F$82,$F80,'Калькуляция (МСА)'!$G$25:$G$82,$G80),SUMIFS(INDEX('Калькуляция (5.9)'!$AJ$25:$BC$126,,MATCH(AP$8,'Калькуляция (5.9)'!$AJ$8:$BC$8,0)),'Калькуляция (5.9)'!$F$25:$F$126,$F80,'Калькуляция (5.9)'!$G$25:$G$126,$G80))</f>
        <v>0</v>
      </c>
      <c r="AQ80" s="1266">
        <f ca="1">IF(method_reg="Метод сравнения аналогов",SUMIFS(INDEX('Калькуляция (МСА)'!$AE$25:$BC$82,,MATCH(AQ$8,'Калькуляция (МСА)'!$AE$8:$BC$8,0)),'Калькуляция (МСА)'!$F$25:$F$82,$F80,'Калькуляция (МСА)'!$G$25:$G$82,$G80),SUMIFS(INDEX('Калькуляция (5.9)'!$AJ$25:$BC$126,,MATCH(AQ$8,'Калькуляция (5.9)'!$AJ$8:$BC$8,0)),'Калькуляция (5.9)'!$F$25:$F$126,$F80,'Калькуляция (5.9)'!$G$25:$G$126,$G80))</f>
        <v>0</v>
      </c>
      <c r="AR80" s="286">
        <f ca="1">IF(AP80=0,0,(AQ80-AP80)/AP80*100)</f>
        <v>0</v>
      </c>
      <c r="AS80" s="1266">
        <f ca="1">IF(method_reg="Метод сравнения аналогов",SUMIFS(INDEX('Калькуляция (МСА)'!$AE$25:$BC$82,,MATCH(AS$8,'Калькуляция (МСА)'!$AE$8:$BC$8,0)),'Калькуляция (МСА)'!$F$25:$F$82,$F80,'Калькуляция (МСА)'!$G$25:$G$82,$G80),SUMIFS(INDEX('Калькуляция (5.9)'!$AJ$25:$BC$126,,MATCH(AS$8,'Калькуляция (5.9)'!$AJ$8:$BC$8,0)),'Калькуляция (5.9)'!$F$25:$F$126,$F80,'Калькуляция (5.9)'!$G$25:$G$126,$G80))</f>
        <v>0</v>
      </c>
      <c r="AT80" s="1266">
        <f ca="1">IF(method_reg="Метод сравнения аналогов",SUMIFS(INDEX('Калькуляция (МСА)'!$AE$25:$BC$82,,MATCH(AT$8,'Калькуляция (МСА)'!$AE$8:$BC$8,0)),'Калькуляция (МСА)'!$F$25:$F$82,$F80,'Калькуляция (МСА)'!$G$25:$G$82,$G80),SUMIFS(INDEX('Калькуляция (5.9)'!$AJ$25:$BC$126,,MATCH(AT$8,'Калькуляция (5.9)'!$AJ$8:$BC$8,0)),'Калькуляция (5.9)'!$F$25:$F$126,$F80,'Калькуляция (5.9)'!$G$25:$G$126,$G80))</f>
        <v>0</v>
      </c>
      <c r="AU80" s="286">
        <f ca="1">IF(AS80=0,0,(AT80-AS80)/AS80*100)</f>
        <v>0</v>
      </c>
      <c r="AV80" s="1266">
        <f ca="1">IF(method_reg="Метод сравнения аналогов",SUMIFS(INDEX('Калькуляция (МСА)'!$AE$25:$BC$82,,MATCH(AV$8,'Калькуляция (МСА)'!$AE$8:$BC$8,0)),'Калькуляция (МСА)'!$F$25:$F$82,$F80,'Калькуляция (МСА)'!$G$25:$G$82,$G80),SUMIFS(INDEX('Калькуляция (5.9)'!$AJ$25:$BC$126,,MATCH(AV$8,'Калькуляция (5.9)'!$AJ$8:$BC$8,0)),'Калькуляция (5.9)'!$F$25:$F$126,$F80,'Калькуляция (5.9)'!$G$25:$G$126,$G80))</f>
        <v>0</v>
      </c>
      <c r="AW80" s="1266">
        <f ca="1">IF(method_reg="Метод сравнения аналогов",SUMIFS(INDEX('Калькуляция (МСА)'!$AE$25:$BC$82,,MATCH(AW$8,'Калькуляция (МСА)'!$AE$8:$BC$8,0)),'Калькуляция (МСА)'!$F$25:$F$82,$F80,'Калькуляция (МСА)'!$G$25:$G$82,$G80),SUMIFS(INDEX('Калькуляция (5.9)'!$AJ$25:$BC$126,,MATCH(AW$8,'Калькуляция (5.9)'!$AJ$8:$BC$8,0)),'Калькуляция (5.9)'!$F$25:$F$126,$F80,'Калькуляция (5.9)'!$G$25:$G$126,$G80))</f>
        <v>0</v>
      </c>
      <c r="AX80" s="286">
        <f ca="1">IF(AV80=0,0,(AW80-AV80)/AV80*100)</f>
        <v>0</v>
      </c>
      <c r="AY80" s="1266">
        <f ca="1">IF(method_reg="Метод сравнения аналогов",SUMIFS(INDEX('Калькуляция (МСА)'!$AE$25:$BC$82,,MATCH(AY$8,'Калькуляция (МСА)'!$AE$8:$BC$8,0)),'Калькуляция (МСА)'!$F$25:$F$82,$F80,'Калькуляция (МСА)'!$G$25:$G$82,$G80),SUMIFS(INDEX('Калькуляция (5.9)'!$AJ$25:$BC$126,,MATCH(AY$8,'Калькуляция (5.9)'!$AJ$8:$BC$8,0)),'Калькуляция (5.9)'!$F$25:$F$126,$F80,'Калькуляция (5.9)'!$G$25:$G$126,$G80))</f>
        <v>0</v>
      </c>
      <c r="AZ80" s="1266">
        <f ca="1">IF(method_reg="Метод сравнения аналогов",SUMIFS(INDEX('Калькуляция (МСА)'!$AE$25:$BC$82,,MATCH(AZ$8,'Калькуляция (МСА)'!$AE$8:$BC$8,0)),'Калькуляция (МСА)'!$F$25:$F$82,$F80,'Калькуляция (МСА)'!$G$25:$G$82,$G80),SUMIFS(INDEX('Калькуляция (5.9)'!$AJ$25:$BC$126,,MATCH(AZ$8,'Калькуляция (5.9)'!$AJ$8:$BC$8,0)),'Калькуляция (5.9)'!$F$25:$F$126,$F80,'Калькуляция (5.9)'!$G$25:$G$126,$G80))</f>
        <v>0</v>
      </c>
      <c r="BA80" s="286">
        <f ca="1">IF(AY80=0,0,(AZ80-AY80)/AY80*100)</f>
        <v>0</v>
      </c>
      <c r="BB80" s="1266">
        <f ca="1">IF(method_reg="Метод сравнения аналогов",SUMIFS(INDEX('Калькуляция (МСА)'!$AE$25:$BC$82,,MATCH(BB$8,'Калькуляция (МСА)'!$AE$8:$BC$8,0)),'Калькуляция (МСА)'!$F$25:$F$82,$F80,'Калькуляция (МСА)'!$G$25:$G$82,$G80),SUMIFS(INDEX('Калькуляция (5.9)'!$AJ$25:$BC$126,,MATCH(BB$8,'Калькуляция (5.9)'!$AJ$8:$BC$8,0)),'Калькуляция (5.9)'!$F$25:$F$126,$F80,'Калькуляция (5.9)'!$G$25:$G$126,$G80))</f>
        <v>0</v>
      </c>
      <c r="BC80" s="1266">
        <f ca="1">IF(method_reg="Метод сравнения аналогов",SUMIFS(INDEX('Калькуляция (МСА)'!$AE$25:$BC$82,,MATCH(BC$8,'Калькуляция (МСА)'!$AE$8:$BC$8,0)),'Калькуляция (МСА)'!$F$25:$F$82,$F80,'Калькуляция (МСА)'!$G$25:$G$82,$G80),SUMIFS(INDEX('Калькуляция (5.9)'!$AJ$25:$BC$126,,MATCH(BC$8,'Калькуляция (5.9)'!$AJ$8:$BC$8,0)),'Калькуляция (5.9)'!$F$25:$F$126,$F80,'Калькуляция (5.9)'!$G$25:$G$126,$G80))</f>
        <v>0</v>
      </c>
      <c r="BD80" s="286">
        <f ca="1">IF(BB80=0,0,(BC80-BB80)/BB80*100)</f>
        <v>0</v>
      </c>
      <c r="BE80" s="1266">
        <f ca="1">IF(method_reg="Метод сравнения аналогов",SUMIFS(INDEX('Калькуляция (МСА)'!$AE$25:$BC$82,,MATCH(BE$8,'Калькуляция (МСА)'!$AE$8:$BC$8,0)),'Калькуляция (МСА)'!$F$25:$F$82,$F80,'Калькуляция (МСА)'!$G$25:$G$82,$G80),SUMIFS(INDEX('Калькуляция (5.9)'!$AJ$25:$BC$126,,MATCH(BE$8,'Калькуляция (5.9)'!$AJ$8:$BC$8,0)),'Калькуляция (5.9)'!$F$25:$F$126,$F80,'Калькуляция (5.9)'!$G$25:$G$126,$G80))</f>
        <v>0</v>
      </c>
      <c r="BF80" s="1266">
        <f ca="1">IF(method_reg="Метод сравнения аналогов",SUMIFS(INDEX('Калькуляция (МСА)'!$AE$25:$BC$82,,MATCH(BF$8,'Калькуляция (МСА)'!$AE$8:$BC$8,0)),'Калькуляция (МСА)'!$F$25:$F$82,$F80,'Калькуляция (МСА)'!$G$25:$G$82,$G80),SUMIFS(INDEX('Калькуляция (5.9)'!$AJ$25:$BC$126,,MATCH(BF$8,'Калькуляция (5.9)'!$AJ$8:$BC$8,0)),'Калькуляция (5.9)'!$F$25:$F$126,$F80,'Калькуляция (5.9)'!$G$25:$G$126,$G80))</f>
        <v>0</v>
      </c>
      <c r="BG80" s="286">
        <f ca="1">IF(BE80=0,0,(BF80-BE80)/BE80*100)</f>
        <v>0</v>
      </c>
      <c r="BH80" s="1266"/>
      <c r="BI80" s="1266"/>
      <c r="BJ80" s="286">
        <f>IF(BH80=0,0,(BI80-BH80)/BH80*100)</f>
        <v>0</v>
      </c>
      <c r="BK80" s="1266"/>
      <c r="BL80" s="1266"/>
      <c r="BM80" s="286">
        <f>IF(BK80=0,0,(BL80-BK80)/BK80*100)</f>
        <v>0</v>
      </c>
      <c r="BN80" s="1266"/>
      <c r="BO80" s="1266"/>
      <c r="BP80" s="286">
        <f>IF(BN80=0,0,(BO80-BN80)/BN80*100)</f>
        <v>0</v>
      </c>
      <c r="BQ80" s="1266"/>
      <c r="BR80" s="1266"/>
      <c r="BS80" s="286">
        <f>IF(BQ80=0,0,(BR80-BQ80)/BQ80*100)</f>
        <v>0</v>
      </c>
      <c r="BT80" s="1266"/>
      <c r="BU80" s="1266"/>
      <c r="BV80" s="286">
        <f>IF(BT80=0,0,(BU80-BT80)/BT80*100)</f>
        <v>0</v>
      </c>
      <c r="BW80" s="1266"/>
      <c r="BX80" s="1266"/>
      <c r="BY80" s="286">
        <f>IF(BW80=0,0,(BX80-BW80)/BW80*100)</f>
        <v>0</v>
      </c>
      <c r="BZ80" s="1266"/>
      <c r="CA80" s="1266"/>
      <c r="CB80" s="286">
        <f>IF(BZ80=0,0,(CA80-BZ80)/BZ80*100)</f>
        <v>0</v>
      </c>
      <c r="CC80" s="1266"/>
      <c r="CD80" s="1266"/>
      <c r="CE80" s="286">
        <f>IF(CC80=0,0,(CD80-CC80)/CC80*100)</f>
        <v>0</v>
      </c>
      <c r="CF80" s="1266"/>
      <c r="CG80" s="1266"/>
      <c r="CH80" s="286">
        <f>IF(CF80=0,0,(CG80-CF80)/CF80*100)</f>
        <v>0</v>
      </c>
      <c r="CI80" s="1266"/>
      <c r="CJ80" s="1266"/>
      <c r="CK80" s="286">
        <f>IF(CI80=0,0,(CJ80-CI80)/CI80*100)</f>
        <v>0</v>
      </c>
      <c r="CL80" s="1266"/>
      <c r="CM80" s="1266"/>
      <c r="CN80" s="286">
        <f>IF(CL80=0,0,(CM80-CL80)/CL80*100)</f>
        <v>0</v>
      </c>
      <c r="CO80" s="1266"/>
      <c r="CP80" s="1266"/>
      <c r="CQ80" s="286">
        <f>IF(CO80=0,0,(CP80-CO80)/CO80*100)</f>
        <v>0</v>
      </c>
      <c r="CR80" s="1266"/>
      <c r="CS80" s="1266"/>
      <c r="CT80" s="286">
        <f>IF(CR80=0,0,(CS80-CR80)/CR80*100)</f>
        <v>0</v>
      </c>
      <c r="CU80" s="1266"/>
      <c r="CV80" s="1266"/>
      <c r="CW80" s="286">
        <f>IF(CU80=0,0,(CV80-CU80)/CU80*100)</f>
        <v>0</v>
      </c>
      <c r="CX80" s="1266"/>
      <c r="CY80" s="1266"/>
      <c r="CZ80" s="286">
        <f>IF(CX80=0,0,(CY80-CX80)/CX80*100)</f>
        <v>0</v>
      </c>
      <c r="DA80" s="1266"/>
      <c r="DB80" s="1266"/>
      <c r="DC80" s="286">
        <f>IF(DA80=0,0,(DB80-DA80)/DA80*100)</f>
        <v>0</v>
      </c>
      <c r="DD80" s="1266"/>
      <c r="DE80" s="1266"/>
      <c r="DF80" s="286">
        <f>IF(DD80=0,0,(DE80-DD80)/DD80*100)</f>
        <v>0</v>
      </c>
      <c r="DG80" s="1266"/>
      <c r="DH80" s="1266"/>
      <c r="DI80" s="286">
        <f>IF(DG80=0,0,(DH80-DG80)/DG80*100)</f>
        <v>0</v>
      </c>
      <c r="DJ80" s="1266"/>
      <c r="DK80" s="1266"/>
      <c r="DL80" s="286">
        <f>IF(DJ80=0,0,(DK80-DJ80)/DJ80*100)</f>
        <v>0</v>
      </c>
      <c r="DM80" s="1266"/>
      <c r="DN80" s="1266"/>
      <c r="DO80" s="286">
        <f>IF(DM80=0,0,(DN80-DM80)/DM80*100)</f>
        <v>0</v>
      </c>
      <c r="DP80" s="1266"/>
      <c r="DQ80" s="1266"/>
      <c r="DR80" s="286">
        <f>IF(DP80=0,0,(DQ80-DP80)/DP80*100)</f>
        <v>0</v>
      </c>
      <c r="DS80" s="1266"/>
      <c r="DT80" s="1266"/>
      <c r="DU80" s="286">
        <f>IF(DS80=0,0,(DT80-DS80)/DS80*100)</f>
        <v>0</v>
      </c>
      <c r="DV80" s="1266"/>
      <c r="DW80" s="1266"/>
      <c r="DX80" s="286">
        <f>IF(DV80=0,0,(DW80-DV80)/DV80*100)</f>
        <v>0</v>
      </c>
      <c r="DY80" s="1266"/>
      <c r="DZ80" s="1266"/>
      <c r="EA80" s="286">
        <f>IF(DY80=0,0,(DZ80-DY80)/DY80*100)</f>
        <v>0</v>
      </c>
      <c r="EB80" s="1266"/>
      <c r="EC80" s="1266"/>
      <c r="ED80" s="286">
        <f>IF(EB80=0,0,(EC80-EB80)/EB80*100)</f>
        <v>0</v>
      </c>
      <c r="EE80" s="1266"/>
      <c r="EF80" s="1266"/>
      <c r="EG80" s="286">
        <f>IF(EE80=0,0,(EF80-EE80)/EE80*100)</f>
        <v>0</v>
      </c>
      <c r="EH80" s="1266"/>
      <c r="EI80" s="1266"/>
      <c r="EJ80" s="286">
        <f>IF(EH80=0,0,(EI80-EH80)/EH80*100)</f>
        <v>0</v>
      </c>
      <c r="EK80" s="1266"/>
      <c r="EL80" s="1266"/>
      <c r="EM80" s="286">
        <f>IF(EK80=0,0,(EL80-EK80)/EK80*100)</f>
        <v>0</v>
      </c>
      <c r="EN80" s="1266"/>
      <c r="EO80" s="1266"/>
      <c r="EP80" s="286">
        <f>IF(EN80=0,0,(EO80-EN80)/EN80*100)</f>
        <v>0</v>
      </c>
      <c r="EQ80" s="1266"/>
      <c r="ER80" s="1266"/>
      <c r="ES80" s="286">
        <f>IF(EQ80=0,0,(ER80-EQ80)/EQ80*100)</f>
        <v>0</v>
      </c>
      <c r="ET80" s="1266"/>
      <c r="EU80" s="1266"/>
      <c r="EV80" s="286">
        <f>IF(ET80=0,0,(EU80-ET80)/ET80*100)</f>
        <v>0</v>
      </c>
      <c r="EW80" s="1266"/>
      <c r="EX80" s="1266"/>
      <c r="EY80" s="286">
        <f>IF(EW80=0,0,(EX80-EW80)/EW80*100)</f>
        <v>0</v>
      </c>
      <c r="EZ80" s="1266"/>
      <c r="FA80" s="1266"/>
      <c r="FB80" s="286">
        <f>IF(EZ80=0,0,(FA80-EZ80)/EZ80*100)</f>
        <v>0</v>
      </c>
      <c r="FC80" s="1266"/>
      <c r="FD80" s="1266"/>
      <c r="FE80" s="286">
        <f>IF(FC80=0,0,(FD80-FC80)/FC80*100)</f>
        <v>0</v>
      </c>
      <c r="FF80" s="1266"/>
      <c r="FG80" s="1266"/>
      <c r="FH80" s="286">
        <f>IF(FF80=0,0,(FG80-FF80)/FF80*100)</f>
        <v>0</v>
      </c>
      <c r="FI80" s="1266"/>
      <c r="FJ80" s="1266"/>
      <c r="FK80" s="286">
        <f>IF(FI80=0,0,(FJ80-FI80)/FI80*100)</f>
        <v>0</v>
      </c>
      <c r="FL80" s="1266"/>
      <c r="FM80" s="1266"/>
      <c r="FN80" s="286">
        <f>IF(FL80=0,0,(FM80-FL80)/FL80*100)</f>
        <v>0</v>
      </c>
      <c r="FO80" s="1266"/>
      <c r="FP80" s="1266"/>
      <c r="FQ80" s="286">
        <f>IF(FO80=0,0,(FP80-FO80)/FO80*100)</f>
        <v>0</v>
      </c>
      <c r="FR80" s="1266"/>
      <c r="FS80" s="1266"/>
      <c r="FT80" s="286">
        <f>IF(FR80=0,0,(FS80-FR80)/FR80*100)</f>
        <v>0</v>
      </c>
      <c r="FU80" s="1266"/>
      <c r="FV80" s="1266"/>
      <c r="FW80" s="286">
        <f>IF(FU80=0,0,(FV80-FU80)/FU80*100)</f>
        <v>0</v>
      </c>
      <c r="FX80" s="283"/>
      <c r="FY80" s="283"/>
      <c r="FZ80" s="912" t="s">
        <v>1659</v>
      </c>
      <c r="GA80" s="930"/>
      <c r="GB80" s="930"/>
      <c r="GC80" s="930"/>
      <c r="GD80" s="930"/>
    </row>
    <row r="81" spans="1:186" s="1057" customFormat="1" ht="16.5" customHeight="1">
      <c r="A81" s="1012"/>
      <c r="B81" s="749" t="b">
        <f t="shared" si="26"/>
        <v>1</v>
      </c>
      <c r="C81" s="1012"/>
      <c r="D81" s="1012"/>
      <c r="E81" s="623">
        <v>17.100000000000001</v>
      </c>
      <c r="F81" s="714" t="str">
        <f t="shared" ca="1" si="24"/>
        <v>1</v>
      </c>
      <c r="G81" s="394"/>
      <c r="H81" s="150" t="s">
        <v>394</v>
      </c>
      <c r="I81" s="150" t="s">
        <v>1660</v>
      </c>
      <c r="J81" s="394"/>
      <c r="K81" s="394"/>
      <c r="L81" s="394"/>
      <c r="M81" s="394"/>
      <c r="N81" s="394"/>
      <c r="O81" s="394"/>
      <c r="P81" s="394"/>
      <c r="Q81" s="394"/>
      <c r="R81" s="719"/>
      <c r="S81" s="394"/>
      <c r="T81" s="634" t="b">
        <f t="shared" si="25"/>
        <v>1</v>
      </c>
      <c r="U81" s="1012"/>
      <c r="V81" s="1012"/>
      <c r="W81" s="1012"/>
      <c r="X81" s="1405"/>
      <c r="Y81" s="1012"/>
      <c r="Z81" s="1405"/>
      <c r="AA81" s="394"/>
      <c r="AB81" s="287" t="s">
        <v>1661</v>
      </c>
      <c r="AC81" s="110" t="s">
        <v>388</v>
      </c>
      <c r="AD81" s="791">
        <f ca="1">IF(AD79=0,0,AD80/AD79)</f>
        <v>1.0936906708598908</v>
      </c>
      <c r="AE81" s="791">
        <f ca="1">IF(AE79=0,0,AE80/AE79)</f>
        <v>1.1199371280231314</v>
      </c>
      <c r="AF81" s="828"/>
      <c r="AG81" s="791">
        <f ca="1">IF(AG79=0,0,AG80/AG79)</f>
        <v>0</v>
      </c>
      <c r="AH81" s="791">
        <f ca="1">IF(AH79=0,0,AH80/AH79)</f>
        <v>0</v>
      </c>
      <c r="AI81" s="828"/>
      <c r="AJ81" s="791">
        <f ca="1">IF(AJ79=0,0,AJ80/AJ79)</f>
        <v>0</v>
      </c>
      <c r="AK81" s="791">
        <f ca="1">IF(AK79=0,0,AK80/AK79)</f>
        <v>0</v>
      </c>
      <c r="AL81" s="828"/>
      <c r="AM81" s="791">
        <f ca="1">IF(AM79=0,0,AM80/AM79)</f>
        <v>0</v>
      </c>
      <c r="AN81" s="791">
        <f ca="1">IF(AN79=0,0,AN80/AN79)</f>
        <v>0</v>
      </c>
      <c r="AO81" s="828"/>
      <c r="AP81" s="791">
        <f ca="1">IF(AP79=0,0,AP80/AP79)</f>
        <v>0</v>
      </c>
      <c r="AQ81" s="791">
        <f ca="1">IF(AQ79=0,0,AQ80/AQ79)</f>
        <v>0</v>
      </c>
      <c r="AR81" s="828"/>
      <c r="AS81" s="791">
        <f ca="1">IF(AS79=0,0,AS80/AS79)</f>
        <v>0</v>
      </c>
      <c r="AT81" s="791">
        <f ca="1">IF(AT79=0,0,AT80/AT79)</f>
        <v>0</v>
      </c>
      <c r="AU81" s="828"/>
      <c r="AV81" s="791">
        <f ca="1">IF(AV79=0,0,AV80/AV79)</f>
        <v>0</v>
      </c>
      <c r="AW81" s="791">
        <f ca="1">IF(AW79=0,0,AW80/AW79)</f>
        <v>0</v>
      </c>
      <c r="AX81" s="828"/>
      <c r="AY81" s="791">
        <f ca="1">IF(AY79=0,0,AY80/AY79)</f>
        <v>0</v>
      </c>
      <c r="AZ81" s="791">
        <f ca="1">IF(AZ79=0,0,AZ80/AZ79)</f>
        <v>0</v>
      </c>
      <c r="BA81" s="828"/>
      <c r="BB81" s="791">
        <f ca="1">IF(BB79=0,0,BB80/BB79)</f>
        <v>0</v>
      </c>
      <c r="BC81" s="791">
        <f ca="1">IF(BC79=0,0,BC80/BC79)</f>
        <v>0</v>
      </c>
      <c r="BD81" s="828"/>
      <c r="BE81" s="791">
        <f ca="1">IF(BE79=0,0,BE80/BE79)</f>
        <v>0</v>
      </c>
      <c r="BF81" s="791">
        <f ca="1">IF(BF79=0,0,BF80/BF79)</f>
        <v>0</v>
      </c>
      <c r="BG81" s="828"/>
      <c r="BH81" s="791">
        <f>IF(BH79=0,0,BH80/BH79)</f>
        <v>0</v>
      </c>
      <c r="BI81" s="791">
        <f>IF(BI79=0,0,BI80/BI79)</f>
        <v>0</v>
      </c>
      <c r="BJ81" s="856"/>
      <c r="BK81" s="791">
        <f>IF(BK79=0,0,BK80/BK79)</f>
        <v>0</v>
      </c>
      <c r="BL81" s="791">
        <f>IF(BL79=0,0,BL80/BL79)</f>
        <v>0</v>
      </c>
      <c r="BM81" s="856"/>
      <c r="BN81" s="791">
        <f>IF(BN79=0,0,BN80/BN79)</f>
        <v>0</v>
      </c>
      <c r="BO81" s="791">
        <f>IF(BO79=0,0,BO80/BO79)</f>
        <v>0</v>
      </c>
      <c r="BP81" s="856"/>
      <c r="BQ81" s="791">
        <f>IF(BQ79=0,0,BQ80/BQ79)</f>
        <v>0</v>
      </c>
      <c r="BR81" s="791">
        <f>IF(BR79=0,0,BR80/BR79)</f>
        <v>0</v>
      </c>
      <c r="BS81" s="856"/>
      <c r="BT81" s="791">
        <f>IF(BT79=0,0,BT80/BT79)</f>
        <v>0</v>
      </c>
      <c r="BU81" s="791">
        <f>IF(BU79=0,0,BU80/BU79)</f>
        <v>0</v>
      </c>
      <c r="BV81" s="856"/>
      <c r="BW81" s="791">
        <f>IF(BW79=0,0,BW80/BW79)</f>
        <v>0</v>
      </c>
      <c r="BX81" s="791">
        <f>IF(BX79=0,0,BX80/BX79)</f>
        <v>0</v>
      </c>
      <c r="BY81" s="856"/>
      <c r="BZ81" s="791">
        <f>IF(BZ79=0,0,BZ80/BZ79)</f>
        <v>0</v>
      </c>
      <c r="CA81" s="791">
        <f>IF(CA79=0,0,CA80/CA79)</f>
        <v>0</v>
      </c>
      <c r="CB81" s="856"/>
      <c r="CC81" s="791">
        <f>IF(CC79=0,0,CC80/CC79)</f>
        <v>0</v>
      </c>
      <c r="CD81" s="791">
        <f>IF(CD79=0,0,CD80/CD79)</f>
        <v>0</v>
      </c>
      <c r="CE81" s="856"/>
      <c r="CF81" s="791">
        <f>IF(CF79=0,0,CF80/CF79)</f>
        <v>0</v>
      </c>
      <c r="CG81" s="791">
        <f>IF(CG79=0,0,CG80/CG79)</f>
        <v>0</v>
      </c>
      <c r="CH81" s="856"/>
      <c r="CI81" s="791">
        <f>IF(CI79=0,0,CI80/CI79)</f>
        <v>0</v>
      </c>
      <c r="CJ81" s="791">
        <f>IF(CJ79=0,0,CJ80/CJ79)</f>
        <v>0</v>
      </c>
      <c r="CK81" s="856"/>
      <c r="CL81" s="791">
        <f>IF(CL79=0,0,CL80/CL79)</f>
        <v>0</v>
      </c>
      <c r="CM81" s="791">
        <f>IF(CM79=0,0,CM80/CM79)</f>
        <v>0</v>
      </c>
      <c r="CN81" s="856"/>
      <c r="CO81" s="791">
        <f>IF(CO79=0,0,CO80/CO79)</f>
        <v>0</v>
      </c>
      <c r="CP81" s="791">
        <f>IF(CP79=0,0,CP80/CP79)</f>
        <v>0</v>
      </c>
      <c r="CQ81" s="856"/>
      <c r="CR81" s="791">
        <f>IF(CR79=0,0,CR80/CR79)</f>
        <v>0</v>
      </c>
      <c r="CS81" s="791">
        <f>IF(CS79=0,0,CS80/CS79)</f>
        <v>0</v>
      </c>
      <c r="CT81" s="856"/>
      <c r="CU81" s="791">
        <f>IF(CU79=0,0,CU80/CU79)</f>
        <v>0</v>
      </c>
      <c r="CV81" s="791">
        <f>IF(CV79=0,0,CV80/CV79)</f>
        <v>0</v>
      </c>
      <c r="CW81" s="856"/>
      <c r="CX81" s="791">
        <f>IF(CX79=0,0,CX80/CX79)</f>
        <v>0</v>
      </c>
      <c r="CY81" s="791">
        <f>IF(CY79=0,0,CY80/CY79)</f>
        <v>0</v>
      </c>
      <c r="CZ81" s="856"/>
      <c r="DA81" s="791">
        <f>IF(DA79=0,0,DA80/DA79)</f>
        <v>0</v>
      </c>
      <c r="DB81" s="791">
        <f>IF(DB79=0,0,DB80/DB79)</f>
        <v>0</v>
      </c>
      <c r="DC81" s="856"/>
      <c r="DD81" s="791">
        <f>IF(DD79=0,0,DD80/DD79)</f>
        <v>0</v>
      </c>
      <c r="DE81" s="791">
        <f>IF(DE79=0,0,DE80/DE79)</f>
        <v>0</v>
      </c>
      <c r="DF81" s="856"/>
      <c r="DG81" s="791">
        <f>IF(DG79=0,0,DG80/DG79)</f>
        <v>0</v>
      </c>
      <c r="DH81" s="791">
        <f>IF(DH79=0,0,DH80/DH79)</f>
        <v>0</v>
      </c>
      <c r="DI81" s="856"/>
      <c r="DJ81" s="791">
        <f>IF(DJ79=0,0,DJ80/DJ79)</f>
        <v>0</v>
      </c>
      <c r="DK81" s="791">
        <f>IF(DK79=0,0,DK80/DK79)</f>
        <v>0</v>
      </c>
      <c r="DL81" s="856"/>
      <c r="DM81" s="791">
        <f>IF(DM79=0,0,DM80/DM79)</f>
        <v>0</v>
      </c>
      <c r="DN81" s="791">
        <f>IF(DN79=0,0,DN80/DN79)</f>
        <v>0</v>
      </c>
      <c r="DO81" s="856"/>
      <c r="DP81" s="791">
        <f>IF(DP79=0,0,DP80/DP79)</f>
        <v>0</v>
      </c>
      <c r="DQ81" s="791">
        <f>IF(DQ79=0,0,DQ80/DQ79)</f>
        <v>0</v>
      </c>
      <c r="DR81" s="856"/>
      <c r="DS81" s="791">
        <f>IF(DS79=0,0,DS80/DS79)</f>
        <v>0</v>
      </c>
      <c r="DT81" s="791">
        <f>IF(DT79=0,0,DT80/DT79)</f>
        <v>0</v>
      </c>
      <c r="DU81" s="856"/>
      <c r="DV81" s="791">
        <f>IF(DV79=0,0,DV80/DV79)</f>
        <v>0</v>
      </c>
      <c r="DW81" s="791">
        <f>IF(DW79=0,0,DW80/DW79)</f>
        <v>0</v>
      </c>
      <c r="DX81" s="856"/>
      <c r="DY81" s="791">
        <f>IF(DY79=0,0,DY80/DY79)</f>
        <v>0</v>
      </c>
      <c r="DZ81" s="791">
        <f>IF(DZ79=0,0,DZ80/DZ79)</f>
        <v>0</v>
      </c>
      <c r="EA81" s="856"/>
      <c r="EB81" s="791">
        <f>IF(EB79=0,0,EB80/EB79)</f>
        <v>0</v>
      </c>
      <c r="EC81" s="791">
        <f>IF(EC79=0,0,EC80/EC79)</f>
        <v>0</v>
      </c>
      <c r="ED81" s="856"/>
      <c r="EE81" s="791">
        <f>IF(EE79=0,0,EE80/EE79)</f>
        <v>0</v>
      </c>
      <c r="EF81" s="791">
        <f>IF(EF79=0,0,EF80/EF79)</f>
        <v>0</v>
      </c>
      <c r="EG81" s="856"/>
      <c r="EH81" s="791">
        <f>IF(EH79=0,0,EH80/EH79)</f>
        <v>0</v>
      </c>
      <c r="EI81" s="791">
        <f>IF(EI79=0,0,EI80/EI79)</f>
        <v>0</v>
      </c>
      <c r="EJ81" s="856"/>
      <c r="EK81" s="791">
        <f>IF(EK79=0,0,EK80/EK79)</f>
        <v>0</v>
      </c>
      <c r="EL81" s="791">
        <f>IF(EL79=0,0,EL80/EL79)</f>
        <v>0</v>
      </c>
      <c r="EM81" s="856"/>
      <c r="EN81" s="791">
        <f>IF(EN79=0,0,EN80/EN79)</f>
        <v>0</v>
      </c>
      <c r="EO81" s="791">
        <f>IF(EO79=0,0,EO80/EO79)</f>
        <v>0</v>
      </c>
      <c r="EP81" s="856"/>
      <c r="EQ81" s="791">
        <f>IF(EQ79=0,0,EQ80/EQ79)</f>
        <v>0</v>
      </c>
      <c r="ER81" s="791">
        <f>IF(ER79=0,0,ER80/ER79)</f>
        <v>0</v>
      </c>
      <c r="ES81" s="856"/>
      <c r="ET81" s="791">
        <f>IF(ET79=0,0,ET80/ET79)</f>
        <v>0</v>
      </c>
      <c r="EU81" s="791">
        <f>IF(EU79=0,0,EU80/EU79)</f>
        <v>0</v>
      </c>
      <c r="EV81" s="856"/>
      <c r="EW81" s="791">
        <f>IF(EW79=0,0,EW80/EW79)</f>
        <v>0</v>
      </c>
      <c r="EX81" s="791">
        <f>IF(EX79=0,0,EX80/EX79)</f>
        <v>0</v>
      </c>
      <c r="EY81" s="856"/>
      <c r="EZ81" s="791">
        <f>IF(EZ79=0,0,EZ80/EZ79)</f>
        <v>0</v>
      </c>
      <c r="FA81" s="791">
        <f>IF(FA79=0,0,FA80/FA79)</f>
        <v>0</v>
      </c>
      <c r="FB81" s="856"/>
      <c r="FC81" s="791">
        <f>IF(FC79=0,0,FC80/FC79)</f>
        <v>0</v>
      </c>
      <c r="FD81" s="791">
        <f>IF(FD79=0,0,FD80/FD79)</f>
        <v>0</v>
      </c>
      <c r="FE81" s="856"/>
      <c r="FF81" s="791">
        <f>IF(FF79=0,0,FF80/FF79)</f>
        <v>0</v>
      </c>
      <c r="FG81" s="791">
        <f>IF(FG79=0,0,FG80/FG79)</f>
        <v>0</v>
      </c>
      <c r="FH81" s="856"/>
      <c r="FI81" s="791">
        <f>IF(FI79=0,0,FI80/FI79)</f>
        <v>0</v>
      </c>
      <c r="FJ81" s="791">
        <f>IF(FJ79=0,0,FJ80/FJ79)</f>
        <v>0</v>
      </c>
      <c r="FK81" s="856"/>
      <c r="FL81" s="791">
        <f>IF(FL79=0,0,FL80/FL79)</f>
        <v>0</v>
      </c>
      <c r="FM81" s="791">
        <f>IF(FM79=0,0,FM80/FM79)</f>
        <v>0</v>
      </c>
      <c r="FN81" s="856"/>
      <c r="FO81" s="791">
        <f>IF(FO79=0,0,FO80/FO79)</f>
        <v>0</v>
      </c>
      <c r="FP81" s="791">
        <f>IF(FP79=0,0,FP80/FP79)</f>
        <v>0</v>
      </c>
      <c r="FQ81" s="856"/>
      <c r="FR81" s="791">
        <f>IF(FR79=0,0,FR80/FR79)</f>
        <v>0</v>
      </c>
      <c r="FS81" s="791">
        <f>IF(FS79=0,0,FS80/FS79)</f>
        <v>0</v>
      </c>
      <c r="FT81" s="856"/>
      <c r="FU81" s="791">
        <f>IF(FU79=0,0,FU80/FU79)</f>
        <v>0</v>
      </c>
      <c r="FV81" s="791">
        <f>IF(FV79=0,0,FV80/FV79)</f>
        <v>0</v>
      </c>
      <c r="FW81" s="856"/>
      <c r="FX81" s="394"/>
      <c r="FY81" s="394"/>
      <c r="FZ81" s="912" t="s">
        <v>1662</v>
      </c>
      <c r="GA81" s="930"/>
      <c r="GB81" s="930"/>
      <c r="GC81" s="930"/>
      <c r="GD81" s="930"/>
    </row>
    <row r="82" spans="1:186" s="1057" customFormat="1" ht="16.5" customHeight="1">
      <c r="A82" s="1012"/>
      <c r="B82" s="749" t="b">
        <f t="shared" si="26"/>
        <v>1</v>
      </c>
      <c r="C82" s="1012"/>
      <c r="D82" s="1012"/>
      <c r="E82" s="623">
        <v>17.100000000000001</v>
      </c>
      <c r="F82" s="714" t="str">
        <f t="shared" ca="1" si="24"/>
        <v>1</v>
      </c>
      <c r="G82" s="130" t="s">
        <v>1663</v>
      </c>
      <c r="H82" s="150" t="s">
        <v>401</v>
      </c>
      <c r="I82" s="150" t="s">
        <v>1660</v>
      </c>
      <c r="J82" s="394"/>
      <c r="K82" s="394"/>
      <c r="L82" s="394"/>
      <c r="M82" s="394"/>
      <c r="N82" s="394"/>
      <c r="O82" s="394"/>
      <c r="P82" s="394"/>
      <c r="Q82" s="394"/>
      <c r="R82" s="719"/>
      <c r="S82" s="394"/>
      <c r="T82" s="634" t="b">
        <f t="shared" si="25"/>
        <v>1</v>
      </c>
      <c r="U82" s="1012"/>
      <c r="V82" s="1012"/>
      <c r="W82" s="1012"/>
      <c r="X82" s="1405"/>
      <c r="Y82" s="1012"/>
      <c r="Z82" s="1405"/>
      <c r="AA82" s="394"/>
      <c r="AB82" s="287" t="s">
        <v>1664</v>
      </c>
      <c r="AC82" s="110" t="s">
        <v>491</v>
      </c>
      <c r="AD82" s="1268">
        <f ca="1">SUM(AD83:AD84)</f>
        <v>72.581000000000003</v>
      </c>
      <c r="AE82" s="1268">
        <f ca="1">SUM(AE83:AE84)</f>
        <v>72.581000000000003</v>
      </c>
      <c r="AF82" s="314">
        <f ca="1">IF(AD82=0,0,(AE82-AD82)/AD82*100)</f>
        <v>0</v>
      </c>
      <c r="AG82" s="1260">
        <f ca="1">SUM(AG83:AG84)</f>
        <v>0</v>
      </c>
      <c r="AH82" s="1260">
        <f ca="1">SUM(AH83:AH84)</f>
        <v>0</v>
      </c>
      <c r="AI82" s="314">
        <f ca="1">IF(AG82=0,0,(AH82-AG82)/AG82*100)</f>
        <v>0</v>
      </c>
      <c r="AJ82" s="1260">
        <f ca="1">SUM(AJ83:AJ84)</f>
        <v>0</v>
      </c>
      <c r="AK82" s="1260">
        <f ca="1">SUM(AK83:AK84)</f>
        <v>0</v>
      </c>
      <c r="AL82" s="314">
        <f ca="1">IF(AJ82=0,0,(AK82-AJ82)/AJ82*100)</f>
        <v>0</v>
      </c>
      <c r="AM82" s="1268">
        <f ca="1">SUM(AM83:AM84)</f>
        <v>0</v>
      </c>
      <c r="AN82" s="1268">
        <f ca="1">SUM(AN83:AN84)</f>
        <v>0</v>
      </c>
      <c r="AO82" s="314">
        <f ca="1">IF(AM82=0,0,(AN82-AM82)/AM82*100)</f>
        <v>0</v>
      </c>
      <c r="AP82" s="1268">
        <f ca="1">SUM(AP83:AP84)</f>
        <v>0</v>
      </c>
      <c r="AQ82" s="1268">
        <f ca="1">SUM(AQ83:AQ84)</f>
        <v>0</v>
      </c>
      <c r="AR82" s="314">
        <f ca="1">IF(AP82=0,0,(AQ82-AP82)/AP82*100)</f>
        <v>0</v>
      </c>
      <c r="AS82" s="1268">
        <f ca="1">SUM(AS83:AS84)</f>
        <v>0</v>
      </c>
      <c r="AT82" s="1268">
        <f ca="1">SUM(AT83:AT84)</f>
        <v>0</v>
      </c>
      <c r="AU82" s="314">
        <f ca="1">IF(AS82=0,0,(AT82-AS82)/AS82*100)</f>
        <v>0</v>
      </c>
      <c r="AV82" s="1268">
        <f ca="1">SUM(AV83:AV84)</f>
        <v>0</v>
      </c>
      <c r="AW82" s="1268">
        <f ca="1">SUM(AW83:AW84)</f>
        <v>0</v>
      </c>
      <c r="AX82" s="314">
        <f ca="1">IF(AV82=0,0,(AW82-AV82)/AV82*100)</f>
        <v>0</v>
      </c>
      <c r="AY82" s="1268">
        <f ca="1">SUM(AY83:AY84)</f>
        <v>0</v>
      </c>
      <c r="AZ82" s="1268">
        <f ca="1">SUM(AZ83:AZ84)</f>
        <v>0</v>
      </c>
      <c r="BA82" s="314">
        <f ca="1">IF(AY82=0,0,(AZ82-AY82)/AY82*100)</f>
        <v>0</v>
      </c>
      <c r="BB82" s="1268">
        <f ca="1">SUM(BB83:BB84)</f>
        <v>0</v>
      </c>
      <c r="BC82" s="1268">
        <f ca="1">SUM(BC83:BC84)</f>
        <v>0</v>
      </c>
      <c r="BD82" s="314">
        <f ca="1">IF(BB82=0,0,(BC82-BB82)/BB82*100)</f>
        <v>0</v>
      </c>
      <c r="BE82" s="1268">
        <f ca="1">SUM(BE83:BE84)</f>
        <v>0</v>
      </c>
      <c r="BF82" s="1268">
        <f ca="1">SUM(BF83:BF84)</f>
        <v>0</v>
      </c>
      <c r="BG82" s="314">
        <f ca="1">IF(BE82=0,0,(BF82-BE82)/BE82*100)</f>
        <v>0</v>
      </c>
      <c r="BH82" s="1268">
        <f>SUM(BH83:BH84)</f>
        <v>0</v>
      </c>
      <c r="BI82" s="1268">
        <f>SUM(BI83:BI84)</f>
        <v>0</v>
      </c>
      <c r="BJ82" s="314">
        <f>IF(BH82=0,0,(BI82-BH82)/BH82*100)</f>
        <v>0</v>
      </c>
      <c r="BK82" s="1268">
        <f>SUM(BK83:BK84)</f>
        <v>0</v>
      </c>
      <c r="BL82" s="1268">
        <f>SUM(BL83:BL84)</f>
        <v>0</v>
      </c>
      <c r="BM82" s="314">
        <f>IF(BK82=0,0,(BL82-BK82)/BK82*100)</f>
        <v>0</v>
      </c>
      <c r="BN82" s="1268">
        <f>SUM(BN83:BN84)</f>
        <v>0</v>
      </c>
      <c r="BO82" s="1268">
        <f>SUM(BO83:BO84)</f>
        <v>0</v>
      </c>
      <c r="BP82" s="314">
        <f>IF(BN82=0,0,(BO82-BN82)/BN82*100)</f>
        <v>0</v>
      </c>
      <c r="BQ82" s="1268">
        <f>SUM(BQ83:BQ84)</f>
        <v>0</v>
      </c>
      <c r="BR82" s="1268">
        <f>SUM(BR83:BR84)</f>
        <v>0</v>
      </c>
      <c r="BS82" s="314">
        <f>IF(BQ82=0,0,(BR82-BQ82)/BQ82*100)</f>
        <v>0</v>
      </c>
      <c r="BT82" s="1268">
        <f>SUM(BT83:BT84)</f>
        <v>0</v>
      </c>
      <c r="BU82" s="1268">
        <f>SUM(BU83:BU84)</f>
        <v>0</v>
      </c>
      <c r="BV82" s="314">
        <f>IF(BT82=0,0,(BU82-BT82)/BT82*100)</f>
        <v>0</v>
      </c>
      <c r="BW82" s="1268">
        <f>SUM(BW83:BW84)</f>
        <v>0</v>
      </c>
      <c r="BX82" s="1268">
        <f>SUM(BX83:BX84)</f>
        <v>0</v>
      </c>
      <c r="BY82" s="314">
        <f>IF(BW82=0,0,(BX82-BW82)/BW82*100)</f>
        <v>0</v>
      </c>
      <c r="BZ82" s="1268">
        <f>SUM(BZ83:BZ84)</f>
        <v>0</v>
      </c>
      <c r="CA82" s="1268">
        <f>SUM(CA83:CA84)</f>
        <v>0</v>
      </c>
      <c r="CB82" s="314">
        <f>IF(BZ82=0,0,(CA82-BZ82)/BZ82*100)</f>
        <v>0</v>
      </c>
      <c r="CC82" s="1268">
        <f>SUM(CC83:CC84)</f>
        <v>0</v>
      </c>
      <c r="CD82" s="1268">
        <f>SUM(CD83:CD84)</f>
        <v>0</v>
      </c>
      <c r="CE82" s="314">
        <f>IF(CC82=0,0,(CD82-CC82)/CC82*100)</f>
        <v>0</v>
      </c>
      <c r="CF82" s="1268">
        <f>SUM(CF83:CF84)</f>
        <v>0</v>
      </c>
      <c r="CG82" s="1268">
        <f>SUM(CG83:CG84)</f>
        <v>0</v>
      </c>
      <c r="CH82" s="314">
        <f>IF(CF82=0,0,(CG82-CF82)/CF82*100)</f>
        <v>0</v>
      </c>
      <c r="CI82" s="1268">
        <f>SUM(CI83:CI84)</f>
        <v>0</v>
      </c>
      <c r="CJ82" s="1268">
        <f>SUM(CJ83:CJ84)</f>
        <v>0</v>
      </c>
      <c r="CK82" s="314">
        <f>IF(CI82=0,0,(CJ82-CI82)/CI82*100)</f>
        <v>0</v>
      </c>
      <c r="CL82" s="1268">
        <f>SUM(CL83:CL84)</f>
        <v>0</v>
      </c>
      <c r="CM82" s="1268">
        <f>SUM(CM83:CM84)</f>
        <v>0</v>
      </c>
      <c r="CN82" s="314">
        <f>IF(CL82=0,0,(CM82-CL82)/CL82*100)</f>
        <v>0</v>
      </c>
      <c r="CO82" s="1268">
        <f>SUM(CO83:CO84)</f>
        <v>0</v>
      </c>
      <c r="CP82" s="1268">
        <f>SUM(CP83:CP84)</f>
        <v>0</v>
      </c>
      <c r="CQ82" s="314">
        <f>IF(CO82=0,0,(CP82-CO82)/CO82*100)</f>
        <v>0</v>
      </c>
      <c r="CR82" s="1268">
        <f>SUM(CR83:CR84)</f>
        <v>0</v>
      </c>
      <c r="CS82" s="1268">
        <f>SUM(CS83:CS84)</f>
        <v>0</v>
      </c>
      <c r="CT82" s="314">
        <f>IF(CR82=0,0,(CS82-CR82)/CR82*100)</f>
        <v>0</v>
      </c>
      <c r="CU82" s="1268">
        <f>SUM(CU83:CU84)</f>
        <v>0</v>
      </c>
      <c r="CV82" s="1268">
        <f>SUM(CV83:CV84)</f>
        <v>0</v>
      </c>
      <c r="CW82" s="314">
        <f>IF(CU82=0,0,(CV82-CU82)/CU82*100)</f>
        <v>0</v>
      </c>
      <c r="CX82" s="1268">
        <f>SUM(CX83:CX84)</f>
        <v>0</v>
      </c>
      <c r="CY82" s="1268">
        <f>SUM(CY83:CY84)</f>
        <v>0</v>
      </c>
      <c r="CZ82" s="314">
        <f>IF(CX82=0,0,(CY82-CX82)/CX82*100)</f>
        <v>0</v>
      </c>
      <c r="DA82" s="1268">
        <f>SUM(DA83:DA84)</f>
        <v>0</v>
      </c>
      <c r="DB82" s="1268">
        <f>SUM(DB83:DB84)</f>
        <v>0</v>
      </c>
      <c r="DC82" s="314">
        <f>IF(DA82=0,0,(DB82-DA82)/DA82*100)</f>
        <v>0</v>
      </c>
      <c r="DD82" s="1268">
        <f>SUM(DD83:DD84)</f>
        <v>0</v>
      </c>
      <c r="DE82" s="1268">
        <f>SUM(DE83:DE84)</f>
        <v>0</v>
      </c>
      <c r="DF82" s="314">
        <f>IF(DD82=0,0,(DE82-DD82)/DD82*100)</f>
        <v>0</v>
      </c>
      <c r="DG82" s="1268">
        <f>SUM(DG83:DG84)</f>
        <v>0</v>
      </c>
      <c r="DH82" s="1268">
        <f>SUM(DH83:DH84)</f>
        <v>0</v>
      </c>
      <c r="DI82" s="314">
        <f>IF(DG82=0,0,(DH82-DG82)/DG82*100)</f>
        <v>0</v>
      </c>
      <c r="DJ82" s="1268">
        <f>SUM(DJ83:DJ84)</f>
        <v>0</v>
      </c>
      <c r="DK82" s="1268">
        <f>SUM(DK83:DK84)</f>
        <v>0</v>
      </c>
      <c r="DL82" s="314">
        <f>IF(DJ82=0,0,(DK82-DJ82)/DJ82*100)</f>
        <v>0</v>
      </c>
      <c r="DM82" s="1268">
        <f>SUM(DM83:DM84)</f>
        <v>0</v>
      </c>
      <c r="DN82" s="1268">
        <f>SUM(DN83:DN84)</f>
        <v>0</v>
      </c>
      <c r="DO82" s="314">
        <f>IF(DM82=0,0,(DN82-DM82)/DM82*100)</f>
        <v>0</v>
      </c>
      <c r="DP82" s="1268">
        <f>SUM(DP83:DP84)</f>
        <v>0</v>
      </c>
      <c r="DQ82" s="1268">
        <f>SUM(DQ83:DQ84)</f>
        <v>0</v>
      </c>
      <c r="DR82" s="314">
        <f>IF(DP82=0,0,(DQ82-DP82)/DP82*100)</f>
        <v>0</v>
      </c>
      <c r="DS82" s="1268">
        <f>SUM(DS83:DS84)</f>
        <v>0</v>
      </c>
      <c r="DT82" s="1268">
        <f>SUM(DT83:DT84)</f>
        <v>0</v>
      </c>
      <c r="DU82" s="314">
        <f>IF(DS82=0,0,(DT82-DS82)/DS82*100)</f>
        <v>0</v>
      </c>
      <c r="DV82" s="1268">
        <f>SUM(DV83:DV84)</f>
        <v>0</v>
      </c>
      <c r="DW82" s="1268">
        <f>SUM(DW83:DW84)</f>
        <v>0</v>
      </c>
      <c r="DX82" s="314">
        <f>IF(DV82=0,0,(DW82-DV82)/DV82*100)</f>
        <v>0</v>
      </c>
      <c r="DY82" s="1268">
        <f>SUM(DY83:DY84)</f>
        <v>0</v>
      </c>
      <c r="DZ82" s="1268">
        <f>SUM(DZ83:DZ84)</f>
        <v>0</v>
      </c>
      <c r="EA82" s="314">
        <f>IF(DY82=0,0,(DZ82-DY82)/DY82*100)</f>
        <v>0</v>
      </c>
      <c r="EB82" s="1268">
        <f>SUM(EB83:EB84)</f>
        <v>0</v>
      </c>
      <c r="EC82" s="1268">
        <f>SUM(EC83:EC84)</f>
        <v>0</v>
      </c>
      <c r="ED82" s="314">
        <f>IF(EB82=0,0,(EC82-EB82)/EB82*100)</f>
        <v>0</v>
      </c>
      <c r="EE82" s="1268">
        <f>SUM(EE83:EE84)</f>
        <v>0</v>
      </c>
      <c r="EF82" s="1268">
        <f>SUM(EF83:EF84)</f>
        <v>0</v>
      </c>
      <c r="EG82" s="314">
        <f>IF(EE82=0,0,(EF82-EE82)/EE82*100)</f>
        <v>0</v>
      </c>
      <c r="EH82" s="1268">
        <f>SUM(EH83:EH84)</f>
        <v>0</v>
      </c>
      <c r="EI82" s="1268">
        <f>SUM(EI83:EI84)</f>
        <v>0</v>
      </c>
      <c r="EJ82" s="314">
        <f>IF(EH82=0,0,(EI82-EH82)/EH82*100)</f>
        <v>0</v>
      </c>
      <c r="EK82" s="1268">
        <f>SUM(EK83:EK84)</f>
        <v>0</v>
      </c>
      <c r="EL82" s="1268">
        <f>SUM(EL83:EL84)</f>
        <v>0</v>
      </c>
      <c r="EM82" s="314">
        <f>IF(EK82=0,0,(EL82-EK82)/EK82*100)</f>
        <v>0</v>
      </c>
      <c r="EN82" s="1268">
        <f>SUM(EN83:EN84)</f>
        <v>0</v>
      </c>
      <c r="EO82" s="1268">
        <f>SUM(EO83:EO84)</f>
        <v>0</v>
      </c>
      <c r="EP82" s="314">
        <f>IF(EN82=0,0,(EO82-EN82)/EN82*100)</f>
        <v>0</v>
      </c>
      <c r="EQ82" s="1268">
        <f>SUM(EQ83:EQ84)</f>
        <v>0</v>
      </c>
      <c r="ER82" s="1268">
        <f>SUM(ER83:ER84)</f>
        <v>0</v>
      </c>
      <c r="ES82" s="314">
        <f>IF(EQ82=0,0,(ER82-EQ82)/EQ82*100)</f>
        <v>0</v>
      </c>
      <c r="ET82" s="1268">
        <f>SUM(ET83:ET84)</f>
        <v>0</v>
      </c>
      <c r="EU82" s="1268">
        <f>SUM(EU83:EU84)</f>
        <v>0</v>
      </c>
      <c r="EV82" s="314">
        <f>IF(ET82=0,0,(EU82-ET82)/ET82*100)</f>
        <v>0</v>
      </c>
      <c r="EW82" s="1268">
        <f>SUM(EW83:EW84)</f>
        <v>0</v>
      </c>
      <c r="EX82" s="1268">
        <f>SUM(EX83:EX84)</f>
        <v>0</v>
      </c>
      <c r="EY82" s="314">
        <f>IF(EW82=0,0,(EX82-EW82)/EW82*100)</f>
        <v>0</v>
      </c>
      <c r="EZ82" s="1268">
        <f>SUM(EZ83:EZ84)</f>
        <v>0</v>
      </c>
      <c r="FA82" s="1268">
        <f>SUM(FA83:FA84)</f>
        <v>0</v>
      </c>
      <c r="FB82" s="314">
        <f>IF(EZ82=0,0,(FA82-EZ82)/EZ82*100)</f>
        <v>0</v>
      </c>
      <c r="FC82" s="1268">
        <f>SUM(FC83:FC84)</f>
        <v>0</v>
      </c>
      <c r="FD82" s="1268">
        <f>SUM(FD83:FD84)</f>
        <v>0</v>
      </c>
      <c r="FE82" s="314">
        <f>IF(FC82=0,0,(FD82-FC82)/FC82*100)</f>
        <v>0</v>
      </c>
      <c r="FF82" s="1268">
        <f>SUM(FF83:FF84)</f>
        <v>0</v>
      </c>
      <c r="FG82" s="1268">
        <f>SUM(FG83:FG84)</f>
        <v>0</v>
      </c>
      <c r="FH82" s="314">
        <f>IF(FF82=0,0,(FG82-FF82)/FF82*100)</f>
        <v>0</v>
      </c>
      <c r="FI82" s="1268">
        <f>SUM(FI83:FI84)</f>
        <v>0</v>
      </c>
      <c r="FJ82" s="1268">
        <f>SUM(FJ83:FJ84)</f>
        <v>0</v>
      </c>
      <c r="FK82" s="314">
        <f>IF(FI82=0,0,(FJ82-FI82)/FI82*100)</f>
        <v>0</v>
      </c>
      <c r="FL82" s="1268">
        <f>SUM(FL83:FL84)</f>
        <v>0</v>
      </c>
      <c r="FM82" s="1268">
        <f>SUM(FM83:FM84)</f>
        <v>0</v>
      </c>
      <c r="FN82" s="314">
        <f>IF(FL82=0,0,(FM82-FL82)/FL82*100)</f>
        <v>0</v>
      </c>
      <c r="FO82" s="1268">
        <f>SUM(FO83:FO84)</f>
        <v>0</v>
      </c>
      <c r="FP82" s="1268">
        <f>SUM(FP83:FP84)</f>
        <v>0</v>
      </c>
      <c r="FQ82" s="314">
        <f>IF(FO82=0,0,(FP82-FO82)/FO82*100)</f>
        <v>0</v>
      </c>
      <c r="FR82" s="1268">
        <f>SUM(FR83:FR84)</f>
        <v>0</v>
      </c>
      <c r="FS82" s="1268">
        <f>SUM(FS83:FS84)</f>
        <v>0</v>
      </c>
      <c r="FT82" s="314">
        <f>IF(FR82=0,0,(FS82-FR82)/FR82*100)</f>
        <v>0</v>
      </c>
      <c r="FU82" s="1268">
        <f>SUM(FU83:FU84)</f>
        <v>0</v>
      </c>
      <c r="FV82" s="1268">
        <f>SUM(FV83:FV84)</f>
        <v>0</v>
      </c>
      <c r="FW82" s="314">
        <f>IF(FU82=0,0,(FV82-FU82)/FU82*100)</f>
        <v>0</v>
      </c>
      <c r="FX82" s="394"/>
      <c r="FY82" s="394"/>
      <c r="FZ82" s="912" t="s">
        <v>1665</v>
      </c>
      <c r="GA82" s="930"/>
      <c r="GB82" s="930"/>
      <c r="GC82" s="930"/>
      <c r="GD82" s="930"/>
    </row>
    <row r="83" spans="1:186" s="1057" customFormat="1" ht="16.5" customHeight="1">
      <c r="A83" s="1012"/>
      <c r="B83" s="749" t="b">
        <f t="shared" si="26"/>
        <v>1</v>
      </c>
      <c r="C83" s="1012"/>
      <c r="D83" s="1012"/>
      <c r="E83" s="623">
        <v>17.100000000000001</v>
      </c>
      <c r="F83" s="714" t="str">
        <f t="shared" ca="1" si="24"/>
        <v>1</v>
      </c>
      <c r="G83" s="130" t="s">
        <v>1441</v>
      </c>
      <c r="H83" s="394"/>
      <c r="I83" s="394"/>
      <c r="J83" s="394"/>
      <c r="K83" s="394"/>
      <c r="L83" s="394"/>
      <c r="M83" s="394"/>
      <c r="N83" s="394"/>
      <c r="O83" s="394"/>
      <c r="P83" s="394"/>
      <c r="Q83" s="394"/>
      <c r="R83" s="719"/>
      <c r="S83" s="394"/>
      <c r="T83" s="634" t="b">
        <f t="shared" si="25"/>
        <v>1</v>
      </c>
      <c r="U83" s="1012"/>
      <c r="V83" s="1012"/>
      <c r="W83" s="1012"/>
      <c r="X83" s="1405"/>
      <c r="Y83" s="1012"/>
      <c r="Z83" s="1405"/>
      <c r="AA83" s="394"/>
      <c r="AB83" s="223" t="s">
        <v>1442</v>
      </c>
      <c r="AC83" s="110" t="s">
        <v>491</v>
      </c>
      <c r="AD83" s="1268">
        <f ca="1">IF(method_reg="Метод экономически обоснованных расходов",SUMIFS('Калькуляция (6.6)'!AJ$25:AJ$133,'Калькуляция (6.6)'!$F$25:$F$133,$F83,'Калькуляция (6.6)'!$G$25:$G$133,$G83),IF(method_reg="Метод сравнения аналогов",SUMIFS(INDEX('Калькуляция (МСА)'!$AE$25:$BC$82,,MATCH(AD$8,'Калькуляция (МСА)'!$AE$8:$BC$8,0)),'Калькуляция (МСА)'!$F$25:$F$82,$F83,'Калькуляция (МСА)'!$G$25:$G$82,$G83),SUMIFS(INDEX('Калькуляция (5.9)'!$AJ$25:$BC$126,,MATCH(AD$8,'Калькуляция (5.9)'!$AJ$8:$BC$8,0)),'Калькуляция (5.9)'!$F$25:$F$126,$F83,'Калькуляция (5.9)'!$G$25:$G$126,$G83)))</f>
        <v>30.745311600000001</v>
      </c>
      <c r="AE83" s="1268">
        <f ca="1">IF(method_reg="Метод экономически обоснованных расходов",SUMIFS('Калькуляция (6.6)'!AK$25:AK$133,'Калькуляция (6.6)'!$F$25:$F$133,$F83,'Калькуляция (6.6)'!$G$25:$G$133,$G83),IF(method_reg="Метод сравнения аналогов",SUMIFS(INDEX('Калькуляция (МСА)'!$AE$25:$BC$82,,MATCH(AE$8,'Калькуляция (МСА)'!$AE$8:$BC$8,0)),'Калькуляция (МСА)'!$F$25:$F$82,$F83,'Калькуляция (МСА)'!$G$25:$G$82,$G83),SUMIFS(INDEX('Калькуляция (5.9)'!$AJ$25:$BC$126,,MATCH(AE$8,'Калькуляция (5.9)'!$AJ$8:$BC$8,0)),'Калькуляция (5.9)'!$F$25:$F$126,$F83,'Калькуляция (5.9)'!$G$25:$G$126,$G83)))</f>
        <v>48.78</v>
      </c>
      <c r="AF83" s="314">
        <f ca="1">IF(AD83=0,0,(AE83-AD83)/AD83*100)</f>
        <v>58.658336707181071</v>
      </c>
      <c r="AG83" s="1260">
        <f ca="1">IF(method_reg="Метод сравнения аналогов",SUMIFS(INDEX('Калькуляция (МСА)'!$AE$25:$BC$82,,MATCH(AG$8,'Калькуляция (МСА)'!$AE$8:$BC$8,0)),'Калькуляция (МСА)'!$F$25:$F$82,$F83,'Калькуляция (МСА)'!$G$25:$G$82,$G83),SUMIFS(INDEX('Калькуляция (5.9)'!$AJ$25:$BC$126,,MATCH(AG$8,'Калькуляция (5.9)'!$AJ$8:$BC$8,0)),'Калькуляция (5.9)'!$F$25:$F$126,$F83,'Калькуляция (5.9)'!$G$25:$G$126,$G83))</f>
        <v>0</v>
      </c>
      <c r="AH83" s="1260">
        <f ca="1">IF(method_reg="Метод сравнения аналогов",SUMIFS(INDEX('Калькуляция (МСА)'!$AE$25:$BC$82,,MATCH(AH$8,'Калькуляция (МСА)'!$AE$8:$BC$8,0)),'Калькуляция (МСА)'!$F$25:$F$82,$F83,'Калькуляция (МСА)'!$G$25:$G$82,$G83),SUMIFS(INDEX('Калькуляция (5.9)'!$AJ$25:$BC$126,,MATCH(AH$8,'Калькуляция (5.9)'!$AJ$8:$BC$8,0)),'Калькуляция (5.9)'!$F$25:$F$126,$F83,'Калькуляция (5.9)'!$G$25:$G$126,$G83))</f>
        <v>0</v>
      </c>
      <c r="AI83" s="314">
        <f ca="1">IF(AG83=0,0,(AH83-AG83)/AG83*100)</f>
        <v>0</v>
      </c>
      <c r="AJ83" s="1260">
        <f ca="1">IF(method_reg="Метод сравнения аналогов",SUMIFS(INDEX('Калькуляция (МСА)'!$AE$25:$BC$82,,MATCH(AJ$8,'Калькуляция (МСА)'!$AE$8:$BC$8,0)),'Калькуляция (МСА)'!$F$25:$F$82,$F83,'Калькуляция (МСА)'!$G$25:$G$82,$G83),SUMIFS(INDEX('Калькуляция (5.9)'!$AJ$25:$BC$126,,MATCH(AJ$8,'Калькуляция (5.9)'!$AJ$8:$BC$8,0)),'Калькуляция (5.9)'!$F$25:$F$126,$F83,'Калькуляция (5.9)'!$G$25:$G$126,$G83))</f>
        <v>0</v>
      </c>
      <c r="AK83" s="1260">
        <f ca="1">IF(method_reg="Метод сравнения аналогов",SUMIFS(INDEX('Калькуляция (МСА)'!$AE$25:$BC$82,,MATCH(AK$8,'Калькуляция (МСА)'!$AE$8:$BC$8,0)),'Калькуляция (МСА)'!$F$25:$F$82,$F83,'Калькуляция (МСА)'!$G$25:$G$82,$G83),SUMIFS(INDEX('Калькуляция (5.9)'!$AJ$25:$BC$126,,MATCH(AK$8,'Калькуляция (5.9)'!$AJ$8:$BC$8,0)),'Калькуляция (5.9)'!$F$25:$F$126,$F83,'Калькуляция (5.9)'!$G$25:$G$126,$G83))</f>
        <v>0</v>
      </c>
      <c r="AL83" s="314">
        <f ca="1">IF(AJ83=0,0,(AK83-AJ83)/AJ83*100)</f>
        <v>0</v>
      </c>
      <c r="AM83" s="1268">
        <f ca="1">IF(method_reg="Метод сравнения аналогов",SUMIFS(INDEX('Калькуляция (МСА)'!$AE$25:$BC$82,,MATCH(AM$8,'Калькуляция (МСА)'!$AE$8:$BC$8,0)),'Калькуляция (МСА)'!$F$25:$F$82,$F83,'Калькуляция (МСА)'!$G$25:$G$82,$G83),SUMIFS(INDEX('Калькуляция (5.9)'!$AJ$25:$BC$126,,MATCH(AM$8,'Калькуляция (5.9)'!$AJ$8:$BC$8,0)),'Калькуляция (5.9)'!$F$25:$F$126,$F83,'Калькуляция (5.9)'!$G$25:$G$126,$G83))</f>
        <v>0</v>
      </c>
      <c r="AN83" s="1268">
        <f ca="1">IF(method_reg="Метод сравнения аналогов",SUMIFS(INDEX('Калькуляция (МСА)'!$AE$25:$BC$82,,MATCH(AN$8,'Калькуляция (МСА)'!$AE$8:$BC$8,0)),'Калькуляция (МСА)'!$F$25:$F$82,$F83,'Калькуляция (МСА)'!$G$25:$G$82,$G83),SUMIFS(INDEX('Калькуляция (5.9)'!$AJ$25:$BC$126,,MATCH(AN$8,'Калькуляция (5.9)'!$AJ$8:$BC$8,0)),'Калькуляция (5.9)'!$F$25:$F$126,$F83,'Калькуляция (5.9)'!$G$25:$G$126,$G83))</f>
        <v>0</v>
      </c>
      <c r="AO83" s="314">
        <f ca="1">IF(AM83=0,0,(AN83-AM83)/AM83*100)</f>
        <v>0</v>
      </c>
      <c r="AP83" s="1268">
        <f ca="1">IF(method_reg="Метод сравнения аналогов",SUMIFS(INDEX('Калькуляция (МСА)'!$AE$25:$BC$82,,MATCH(AP$8,'Калькуляция (МСА)'!$AE$8:$BC$8,0)),'Калькуляция (МСА)'!$F$25:$F$82,$F83,'Калькуляция (МСА)'!$G$25:$G$82,$G83),SUMIFS(INDEX('Калькуляция (5.9)'!$AJ$25:$BC$126,,MATCH(AP$8,'Калькуляция (5.9)'!$AJ$8:$BC$8,0)),'Калькуляция (5.9)'!$F$25:$F$126,$F83,'Калькуляция (5.9)'!$G$25:$G$126,$G83))</f>
        <v>0</v>
      </c>
      <c r="AQ83" s="1268">
        <f ca="1">IF(method_reg="Метод сравнения аналогов",SUMIFS(INDEX('Калькуляция (МСА)'!$AE$25:$BC$82,,MATCH(AQ$8,'Калькуляция (МСА)'!$AE$8:$BC$8,0)),'Калькуляция (МСА)'!$F$25:$F$82,$F83,'Калькуляция (МСА)'!$G$25:$G$82,$G83),SUMIFS(INDEX('Калькуляция (5.9)'!$AJ$25:$BC$126,,MATCH(AQ$8,'Калькуляция (5.9)'!$AJ$8:$BC$8,0)),'Калькуляция (5.9)'!$F$25:$F$126,$F83,'Калькуляция (5.9)'!$G$25:$G$126,$G83))</f>
        <v>0</v>
      </c>
      <c r="AR83" s="314">
        <f ca="1">IF(AP83=0,0,(AQ83-AP83)/AP83*100)</f>
        <v>0</v>
      </c>
      <c r="AS83" s="1268">
        <f ca="1">IF(method_reg="Метод сравнения аналогов",SUMIFS(INDEX('Калькуляция (МСА)'!$AE$25:$BC$82,,MATCH(AS$8,'Калькуляция (МСА)'!$AE$8:$BC$8,0)),'Калькуляция (МСА)'!$F$25:$F$82,$F83,'Калькуляция (МСА)'!$G$25:$G$82,$G83),SUMIFS(INDEX('Калькуляция (5.9)'!$AJ$25:$BC$126,,MATCH(AS$8,'Калькуляция (5.9)'!$AJ$8:$BC$8,0)),'Калькуляция (5.9)'!$F$25:$F$126,$F83,'Калькуляция (5.9)'!$G$25:$G$126,$G83))</f>
        <v>0</v>
      </c>
      <c r="AT83" s="1268">
        <f ca="1">IF(method_reg="Метод сравнения аналогов",SUMIFS(INDEX('Калькуляция (МСА)'!$AE$25:$BC$82,,MATCH(AT$8,'Калькуляция (МСА)'!$AE$8:$BC$8,0)),'Калькуляция (МСА)'!$F$25:$F$82,$F83,'Калькуляция (МСА)'!$G$25:$G$82,$G83),SUMIFS(INDEX('Калькуляция (5.9)'!$AJ$25:$BC$126,,MATCH(AT$8,'Калькуляция (5.9)'!$AJ$8:$BC$8,0)),'Калькуляция (5.9)'!$F$25:$F$126,$F83,'Калькуляция (5.9)'!$G$25:$G$126,$G83))</f>
        <v>0</v>
      </c>
      <c r="AU83" s="314">
        <f ca="1">IF(AS83=0,0,(AT83-AS83)/AS83*100)</f>
        <v>0</v>
      </c>
      <c r="AV83" s="1268">
        <f ca="1">IF(method_reg="Метод сравнения аналогов",SUMIFS(INDEX('Калькуляция (МСА)'!$AE$25:$BC$82,,MATCH(AV$8,'Калькуляция (МСА)'!$AE$8:$BC$8,0)),'Калькуляция (МСА)'!$F$25:$F$82,$F83,'Калькуляция (МСА)'!$G$25:$G$82,$G83),SUMIFS(INDEX('Калькуляция (5.9)'!$AJ$25:$BC$126,,MATCH(AV$8,'Калькуляция (5.9)'!$AJ$8:$BC$8,0)),'Калькуляция (5.9)'!$F$25:$F$126,$F83,'Калькуляция (5.9)'!$G$25:$G$126,$G83))</f>
        <v>0</v>
      </c>
      <c r="AW83" s="1268">
        <f ca="1">IF(method_reg="Метод сравнения аналогов",SUMIFS(INDEX('Калькуляция (МСА)'!$AE$25:$BC$82,,MATCH(AW$8,'Калькуляция (МСА)'!$AE$8:$BC$8,0)),'Калькуляция (МСА)'!$F$25:$F$82,$F83,'Калькуляция (МСА)'!$G$25:$G$82,$G83),SUMIFS(INDEX('Калькуляция (5.9)'!$AJ$25:$BC$126,,MATCH(AW$8,'Калькуляция (5.9)'!$AJ$8:$BC$8,0)),'Калькуляция (5.9)'!$F$25:$F$126,$F83,'Калькуляция (5.9)'!$G$25:$G$126,$G83))</f>
        <v>0</v>
      </c>
      <c r="AX83" s="314">
        <f ca="1">IF(AV83=0,0,(AW83-AV83)/AV83*100)</f>
        <v>0</v>
      </c>
      <c r="AY83" s="1268">
        <f ca="1">IF(method_reg="Метод сравнения аналогов",SUMIFS(INDEX('Калькуляция (МСА)'!$AE$25:$BC$82,,MATCH(AY$8,'Калькуляция (МСА)'!$AE$8:$BC$8,0)),'Калькуляция (МСА)'!$F$25:$F$82,$F83,'Калькуляция (МСА)'!$G$25:$G$82,$G83),SUMIFS(INDEX('Калькуляция (5.9)'!$AJ$25:$BC$126,,MATCH(AY$8,'Калькуляция (5.9)'!$AJ$8:$BC$8,0)),'Калькуляция (5.9)'!$F$25:$F$126,$F83,'Калькуляция (5.9)'!$G$25:$G$126,$G83))</f>
        <v>0</v>
      </c>
      <c r="AZ83" s="1268">
        <f ca="1">IF(method_reg="Метод сравнения аналогов",SUMIFS(INDEX('Калькуляция (МСА)'!$AE$25:$BC$82,,MATCH(AZ$8,'Калькуляция (МСА)'!$AE$8:$BC$8,0)),'Калькуляция (МСА)'!$F$25:$F$82,$F83,'Калькуляция (МСА)'!$G$25:$G$82,$G83),SUMIFS(INDEX('Калькуляция (5.9)'!$AJ$25:$BC$126,,MATCH(AZ$8,'Калькуляция (5.9)'!$AJ$8:$BC$8,0)),'Калькуляция (5.9)'!$F$25:$F$126,$F83,'Калькуляция (5.9)'!$G$25:$G$126,$G83))</f>
        <v>0</v>
      </c>
      <c r="BA83" s="314">
        <f ca="1">IF(AY83=0,0,(AZ83-AY83)/AY83*100)</f>
        <v>0</v>
      </c>
      <c r="BB83" s="1268">
        <f ca="1">IF(method_reg="Метод сравнения аналогов",SUMIFS(INDEX('Калькуляция (МСА)'!$AE$25:$BC$82,,MATCH(BB$8,'Калькуляция (МСА)'!$AE$8:$BC$8,0)),'Калькуляция (МСА)'!$F$25:$F$82,$F83,'Калькуляция (МСА)'!$G$25:$G$82,$G83),SUMIFS(INDEX('Калькуляция (5.9)'!$AJ$25:$BC$126,,MATCH(BB$8,'Калькуляция (5.9)'!$AJ$8:$BC$8,0)),'Калькуляция (5.9)'!$F$25:$F$126,$F83,'Калькуляция (5.9)'!$G$25:$G$126,$G83))</f>
        <v>0</v>
      </c>
      <c r="BC83" s="1268">
        <f ca="1">IF(method_reg="Метод сравнения аналогов",SUMIFS(INDEX('Калькуляция (МСА)'!$AE$25:$BC$82,,MATCH(BC$8,'Калькуляция (МСА)'!$AE$8:$BC$8,0)),'Калькуляция (МСА)'!$F$25:$F$82,$F83,'Калькуляция (МСА)'!$G$25:$G$82,$G83),SUMIFS(INDEX('Калькуляция (5.9)'!$AJ$25:$BC$126,,MATCH(BC$8,'Калькуляция (5.9)'!$AJ$8:$BC$8,0)),'Калькуляция (5.9)'!$F$25:$F$126,$F83,'Калькуляция (5.9)'!$G$25:$G$126,$G83))</f>
        <v>0</v>
      </c>
      <c r="BD83" s="314">
        <f ca="1">IF(BB83=0,0,(BC83-BB83)/BB83*100)</f>
        <v>0</v>
      </c>
      <c r="BE83" s="1268">
        <f ca="1">IF(method_reg="Метод сравнения аналогов",SUMIFS(INDEX('Калькуляция (МСА)'!$AE$25:$BC$82,,MATCH(BE$8,'Калькуляция (МСА)'!$AE$8:$BC$8,0)),'Калькуляция (МСА)'!$F$25:$F$82,$F83,'Калькуляция (МСА)'!$G$25:$G$82,$G83),SUMIFS(INDEX('Калькуляция (5.9)'!$AJ$25:$BC$126,,MATCH(BE$8,'Калькуляция (5.9)'!$AJ$8:$BC$8,0)),'Калькуляция (5.9)'!$F$25:$F$126,$F83,'Калькуляция (5.9)'!$G$25:$G$126,$G83))</f>
        <v>0</v>
      </c>
      <c r="BF83" s="1268">
        <f ca="1">IF(method_reg="Метод сравнения аналогов",SUMIFS(INDEX('Калькуляция (МСА)'!$AE$25:$BC$82,,MATCH(BF$8,'Калькуляция (МСА)'!$AE$8:$BC$8,0)),'Калькуляция (МСА)'!$F$25:$F$82,$F83,'Калькуляция (МСА)'!$G$25:$G$82,$G83),SUMIFS(INDEX('Калькуляция (5.9)'!$AJ$25:$BC$126,,MATCH(BF$8,'Калькуляция (5.9)'!$AJ$8:$BC$8,0)),'Калькуляция (5.9)'!$F$25:$F$126,$F83,'Калькуляция (5.9)'!$G$25:$G$126,$G83))</f>
        <v>0</v>
      </c>
      <c r="BG83" s="314">
        <f ca="1">IF(BE83=0,0,(BF83-BE83)/BE83*100)</f>
        <v>0</v>
      </c>
      <c r="BH83" s="1268"/>
      <c r="BI83" s="1268"/>
      <c r="BJ83" s="314">
        <f>IF(BH83=0,0,(BI83-BH83)/BH83*100)</f>
        <v>0</v>
      </c>
      <c r="BK83" s="1268"/>
      <c r="BL83" s="1268"/>
      <c r="BM83" s="314">
        <f>IF(BK83=0,0,(BL83-BK83)/BK83*100)</f>
        <v>0</v>
      </c>
      <c r="BN83" s="1268"/>
      <c r="BO83" s="1268"/>
      <c r="BP83" s="314">
        <f>IF(BN83=0,0,(BO83-BN83)/BN83*100)</f>
        <v>0</v>
      </c>
      <c r="BQ83" s="1268"/>
      <c r="BR83" s="1268"/>
      <c r="BS83" s="314">
        <f>IF(BQ83=0,0,(BR83-BQ83)/BQ83*100)</f>
        <v>0</v>
      </c>
      <c r="BT83" s="1268"/>
      <c r="BU83" s="1268"/>
      <c r="BV83" s="314">
        <f>IF(BT83=0,0,(BU83-BT83)/BT83*100)</f>
        <v>0</v>
      </c>
      <c r="BW83" s="1268"/>
      <c r="BX83" s="1268"/>
      <c r="BY83" s="314">
        <f>IF(BW83=0,0,(BX83-BW83)/BW83*100)</f>
        <v>0</v>
      </c>
      <c r="BZ83" s="1268"/>
      <c r="CA83" s="1268"/>
      <c r="CB83" s="314">
        <f>IF(BZ83=0,0,(CA83-BZ83)/BZ83*100)</f>
        <v>0</v>
      </c>
      <c r="CC83" s="1268"/>
      <c r="CD83" s="1268"/>
      <c r="CE83" s="314">
        <f>IF(CC83=0,0,(CD83-CC83)/CC83*100)</f>
        <v>0</v>
      </c>
      <c r="CF83" s="1268"/>
      <c r="CG83" s="1268"/>
      <c r="CH83" s="314">
        <f>IF(CF83=0,0,(CG83-CF83)/CF83*100)</f>
        <v>0</v>
      </c>
      <c r="CI83" s="1268"/>
      <c r="CJ83" s="1268"/>
      <c r="CK83" s="314">
        <f>IF(CI83=0,0,(CJ83-CI83)/CI83*100)</f>
        <v>0</v>
      </c>
      <c r="CL83" s="1268"/>
      <c r="CM83" s="1268"/>
      <c r="CN83" s="314">
        <f>IF(CL83=0,0,(CM83-CL83)/CL83*100)</f>
        <v>0</v>
      </c>
      <c r="CO83" s="1268"/>
      <c r="CP83" s="1268"/>
      <c r="CQ83" s="314">
        <f>IF(CO83=0,0,(CP83-CO83)/CO83*100)</f>
        <v>0</v>
      </c>
      <c r="CR83" s="1268"/>
      <c r="CS83" s="1268"/>
      <c r="CT83" s="314">
        <f>IF(CR83=0,0,(CS83-CR83)/CR83*100)</f>
        <v>0</v>
      </c>
      <c r="CU83" s="1268"/>
      <c r="CV83" s="1268"/>
      <c r="CW83" s="314">
        <f>IF(CU83=0,0,(CV83-CU83)/CU83*100)</f>
        <v>0</v>
      </c>
      <c r="CX83" s="1268"/>
      <c r="CY83" s="1268"/>
      <c r="CZ83" s="314">
        <f>IF(CX83=0,0,(CY83-CX83)/CX83*100)</f>
        <v>0</v>
      </c>
      <c r="DA83" s="1268"/>
      <c r="DB83" s="1268"/>
      <c r="DC83" s="314">
        <f>IF(DA83=0,0,(DB83-DA83)/DA83*100)</f>
        <v>0</v>
      </c>
      <c r="DD83" s="1268"/>
      <c r="DE83" s="1268"/>
      <c r="DF83" s="314">
        <f>IF(DD83=0,0,(DE83-DD83)/DD83*100)</f>
        <v>0</v>
      </c>
      <c r="DG83" s="1268"/>
      <c r="DH83" s="1268"/>
      <c r="DI83" s="314">
        <f>IF(DG83=0,0,(DH83-DG83)/DG83*100)</f>
        <v>0</v>
      </c>
      <c r="DJ83" s="1268"/>
      <c r="DK83" s="1268"/>
      <c r="DL83" s="314">
        <f>IF(DJ83=0,0,(DK83-DJ83)/DJ83*100)</f>
        <v>0</v>
      </c>
      <c r="DM83" s="1268"/>
      <c r="DN83" s="1268"/>
      <c r="DO83" s="314">
        <f>IF(DM83=0,0,(DN83-DM83)/DM83*100)</f>
        <v>0</v>
      </c>
      <c r="DP83" s="1268"/>
      <c r="DQ83" s="1268"/>
      <c r="DR83" s="314">
        <f>IF(DP83=0,0,(DQ83-DP83)/DP83*100)</f>
        <v>0</v>
      </c>
      <c r="DS83" s="1268"/>
      <c r="DT83" s="1268"/>
      <c r="DU83" s="314">
        <f>IF(DS83=0,0,(DT83-DS83)/DS83*100)</f>
        <v>0</v>
      </c>
      <c r="DV83" s="1268"/>
      <c r="DW83" s="1268"/>
      <c r="DX83" s="314">
        <f>IF(DV83=0,0,(DW83-DV83)/DV83*100)</f>
        <v>0</v>
      </c>
      <c r="DY83" s="1268"/>
      <c r="DZ83" s="1268"/>
      <c r="EA83" s="314">
        <f>IF(DY83=0,0,(DZ83-DY83)/DY83*100)</f>
        <v>0</v>
      </c>
      <c r="EB83" s="1268"/>
      <c r="EC83" s="1268"/>
      <c r="ED83" s="314">
        <f>IF(EB83=0,0,(EC83-EB83)/EB83*100)</f>
        <v>0</v>
      </c>
      <c r="EE83" s="1268"/>
      <c r="EF83" s="1268"/>
      <c r="EG83" s="314">
        <f>IF(EE83=0,0,(EF83-EE83)/EE83*100)</f>
        <v>0</v>
      </c>
      <c r="EH83" s="1268"/>
      <c r="EI83" s="1268"/>
      <c r="EJ83" s="314">
        <f>IF(EH83=0,0,(EI83-EH83)/EH83*100)</f>
        <v>0</v>
      </c>
      <c r="EK83" s="1268"/>
      <c r="EL83" s="1268"/>
      <c r="EM83" s="314">
        <f>IF(EK83=0,0,(EL83-EK83)/EK83*100)</f>
        <v>0</v>
      </c>
      <c r="EN83" s="1268"/>
      <c r="EO83" s="1268"/>
      <c r="EP83" s="314">
        <f>IF(EN83=0,0,(EO83-EN83)/EN83*100)</f>
        <v>0</v>
      </c>
      <c r="EQ83" s="1268"/>
      <c r="ER83" s="1268"/>
      <c r="ES83" s="314">
        <f>IF(EQ83=0,0,(ER83-EQ83)/EQ83*100)</f>
        <v>0</v>
      </c>
      <c r="ET83" s="1268"/>
      <c r="EU83" s="1268"/>
      <c r="EV83" s="314">
        <f>IF(ET83=0,0,(EU83-ET83)/ET83*100)</f>
        <v>0</v>
      </c>
      <c r="EW83" s="1268"/>
      <c r="EX83" s="1268"/>
      <c r="EY83" s="314">
        <f>IF(EW83=0,0,(EX83-EW83)/EW83*100)</f>
        <v>0</v>
      </c>
      <c r="EZ83" s="1268"/>
      <c r="FA83" s="1268"/>
      <c r="FB83" s="314">
        <f>IF(EZ83=0,0,(FA83-EZ83)/EZ83*100)</f>
        <v>0</v>
      </c>
      <c r="FC83" s="1268"/>
      <c r="FD83" s="1268"/>
      <c r="FE83" s="314">
        <f>IF(FC83=0,0,(FD83-FC83)/FC83*100)</f>
        <v>0</v>
      </c>
      <c r="FF83" s="1268"/>
      <c r="FG83" s="1268"/>
      <c r="FH83" s="314">
        <f>IF(FF83=0,0,(FG83-FF83)/FF83*100)</f>
        <v>0</v>
      </c>
      <c r="FI83" s="1268"/>
      <c r="FJ83" s="1268"/>
      <c r="FK83" s="314">
        <f>IF(FI83=0,0,(FJ83-FI83)/FI83*100)</f>
        <v>0</v>
      </c>
      <c r="FL83" s="1268"/>
      <c r="FM83" s="1268"/>
      <c r="FN83" s="314">
        <f>IF(FL83=0,0,(FM83-FL83)/FL83*100)</f>
        <v>0</v>
      </c>
      <c r="FO83" s="1268"/>
      <c r="FP83" s="1268"/>
      <c r="FQ83" s="314">
        <f>IF(FO83=0,0,(FP83-FO83)/FO83*100)</f>
        <v>0</v>
      </c>
      <c r="FR83" s="1268"/>
      <c r="FS83" s="1268"/>
      <c r="FT83" s="314">
        <f>IF(FR83=0,0,(FS83-FR83)/FR83*100)</f>
        <v>0</v>
      </c>
      <c r="FU83" s="1268"/>
      <c r="FV83" s="1268"/>
      <c r="FW83" s="314">
        <f>IF(FU83=0,0,(FV83-FU83)/FU83*100)</f>
        <v>0</v>
      </c>
      <c r="FX83" s="394"/>
      <c r="FY83" s="394"/>
      <c r="FZ83" s="912" t="s">
        <v>1666</v>
      </c>
      <c r="GA83" s="930"/>
      <c r="GB83" s="930"/>
      <c r="GC83" s="930"/>
      <c r="GD83" s="930"/>
    </row>
    <row r="84" spans="1:186" s="1057" customFormat="1" ht="16.5" customHeight="1">
      <c r="A84" s="1012"/>
      <c r="B84" s="749" t="b">
        <f t="shared" si="26"/>
        <v>1</v>
      </c>
      <c r="C84" s="1012"/>
      <c r="D84" s="1012"/>
      <c r="E84" s="623">
        <v>17.100000000000001</v>
      </c>
      <c r="F84" s="714" t="str">
        <f t="shared" ca="1" si="24"/>
        <v>1</v>
      </c>
      <c r="G84" s="130" t="s">
        <v>1448</v>
      </c>
      <c r="H84" s="394"/>
      <c r="I84" s="394"/>
      <c r="J84" s="394"/>
      <c r="K84" s="394"/>
      <c r="L84" s="394"/>
      <c r="M84" s="394"/>
      <c r="N84" s="394"/>
      <c r="O84" s="394"/>
      <c r="P84" s="394"/>
      <c r="Q84" s="394"/>
      <c r="R84" s="719"/>
      <c r="S84" s="394"/>
      <c r="T84" s="634" t="b">
        <f t="shared" si="25"/>
        <v>1</v>
      </c>
      <c r="U84" s="1012"/>
      <c r="V84" s="1012"/>
      <c r="W84" s="1012"/>
      <c r="X84" s="1405"/>
      <c r="Y84" s="1012"/>
      <c r="Z84" s="1405"/>
      <c r="AA84" s="394"/>
      <c r="AB84" s="223" t="s">
        <v>1449</v>
      </c>
      <c r="AC84" s="110" t="s">
        <v>491</v>
      </c>
      <c r="AD84" s="1268">
        <f ca="1">IF(method_reg="Метод экономически обоснованных расходов",SUMIFS('Калькуляция (6.6)'!AJ$25:AJ$133,'Калькуляция (6.6)'!$F$25:$F$133,$F84,'Калькуляция (6.6)'!$G$25:$G$133,$G84),IF(method_reg="Метод сравнения аналогов",SUMIFS(INDEX('Калькуляция (МСА)'!$AE$25:$BC$82,,MATCH(AD$8,'Калькуляция (МСА)'!$AE$8:$BC$8,0)),'Калькуляция (МСА)'!$F$25:$F$82,$F84,'Калькуляция (МСА)'!$G$25:$G$82,$G84),SUMIFS(INDEX('Калькуляция (5.9)'!$AJ$25:$BC$126,,MATCH(AD$8,'Калькуляция (5.9)'!$AJ$8:$BC$8,0)),'Калькуляция (5.9)'!$F$25:$F$126,$F84,'Калькуляция (5.9)'!$G$25:$G$126,$G84)))</f>
        <v>41.835688400000002</v>
      </c>
      <c r="AE84" s="1268">
        <f ca="1">IF(method_reg="Метод экономически обоснованных расходов",SUMIFS('Калькуляция (6.6)'!AK$25:AK$133,'Калькуляция (6.6)'!$F$25:$F$133,$F84,'Калькуляция (6.6)'!$G$25:$G$133,$G84),IF(method_reg="Метод сравнения аналогов",SUMIFS(INDEX('Калькуляция (МСА)'!$AE$25:$BC$82,,MATCH(AE$8,'Калькуляция (МСА)'!$AE$8:$BC$8,0)),'Калькуляция (МСА)'!$F$25:$F$82,$F84,'Калькуляция (МСА)'!$G$25:$G$82,$G84),SUMIFS(INDEX('Калькуляция (5.9)'!$AJ$25:$BC$126,,MATCH(AE$8,'Калькуляция (5.9)'!$AJ$8:$BC$8,0)),'Калькуляция (5.9)'!$F$25:$F$126,$F84,'Калькуляция (5.9)'!$G$25:$G$126,$G84)))</f>
        <v>23.801000000000002</v>
      </c>
      <c r="AF84" s="314">
        <f ca="1">IF(AD84=0,0,(AE84-AD84)/AD84*100)</f>
        <v>-43.108382076963743</v>
      </c>
      <c r="AG84" s="1260">
        <f ca="1">IF(method_reg="Метод сравнения аналогов",SUMIFS(INDEX('Калькуляция (МСА)'!$AE$25:$BC$82,,MATCH(AG$8,'Калькуляция (МСА)'!$AE$8:$BC$8,0)),'Калькуляция (МСА)'!$F$25:$F$82,$F84,'Калькуляция (МСА)'!$G$25:$G$82,$G84),SUMIFS(INDEX('Калькуляция (5.9)'!$AJ$25:$BC$126,,MATCH(AG$8,'Калькуляция (5.9)'!$AJ$8:$BC$8,0)),'Калькуляция (5.9)'!$F$25:$F$126,$F84,'Калькуляция (5.9)'!$G$25:$G$126,$G84))</f>
        <v>0</v>
      </c>
      <c r="AH84" s="1260">
        <f ca="1">IF(method_reg="Метод сравнения аналогов",SUMIFS(INDEX('Калькуляция (МСА)'!$AE$25:$BC$82,,MATCH(AH$8,'Калькуляция (МСА)'!$AE$8:$BC$8,0)),'Калькуляция (МСА)'!$F$25:$F$82,$F84,'Калькуляция (МСА)'!$G$25:$G$82,$G84),SUMIFS(INDEX('Калькуляция (5.9)'!$AJ$25:$BC$126,,MATCH(AH$8,'Калькуляция (5.9)'!$AJ$8:$BC$8,0)),'Калькуляция (5.9)'!$F$25:$F$126,$F84,'Калькуляция (5.9)'!$G$25:$G$126,$G84))</f>
        <v>0</v>
      </c>
      <c r="AI84" s="314">
        <f ca="1">IF(AG84=0,0,(AH84-AG84)/AG84*100)</f>
        <v>0</v>
      </c>
      <c r="AJ84" s="1260">
        <f ca="1">IF(method_reg="Метод сравнения аналогов",SUMIFS(INDEX('Калькуляция (МСА)'!$AE$25:$BC$82,,MATCH(AJ$8,'Калькуляция (МСА)'!$AE$8:$BC$8,0)),'Калькуляция (МСА)'!$F$25:$F$82,$F84,'Калькуляция (МСА)'!$G$25:$G$82,$G84),SUMIFS(INDEX('Калькуляция (5.9)'!$AJ$25:$BC$126,,MATCH(AJ$8,'Калькуляция (5.9)'!$AJ$8:$BC$8,0)),'Калькуляция (5.9)'!$F$25:$F$126,$F84,'Калькуляция (5.9)'!$G$25:$G$126,$G84))</f>
        <v>0</v>
      </c>
      <c r="AK84" s="1260">
        <f ca="1">IF(method_reg="Метод сравнения аналогов",SUMIFS(INDEX('Калькуляция (МСА)'!$AE$25:$BC$82,,MATCH(AK$8,'Калькуляция (МСА)'!$AE$8:$BC$8,0)),'Калькуляция (МСА)'!$F$25:$F$82,$F84,'Калькуляция (МСА)'!$G$25:$G$82,$G84),SUMIFS(INDEX('Калькуляция (5.9)'!$AJ$25:$BC$126,,MATCH(AK$8,'Калькуляция (5.9)'!$AJ$8:$BC$8,0)),'Калькуляция (5.9)'!$F$25:$F$126,$F84,'Калькуляция (5.9)'!$G$25:$G$126,$G84))</f>
        <v>0</v>
      </c>
      <c r="AL84" s="314">
        <f ca="1">IF(AJ84=0,0,(AK84-AJ84)/AJ84*100)</f>
        <v>0</v>
      </c>
      <c r="AM84" s="1268">
        <f ca="1">IF(method_reg="Метод сравнения аналогов",SUMIFS(INDEX('Калькуляция (МСА)'!$AE$25:$BC$82,,MATCH(AM$8,'Калькуляция (МСА)'!$AE$8:$BC$8,0)),'Калькуляция (МСА)'!$F$25:$F$82,$F84,'Калькуляция (МСА)'!$G$25:$G$82,$G84),SUMIFS(INDEX('Калькуляция (5.9)'!$AJ$25:$BC$126,,MATCH(AM$8,'Калькуляция (5.9)'!$AJ$8:$BC$8,0)),'Калькуляция (5.9)'!$F$25:$F$126,$F84,'Калькуляция (5.9)'!$G$25:$G$126,$G84))</f>
        <v>0</v>
      </c>
      <c r="AN84" s="1268">
        <f ca="1">IF(method_reg="Метод сравнения аналогов",SUMIFS(INDEX('Калькуляция (МСА)'!$AE$25:$BC$82,,MATCH(AN$8,'Калькуляция (МСА)'!$AE$8:$BC$8,0)),'Калькуляция (МСА)'!$F$25:$F$82,$F84,'Калькуляция (МСА)'!$G$25:$G$82,$G84),SUMIFS(INDEX('Калькуляция (5.9)'!$AJ$25:$BC$126,,MATCH(AN$8,'Калькуляция (5.9)'!$AJ$8:$BC$8,0)),'Калькуляция (5.9)'!$F$25:$F$126,$F84,'Калькуляция (5.9)'!$G$25:$G$126,$G84))</f>
        <v>0</v>
      </c>
      <c r="AO84" s="314">
        <f ca="1">IF(AM84=0,0,(AN84-AM84)/AM84*100)</f>
        <v>0</v>
      </c>
      <c r="AP84" s="1268">
        <f ca="1">IF(method_reg="Метод сравнения аналогов",SUMIFS(INDEX('Калькуляция (МСА)'!$AE$25:$BC$82,,MATCH(AP$8,'Калькуляция (МСА)'!$AE$8:$BC$8,0)),'Калькуляция (МСА)'!$F$25:$F$82,$F84,'Калькуляция (МСА)'!$G$25:$G$82,$G84),SUMIFS(INDEX('Калькуляция (5.9)'!$AJ$25:$BC$126,,MATCH(AP$8,'Калькуляция (5.9)'!$AJ$8:$BC$8,0)),'Калькуляция (5.9)'!$F$25:$F$126,$F84,'Калькуляция (5.9)'!$G$25:$G$126,$G84))</f>
        <v>0</v>
      </c>
      <c r="AQ84" s="1268">
        <f ca="1">IF(method_reg="Метод сравнения аналогов",SUMIFS(INDEX('Калькуляция (МСА)'!$AE$25:$BC$82,,MATCH(AQ$8,'Калькуляция (МСА)'!$AE$8:$BC$8,0)),'Калькуляция (МСА)'!$F$25:$F$82,$F84,'Калькуляция (МСА)'!$G$25:$G$82,$G84),SUMIFS(INDEX('Калькуляция (5.9)'!$AJ$25:$BC$126,,MATCH(AQ$8,'Калькуляция (5.9)'!$AJ$8:$BC$8,0)),'Калькуляция (5.9)'!$F$25:$F$126,$F84,'Калькуляция (5.9)'!$G$25:$G$126,$G84))</f>
        <v>0</v>
      </c>
      <c r="AR84" s="314">
        <f ca="1">IF(AP84=0,0,(AQ84-AP84)/AP84*100)</f>
        <v>0</v>
      </c>
      <c r="AS84" s="1268">
        <f ca="1">IF(method_reg="Метод сравнения аналогов",SUMIFS(INDEX('Калькуляция (МСА)'!$AE$25:$BC$82,,MATCH(AS$8,'Калькуляция (МСА)'!$AE$8:$BC$8,0)),'Калькуляция (МСА)'!$F$25:$F$82,$F84,'Калькуляция (МСА)'!$G$25:$G$82,$G84),SUMIFS(INDEX('Калькуляция (5.9)'!$AJ$25:$BC$126,,MATCH(AS$8,'Калькуляция (5.9)'!$AJ$8:$BC$8,0)),'Калькуляция (5.9)'!$F$25:$F$126,$F84,'Калькуляция (5.9)'!$G$25:$G$126,$G84))</f>
        <v>0</v>
      </c>
      <c r="AT84" s="1268">
        <f ca="1">IF(method_reg="Метод сравнения аналогов",SUMIFS(INDEX('Калькуляция (МСА)'!$AE$25:$BC$82,,MATCH(AT$8,'Калькуляция (МСА)'!$AE$8:$BC$8,0)),'Калькуляция (МСА)'!$F$25:$F$82,$F84,'Калькуляция (МСА)'!$G$25:$G$82,$G84),SUMIFS(INDEX('Калькуляция (5.9)'!$AJ$25:$BC$126,,MATCH(AT$8,'Калькуляция (5.9)'!$AJ$8:$BC$8,0)),'Калькуляция (5.9)'!$F$25:$F$126,$F84,'Калькуляция (5.9)'!$G$25:$G$126,$G84))</f>
        <v>0</v>
      </c>
      <c r="AU84" s="314">
        <f ca="1">IF(AS84=0,0,(AT84-AS84)/AS84*100)</f>
        <v>0</v>
      </c>
      <c r="AV84" s="1268">
        <f ca="1">IF(method_reg="Метод сравнения аналогов",SUMIFS(INDEX('Калькуляция (МСА)'!$AE$25:$BC$82,,MATCH(AV$8,'Калькуляция (МСА)'!$AE$8:$BC$8,0)),'Калькуляция (МСА)'!$F$25:$F$82,$F84,'Калькуляция (МСА)'!$G$25:$G$82,$G84),SUMIFS(INDEX('Калькуляция (5.9)'!$AJ$25:$BC$126,,MATCH(AV$8,'Калькуляция (5.9)'!$AJ$8:$BC$8,0)),'Калькуляция (5.9)'!$F$25:$F$126,$F84,'Калькуляция (5.9)'!$G$25:$G$126,$G84))</f>
        <v>0</v>
      </c>
      <c r="AW84" s="1268">
        <f ca="1">IF(method_reg="Метод сравнения аналогов",SUMIFS(INDEX('Калькуляция (МСА)'!$AE$25:$BC$82,,MATCH(AW$8,'Калькуляция (МСА)'!$AE$8:$BC$8,0)),'Калькуляция (МСА)'!$F$25:$F$82,$F84,'Калькуляция (МСА)'!$G$25:$G$82,$G84),SUMIFS(INDEX('Калькуляция (5.9)'!$AJ$25:$BC$126,,MATCH(AW$8,'Калькуляция (5.9)'!$AJ$8:$BC$8,0)),'Калькуляция (5.9)'!$F$25:$F$126,$F84,'Калькуляция (5.9)'!$G$25:$G$126,$G84))</f>
        <v>0</v>
      </c>
      <c r="AX84" s="314">
        <f ca="1">IF(AV84=0,0,(AW84-AV84)/AV84*100)</f>
        <v>0</v>
      </c>
      <c r="AY84" s="1268">
        <f ca="1">IF(method_reg="Метод сравнения аналогов",SUMIFS(INDEX('Калькуляция (МСА)'!$AE$25:$BC$82,,MATCH(AY$8,'Калькуляция (МСА)'!$AE$8:$BC$8,0)),'Калькуляция (МСА)'!$F$25:$F$82,$F84,'Калькуляция (МСА)'!$G$25:$G$82,$G84),SUMIFS(INDEX('Калькуляция (5.9)'!$AJ$25:$BC$126,,MATCH(AY$8,'Калькуляция (5.9)'!$AJ$8:$BC$8,0)),'Калькуляция (5.9)'!$F$25:$F$126,$F84,'Калькуляция (5.9)'!$G$25:$G$126,$G84))</f>
        <v>0</v>
      </c>
      <c r="AZ84" s="1268">
        <f ca="1">IF(method_reg="Метод сравнения аналогов",SUMIFS(INDEX('Калькуляция (МСА)'!$AE$25:$BC$82,,MATCH(AZ$8,'Калькуляция (МСА)'!$AE$8:$BC$8,0)),'Калькуляция (МСА)'!$F$25:$F$82,$F84,'Калькуляция (МСА)'!$G$25:$G$82,$G84),SUMIFS(INDEX('Калькуляция (5.9)'!$AJ$25:$BC$126,,MATCH(AZ$8,'Калькуляция (5.9)'!$AJ$8:$BC$8,0)),'Калькуляция (5.9)'!$F$25:$F$126,$F84,'Калькуляция (5.9)'!$G$25:$G$126,$G84))</f>
        <v>0</v>
      </c>
      <c r="BA84" s="314">
        <f ca="1">IF(AY84=0,0,(AZ84-AY84)/AY84*100)</f>
        <v>0</v>
      </c>
      <c r="BB84" s="1268">
        <f ca="1">IF(method_reg="Метод сравнения аналогов",SUMIFS(INDEX('Калькуляция (МСА)'!$AE$25:$BC$82,,MATCH(BB$8,'Калькуляция (МСА)'!$AE$8:$BC$8,0)),'Калькуляция (МСА)'!$F$25:$F$82,$F84,'Калькуляция (МСА)'!$G$25:$G$82,$G84),SUMIFS(INDEX('Калькуляция (5.9)'!$AJ$25:$BC$126,,MATCH(BB$8,'Калькуляция (5.9)'!$AJ$8:$BC$8,0)),'Калькуляция (5.9)'!$F$25:$F$126,$F84,'Калькуляция (5.9)'!$G$25:$G$126,$G84))</f>
        <v>0</v>
      </c>
      <c r="BC84" s="1268">
        <f ca="1">IF(method_reg="Метод сравнения аналогов",SUMIFS(INDEX('Калькуляция (МСА)'!$AE$25:$BC$82,,MATCH(BC$8,'Калькуляция (МСА)'!$AE$8:$BC$8,0)),'Калькуляция (МСА)'!$F$25:$F$82,$F84,'Калькуляция (МСА)'!$G$25:$G$82,$G84),SUMIFS(INDEX('Калькуляция (5.9)'!$AJ$25:$BC$126,,MATCH(BC$8,'Калькуляция (5.9)'!$AJ$8:$BC$8,0)),'Калькуляция (5.9)'!$F$25:$F$126,$F84,'Калькуляция (5.9)'!$G$25:$G$126,$G84))</f>
        <v>0</v>
      </c>
      <c r="BD84" s="314">
        <f ca="1">IF(BB84=0,0,(BC84-BB84)/BB84*100)</f>
        <v>0</v>
      </c>
      <c r="BE84" s="1268">
        <f ca="1">IF(method_reg="Метод сравнения аналогов",SUMIFS(INDEX('Калькуляция (МСА)'!$AE$25:$BC$82,,MATCH(BE$8,'Калькуляция (МСА)'!$AE$8:$BC$8,0)),'Калькуляция (МСА)'!$F$25:$F$82,$F84,'Калькуляция (МСА)'!$G$25:$G$82,$G84),SUMIFS(INDEX('Калькуляция (5.9)'!$AJ$25:$BC$126,,MATCH(BE$8,'Калькуляция (5.9)'!$AJ$8:$BC$8,0)),'Калькуляция (5.9)'!$F$25:$F$126,$F84,'Калькуляция (5.9)'!$G$25:$G$126,$G84))</f>
        <v>0</v>
      </c>
      <c r="BF84" s="1268">
        <f ca="1">IF(method_reg="Метод сравнения аналогов",SUMIFS(INDEX('Калькуляция (МСА)'!$AE$25:$BC$82,,MATCH(BF$8,'Калькуляция (МСА)'!$AE$8:$BC$8,0)),'Калькуляция (МСА)'!$F$25:$F$82,$F84,'Калькуляция (МСА)'!$G$25:$G$82,$G84),SUMIFS(INDEX('Калькуляция (5.9)'!$AJ$25:$BC$126,,MATCH(BF$8,'Калькуляция (5.9)'!$AJ$8:$BC$8,0)),'Калькуляция (5.9)'!$F$25:$F$126,$F84,'Калькуляция (5.9)'!$G$25:$G$126,$G84))</f>
        <v>0</v>
      </c>
      <c r="BG84" s="314">
        <f ca="1">IF(BE84=0,0,(BF84-BE84)/BE84*100)</f>
        <v>0</v>
      </c>
      <c r="BH84" s="1268"/>
      <c r="BI84" s="1268"/>
      <c r="BJ84" s="314">
        <f>IF(BH84=0,0,(BI84-BH84)/BH84*100)</f>
        <v>0</v>
      </c>
      <c r="BK84" s="1268"/>
      <c r="BL84" s="1268"/>
      <c r="BM84" s="314">
        <f>IF(BK84=0,0,(BL84-BK84)/BK84*100)</f>
        <v>0</v>
      </c>
      <c r="BN84" s="1268"/>
      <c r="BO84" s="1268"/>
      <c r="BP84" s="314">
        <f>IF(BN84=0,0,(BO84-BN84)/BN84*100)</f>
        <v>0</v>
      </c>
      <c r="BQ84" s="1268"/>
      <c r="BR84" s="1268"/>
      <c r="BS84" s="314">
        <f>IF(BQ84=0,0,(BR84-BQ84)/BQ84*100)</f>
        <v>0</v>
      </c>
      <c r="BT84" s="1268"/>
      <c r="BU84" s="1268"/>
      <c r="BV84" s="314">
        <f>IF(BT84=0,0,(BU84-BT84)/BT84*100)</f>
        <v>0</v>
      </c>
      <c r="BW84" s="1268"/>
      <c r="BX84" s="1268"/>
      <c r="BY84" s="314">
        <f>IF(BW84=0,0,(BX84-BW84)/BW84*100)</f>
        <v>0</v>
      </c>
      <c r="BZ84" s="1268"/>
      <c r="CA84" s="1268"/>
      <c r="CB84" s="314">
        <f>IF(BZ84=0,0,(CA84-BZ84)/BZ84*100)</f>
        <v>0</v>
      </c>
      <c r="CC84" s="1268"/>
      <c r="CD84" s="1268"/>
      <c r="CE84" s="314">
        <f>IF(CC84=0,0,(CD84-CC84)/CC84*100)</f>
        <v>0</v>
      </c>
      <c r="CF84" s="1268"/>
      <c r="CG84" s="1268"/>
      <c r="CH84" s="314">
        <f>IF(CF84=0,0,(CG84-CF84)/CF84*100)</f>
        <v>0</v>
      </c>
      <c r="CI84" s="1268"/>
      <c r="CJ84" s="1268"/>
      <c r="CK84" s="314">
        <f>IF(CI84=0,0,(CJ84-CI84)/CI84*100)</f>
        <v>0</v>
      </c>
      <c r="CL84" s="1268"/>
      <c r="CM84" s="1268"/>
      <c r="CN84" s="314">
        <f>IF(CL84=0,0,(CM84-CL84)/CL84*100)</f>
        <v>0</v>
      </c>
      <c r="CO84" s="1268"/>
      <c r="CP84" s="1268"/>
      <c r="CQ84" s="314">
        <f>IF(CO84=0,0,(CP84-CO84)/CO84*100)</f>
        <v>0</v>
      </c>
      <c r="CR84" s="1268"/>
      <c r="CS84" s="1268"/>
      <c r="CT84" s="314">
        <f>IF(CR84=0,0,(CS84-CR84)/CR84*100)</f>
        <v>0</v>
      </c>
      <c r="CU84" s="1268"/>
      <c r="CV84" s="1268"/>
      <c r="CW84" s="314">
        <f>IF(CU84=0,0,(CV84-CU84)/CU84*100)</f>
        <v>0</v>
      </c>
      <c r="CX84" s="1268"/>
      <c r="CY84" s="1268"/>
      <c r="CZ84" s="314">
        <f>IF(CX84=0,0,(CY84-CX84)/CX84*100)</f>
        <v>0</v>
      </c>
      <c r="DA84" s="1268"/>
      <c r="DB84" s="1268"/>
      <c r="DC84" s="314">
        <f>IF(DA84=0,0,(DB84-DA84)/DA84*100)</f>
        <v>0</v>
      </c>
      <c r="DD84" s="1268"/>
      <c r="DE84" s="1268"/>
      <c r="DF84" s="314">
        <f>IF(DD84=0,0,(DE84-DD84)/DD84*100)</f>
        <v>0</v>
      </c>
      <c r="DG84" s="1268"/>
      <c r="DH84" s="1268"/>
      <c r="DI84" s="314">
        <f>IF(DG84=0,0,(DH84-DG84)/DG84*100)</f>
        <v>0</v>
      </c>
      <c r="DJ84" s="1268"/>
      <c r="DK84" s="1268"/>
      <c r="DL84" s="314">
        <f>IF(DJ84=0,0,(DK84-DJ84)/DJ84*100)</f>
        <v>0</v>
      </c>
      <c r="DM84" s="1268"/>
      <c r="DN84" s="1268"/>
      <c r="DO84" s="314">
        <f>IF(DM84=0,0,(DN84-DM84)/DM84*100)</f>
        <v>0</v>
      </c>
      <c r="DP84" s="1268"/>
      <c r="DQ84" s="1268"/>
      <c r="DR84" s="314">
        <f>IF(DP84=0,0,(DQ84-DP84)/DP84*100)</f>
        <v>0</v>
      </c>
      <c r="DS84" s="1268"/>
      <c r="DT84" s="1268"/>
      <c r="DU84" s="314">
        <f>IF(DS84=0,0,(DT84-DS84)/DS84*100)</f>
        <v>0</v>
      </c>
      <c r="DV84" s="1268"/>
      <c r="DW84" s="1268"/>
      <c r="DX84" s="314">
        <f>IF(DV84=0,0,(DW84-DV84)/DV84*100)</f>
        <v>0</v>
      </c>
      <c r="DY84" s="1268"/>
      <c r="DZ84" s="1268"/>
      <c r="EA84" s="314">
        <f>IF(DY84=0,0,(DZ84-DY84)/DY84*100)</f>
        <v>0</v>
      </c>
      <c r="EB84" s="1268"/>
      <c r="EC84" s="1268"/>
      <c r="ED84" s="314">
        <f>IF(EB84=0,0,(EC84-EB84)/EB84*100)</f>
        <v>0</v>
      </c>
      <c r="EE84" s="1268"/>
      <c r="EF84" s="1268"/>
      <c r="EG84" s="314">
        <f>IF(EE84=0,0,(EF84-EE84)/EE84*100)</f>
        <v>0</v>
      </c>
      <c r="EH84" s="1268"/>
      <c r="EI84" s="1268"/>
      <c r="EJ84" s="314">
        <f>IF(EH84=0,0,(EI84-EH84)/EH84*100)</f>
        <v>0</v>
      </c>
      <c r="EK84" s="1268"/>
      <c r="EL84" s="1268"/>
      <c r="EM84" s="314">
        <f>IF(EK84=0,0,(EL84-EK84)/EK84*100)</f>
        <v>0</v>
      </c>
      <c r="EN84" s="1268"/>
      <c r="EO84" s="1268"/>
      <c r="EP84" s="314">
        <f>IF(EN84=0,0,(EO84-EN84)/EN84*100)</f>
        <v>0</v>
      </c>
      <c r="EQ84" s="1268"/>
      <c r="ER84" s="1268"/>
      <c r="ES84" s="314">
        <f>IF(EQ84=0,0,(ER84-EQ84)/EQ84*100)</f>
        <v>0</v>
      </c>
      <c r="ET84" s="1268"/>
      <c r="EU84" s="1268"/>
      <c r="EV84" s="314">
        <f>IF(ET84=0,0,(EU84-ET84)/ET84*100)</f>
        <v>0</v>
      </c>
      <c r="EW84" s="1268"/>
      <c r="EX84" s="1268"/>
      <c r="EY84" s="314">
        <f>IF(EW84=0,0,(EX84-EW84)/EW84*100)</f>
        <v>0</v>
      </c>
      <c r="EZ84" s="1268"/>
      <c r="FA84" s="1268"/>
      <c r="FB84" s="314">
        <f>IF(EZ84=0,0,(FA84-EZ84)/EZ84*100)</f>
        <v>0</v>
      </c>
      <c r="FC84" s="1268"/>
      <c r="FD84" s="1268"/>
      <c r="FE84" s="314">
        <f>IF(FC84=0,0,(FD84-FC84)/FC84*100)</f>
        <v>0</v>
      </c>
      <c r="FF84" s="1268"/>
      <c r="FG84" s="1268"/>
      <c r="FH84" s="314">
        <f>IF(FF84=0,0,(FG84-FF84)/FF84*100)</f>
        <v>0</v>
      </c>
      <c r="FI84" s="1268"/>
      <c r="FJ84" s="1268"/>
      <c r="FK84" s="314">
        <f>IF(FI84=0,0,(FJ84-FI84)/FI84*100)</f>
        <v>0</v>
      </c>
      <c r="FL84" s="1268"/>
      <c r="FM84" s="1268"/>
      <c r="FN84" s="314">
        <f>IF(FL84=0,0,(FM84-FL84)/FL84*100)</f>
        <v>0</v>
      </c>
      <c r="FO84" s="1268"/>
      <c r="FP84" s="1268"/>
      <c r="FQ84" s="314">
        <f>IF(FO84=0,0,(FP84-FO84)/FO84*100)</f>
        <v>0</v>
      </c>
      <c r="FR84" s="1268"/>
      <c r="FS84" s="1268"/>
      <c r="FT84" s="314">
        <f>IF(FR84=0,0,(FS84-FR84)/FR84*100)</f>
        <v>0</v>
      </c>
      <c r="FU84" s="1268"/>
      <c r="FV84" s="1268"/>
      <c r="FW84" s="314">
        <f>IF(FU84=0,0,(FV84-FU84)/FU84*100)</f>
        <v>0</v>
      </c>
      <c r="FX84" s="394"/>
      <c r="FY84" s="394"/>
      <c r="FZ84" s="912" t="s">
        <v>1667</v>
      </c>
      <c r="GA84" s="930"/>
      <c r="GB84" s="930"/>
      <c r="GC84" s="930"/>
      <c r="GD84" s="930"/>
    </row>
    <row r="85" spans="1:186" s="1269" customFormat="1" ht="16.5" customHeight="1">
      <c r="A85" s="283"/>
      <c r="B85" s="749" t="b">
        <f t="shared" si="26"/>
        <v>1</v>
      </c>
      <c r="C85" s="283"/>
      <c r="D85" s="283"/>
      <c r="E85" s="623">
        <v>17.100000000000001</v>
      </c>
      <c r="F85" s="714" t="str">
        <f t="shared" ca="1" si="24"/>
        <v>1</v>
      </c>
      <c r="G85" s="283"/>
      <c r="H85" s="150" t="s">
        <v>391</v>
      </c>
      <c r="I85" s="150" t="s">
        <v>1668</v>
      </c>
      <c r="J85" s="283"/>
      <c r="K85" s="283"/>
      <c r="L85" s="283"/>
      <c r="M85" s="283"/>
      <c r="N85" s="283"/>
      <c r="O85" s="283"/>
      <c r="P85" s="283"/>
      <c r="Q85" s="283"/>
      <c r="R85" s="283"/>
      <c r="S85" s="283"/>
      <c r="T85" s="634" t="b">
        <f t="shared" si="25"/>
        <v>1</v>
      </c>
      <c r="U85" s="283"/>
      <c r="V85" s="283"/>
      <c r="W85" s="283"/>
      <c r="X85" s="1544"/>
      <c r="Y85" s="283"/>
      <c r="Z85" s="1544"/>
      <c r="AA85" s="283"/>
      <c r="AB85" s="284" t="s">
        <v>1669</v>
      </c>
      <c r="AC85" s="285" t="s">
        <v>1446</v>
      </c>
      <c r="AD85" s="1266">
        <f ca="1">IF(tax_system="ОСНО",AD79*Сценарии!AE$26,AD79)</f>
        <v>68.435999999999993</v>
      </c>
      <c r="AE85" s="1266">
        <f ca="1">IF(tax_system="ОСНО",AE79*Сценарии!AO$26,AE79)</f>
        <v>69.576599999999999</v>
      </c>
      <c r="AF85" s="286">
        <f ca="1">IF(AD85=0,0,(AE85-AD85)/AD85*100)</f>
        <v>1.6666666666666761</v>
      </c>
      <c r="AG85" s="1259">
        <f ca="1">IF(tax_system="ОСНО",AG79*Сценарии!AF$26,AG79)</f>
        <v>0</v>
      </c>
      <c r="AH85" s="1259">
        <f ca="1">IF(tax_system="ОСНО",AH79*Сценарии!AP$26,AH79)</f>
        <v>0</v>
      </c>
      <c r="AI85" s="286">
        <f ca="1">IF(AG85=0,0,(AH85-AG85)/AG85*100)</f>
        <v>0</v>
      </c>
      <c r="AJ85" s="1259">
        <f ca="1">IF(tax_system="ОСНО",AJ79*Сценарии!AG$26,AJ79)</f>
        <v>0</v>
      </c>
      <c r="AK85" s="1259">
        <f ca="1">IF(tax_system="ОСНО",AK79*Сценарии!AQ$26,AK79)</f>
        <v>0</v>
      </c>
      <c r="AL85" s="286">
        <f ca="1">IF(AJ85=0,0,(AK85-AJ85)/AJ85*100)</f>
        <v>0</v>
      </c>
      <c r="AM85" s="1266">
        <f ca="1">IF(tax_system="ОСНО",AM79*Сценарии!AH$26,AM79)</f>
        <v>0</v>
      </c>
      <c r="AN85" s="1266">
        <f ca="1">IF(tax_system="ОСНО",AN79*Сценарии!AR$26,AN79)</f>
        <v>0</v>
      </c>
      <c r="AO85" s="286">
        <f ca="1">IF(AM85=0,0,(AN85-AM85)/AM85*100)</f>
        <v>0</v>
      </c>
      <c r="AP85" s="1266">
        <f ca="1">IF(tax_system="ОСНО",AP79*Сценарии!AI$26,AP79)</f>
        <v>0</v>
      </c>
      <c r="AQ85" s="1266">
        <f ca="1">IF(tax_system="ОСНО",AQ79*Сценарии!AS$26,AQ79)</f>
        <v>0</v>
      </c>
      <c r="AR85" s="286">
        <f ca="1">IF(AP85=0,0,(AQ85-AP85)/AP85*100)</f>
        <v>0</v>
      </c>
      <c r="AS85" s="1266">
        <f ca="1">IF(tax_system="ОСНО",AS79*Сценарии!AJ$26,AS79)</f>
        <v>0</v>
      </c>
      <c r="AT85" s="1266">
        <f ca="1">IF(tax_system="ОСНО",AT79*Сценарии!AT$26,AT79)</f>
        <v>0</v>
      </c>
      <c r="AU85" s="286">
        <f ca="1">IF(AS85=0,0,(AT85-AS85)/AS85*100)</f>
        <v>0</v>
      </c>
      <c r="AV85" s="1266">
        <f ca="1">IF(tax_system="ОСНО",AV79*Сценарии!AK$26,AV79)</f>
        <v>0</v>
      </c>
      <c r="AW85" s="1266">
        <f ca="1">IF(tax_system="ОСНО",AW79*Сценарии!AU$26,AW79)</f>
        <v>0</v>
      </c>
      <c r="AX85" s="286">
        <f ca="1">IF(AV85=0,0,(AW85-AV85)/AV85*100)</f>
        <v>0</v>
      </c>
      <c r="AY85" s="1266">
        <f ca="1">IF(tax_system="ОСНО",AY79*Сценарии!AL$26,AY79)</f>
        <v>0</v>
      </c>
      <c r="AZ85" s="1266">
        <f ca="1">IF(tax_system="ОСНО",AZ79*Сценарии!AV$26,AZ79)</f>
        <v>0</v>
      </c>
      <c r="BA85" s="286">
        <f ca="1">IF(AY85=0,0,(AZ85-AY85)/AY85*100)</f>
        <v>0</v>
      </c>
      <c r="BB85" s="1266">
        <f ca="1">IF(tax_system="ОСНО",BB79*Сценарии!AM$26,BB79)</f>
        <v>0</v>
      </c>
      <c r="BC85" s="1266">
        <f ca="1">IF(tax_system="ОСНО",BC79*Сценарии!AW$26,BC79)</f>
        <v>0</v>
      </c>
      <c r="BD85" s="286">
        <f ca="1">IF(BB85=0,0,(BC85-BB85)/BB85*100)</f>
        <v>0</v>
      </c>
      <c r="BE85" s="1266">
        <f ca="1">IF(tax_system="ОСНО",BE79*Сценарии!AN$26,BE79)</f>
        <v>0</v>
      </c>
      <c r="BF85" s="1266">
        <f ca="1">IF(tax_system="ОСНО",BF79*Сценарии!AX$26,BF79)</f>
        <v>0</v>
      </c>
      <c r="BG85" s="286">
        <f ca="1">IF(BE85=0,0,(BF85-BE85)/BE85*100)</f>
        <v>0</v>
      </c>
      <c r="BH85" s="1266"/>
      <c r="BI85" s="1266"/>
      <c r="BJ85" s="286">
        <f>IF(BH85=0,0,(BI85-BH85)/BH85*100)</f>
        <v>0</v>
      </c>
      <c r="BK85" s="1266"/>
      <c r="BL85" s="1266"/>
      <c r="BM85" s="286">
        <f>IF(BK85=0,0,(BL85-BK85)/BK85*100)</f>
        <v>0</v>
      </c>
      <c r="BN85" s="1266"/>
      <c r="BO85" s="1266"/>
      <c r="BP85" s="286">
        <f>IF(BN85=0,0,(BO85-BN85)/BN85*100)</f>
        <v>0</v>
      </c>
      <c r="BQ85" s="1266"/>
      <c r="BR85" s="1266"/>
      <c r="BS85" s="286">
        <f>IF(BQ85=0,0,(BR85-BQ85)/BQ85*100)</f>
        <v>0</v>
      </c>
      <c r="BT85" s="1266"/>
      <c r="BU85" s="1266"/>
      <c r="BV85" s="286">
        <f>IF(BT85=0,0,(BU85-BT85)/BT85*100)</f>
        <v>0</v>
      </c>
      <c r="BW85" s="1266"/>
      <c r="BX85" s="1266"/>
      <c r="BY85" s="286">
        <f>IF(BW85=0,0,(BX85-BW85)/BW85*100)</f>
        <v>0</v>
      </c>
      <c r="BZ85" s="1266"/>
      <c r="CA85" s="1266"/>
      <c r="CB85" s="286">
        <f>IF(BZ85=0,0,(CA85-BZ85)/BZ85*100)</f>
        <v>0</v>
      </c>
      <c r="CC85" s="1266"/>
      <c r="CD85" s="1266"/>
      <c r="CE85" s="286">
        <f>IF(CC85=0,0,(CD85-CC85)/CC85*100)</f>
        <v>0</v>
      </c>
      <c r="CF85" s="1266"/>
      <c r="CG85" s="1266"/>
      <c r="CH85" s="286">
        <f>IF(CF85=0,0,(CG85-CF85)/CF85*100)</f>
        <v>0</v>
      </c>
      <c r="CI85" s="1266"/>
      <c r="CJ85" s="1266"/>
      <c r="CK85" s="286">
        <f>IF(CI85=0,0,(CJ85-CI85)/CI85*100)</f>
        <v>0</v>
      </c>
      <c r="CL85" s="1266"/>
      <c r="CM85" s="1266"/>
      <c r="CN85" s="286">
        <f>IF(CL85=0,0,(CM85-CL85)/CL85*100)</f>
        <v>0</v>
      </c>
      <c r="CO85" s="1266"/>
      <c r="CP85" s="1266"/>
      <c r="CQ85" s="286">
        <f>IF(CO85=0,0,(CP85-CO85)/CO85*100)</f>
        <v>0</v>
      </c>
      <c r="CR85" s="1266"/>
      <c r="CS85" s="1266"/>
      <c r="CT85" s="286">
        <f>IF(CR85=0,0,(CS85-CR85)/CR85*100)</f>
        <v>0</v>
      </c>
      <c r="CU85" s="1266"/>
      <c r="CV85" s="1266"/>
      <c r="CW85" s="286">
        <f>IF(CU85=0,0,(CV85-CU85)/CU85*100)</f>
        <v>0</v>
      </c>
      <c r="CX85" s="1266"/>
      <c r="CY85" s="1266"/>
      <c r="CZ85" s="286">
        <f>IF(CX85=0,0,(CY85-CX85)/CX85*100)</f>
        <v>0</v>
      </c>
      <c r="DA85" s="1266"/>
      <c r="DB85" s="1266"/>
      <c r="DC85" s="286">
        <f>IF(DA85=0,0,(DB85-DA85)/DA85*100)</f>
        <v>0</v>
      </c>
      <c r="DD85" s="1266"/>
      <c r="DE85" s="1266"/>
      <c r="DF85" s="286">
        <f>IF(DD85=0,0,(DE85-DD85)/DD85*100)</f>
        <v>0</v>
      </c>
      <c r="DG85" s="1266"/>
      <c r="DH85" s="1266"/>
      <c r="DI85" s="286">
        <f>IF(DG85=0,0,(DH85-DG85)/DG85*100)</f>
        <v>0</v>
      </c>
      <c r="DJ85" s="1266"/>
      <c r="DK85" s="1266"/>
      <c r="DL85" s="286">
        <f>IF(DJ85=0,0,(DK85-DJ85)/DJ85*100)</f>
        <v>0</v>
      </c>
      <c r="DM85" s="1266"/>
      <c r="DN85" s="1266"/>
      <c r="DO85" s="286">
        <f>IF(DM85=0,0,(DN85-DM85)/DM85*100)</f>
        <v>0</v>
      </c>
      <c r="DP85" s="1266"/>
      <c r="DQ85" s="1266"/>
      <c r="DR85" s="286">
        <f>IF(DP85=0,0,(DQ85-DP85)/DP85*100)</f>
        <v>0</v>
      </c>
      <c r="DS85" s="1266"/>
      <c r="DT85" s="1266"/>
      <c r="DU85" s="286">
        <f>IF(DS85=0,0,(DT85-DS85)/DS85*100)</f>
        <v>0</v>
      </c>
      <c r="DV85" s="1266"/>
      <c r="DW85" s="1266"/>
      <c r="DX85" s="286">
        <f>IF(DV85=0,0,(DW85-DV85)/DV85*100)</f>
        <v>0</v>
      </c>
      <c r="DY85" s="1266"/>
      <c r="DZ85" s="1266"/>
      <c r="EA85" s="286">
        <f>IF(DY85=0,0,(DZ85-DY85)/DY85*100)</f>
        <v>0</v>
      </c>
      <c r="EB85" s="1266"/>
      <c r="EC85" s="1266"/>
      <c r="ED85" s="286">
        <f>IF(EB85=0,0,(EC85-EB85)/EB85*100)</f>
        <v>0</v>
      </c>
      <c r="EE85" s="1266"/>
      <c r="EF85" s="1266"/>
      <c r="EG85" s="286">
        <f>IF(EE85=0,0,(EF85-EE85)/EE85*100)</f>
        <v>0</v>
      </c>
      <c r="EH85" s="1266"/>
      <c r="EI85" s="1266"/>
      <c r="EJ85" s="286">
        <f>IF(EH85=0,0,(EI85-EH85)/EH85*100)</f>
        <v>0</v>
      </c>
      <c r="EK85" s="1266"/>
      <c r="EL85" s="1266"/>
      <c r="EM85" s="286">
        <f>IF(EK85=0,0,(EL85-EK85)/EK85*100)</f>
        <v>0</v>
      </c>
      <c r="EN85" s="1266"/>
      <c r="EO85" s="1266"/>
      <c r="EP85" s="286">
        <f>IF(EN85=0,0,(EO85-EN85)/EN85*100)</f>
        <v>0</v>
      </c>
      <c r="EQ85" s="1266"/>
      <c r="ER85" s="1266"/>
      <c r="ES85" s="286">
        <f>IF(EQ85=0,0,(ER85-EQ85)/EQ85*100)</f>
        <v>0</v>
      </c>
      <c r="ET85" s="1266"/>
      <c r="EU85" s="1266"/>
      <c r="EV85" s="286">
        <f>IF(ET85=0,0,(EU85-ET85)/ET85*100)</f>
        <v>0</v>
      </c>
      <c r="EW85" s="1266"/>
      <c r="EX85" s="1266"/>
      <c r="EY85" s="286">
        <f>IF(EW85=0,0,(EX85-EW85)/EW85*100)</f>
        <v>0</v>
      </c>
      <c r="EZ85" s="1266"/>
      <c r="FA85" s="1266"/>
      <c r="FB85" s="286">
        <f>IF(EZ85=0,0,(FA85-EZ85)/EZ85*100)</f>
        <v>0</v>
      </c>
      <c r="FC85" s="1266"/>
      <c r="FD85" s="1266"/>
      <c r="FE85" s="286">
        <f>IF(FC85=0,0,(FD85-FC85)/FC85*100)</f>
        <v>0</v>
      </c>
      <c r="FF85" s="1266"/>
      <c r="FG85" s="1266"/>
      <c r="FH85" s="286">
        <f>IF(FF85=0,0,(FG85-FF85)/FF85*100)</f>
        <v>0</v>
      </c>
      <c r="FI85" s="1266"/>
      <c r="FJ85" s="1266"/>
      <c r="FK85" s="286">
        <f>IF(FI85=0,0,(FJ85-FI85)/FI85*100)</f>
        <v>0</v>
      </c>
      <c r="FL85" s="1266"/>
      <c r="FM85" s="1266"/>
      <c r="FN85" s="286">
        <f>IF(FL85=0,0,(FM85-FL85)/FL85*100)</f>
        <v>0</v>
      </c>
      <c r="FO85" s="1266"/>
      <c r="FP85" s="1266"/>
      <c r="FQ85" s="286">
        <f>IF(FO85=0,0,(FP85-FO85)/FO85*100)</f>
        <v>0</v>
      </c>
      <c r="FR85" s="1266"/>
      <c r="FS85" s="1266"/>
      <c r="FT85" s="286">
        <f>IF(FR85=0,0,(FS85-FR85)/FR85*100)</f>
        <v>0</v>
      </c>
      <c r="FU85" s="1266"/>
      <c r="FV85" s="1266"/>
      <c r="FW85" s="286">
        <f>IF(FU85=0,0,(FV85-FU85)/FU85*100)</f>
        <v>0</v>
      </c>
      <c r="FX85" s="283"/>
      <c r="FY85" s="283"/>
      <c r="FZ85" s="912" t="s">
        <v>1670</v>
      </c>
      <c r="GA85" s="930"/>
      <c r="GB85" s="930"/>
      <c r="GC85" s="930"/>
      <c r="GD85" s="930"/>
    </row>
    <row r="86" spans="1:186" s="1270" customFormat="1" ht="16.5" customHeight="1">
      <c r="A86" s="283"/>
      <c r="B86" s="749" t="b">
        <f t="shared" si="26"/>
        <v>1</v>
      </c>
      <c r="C86" s="283"/>
      <c r="D86" s="283"/>
      <c r="E86" s="623">
        <v>17.100000000000001</v>
      </c>
      <c r="F86" s="714" t="str">
        <f t="shared" ca="1" si="24"/>
        <v>1</v>
      </c>
      <c r="G86" s="283"/>
      <c r="H86" s="150" t="s">
        <v>391</v>
      </c>
      <c r="I86" s="150" t="s">
        <v>1671</v>
      </c>
      <c r="J86" s="283"/>
      <c r="K86" s="283"/>
      <c r="L86" s="283"/>
      <c r="M86" s="283"/>
      <c r="N86" s="283"/>
      <c r="O86" s="283"/>
      <c r="P86" s="283"/>
      <c r="Q86" s="283"/>
      <c r="R86" s="283"/>
      <c r="S86" s="283"/>
      <c r="T86" s="634" t="b">
        <f t="shared" si="25"/>
        <v>1</v>
      </c>
      <c r="U86" s="283"/>
      <c r="V86" s="283"/>
      <c r="W86" s="283"/>
      <c r="X86" s="1544"/>
      <c r="Y86" s="283"/>
      <c r="Z86" s="1544"/>
      <c r="AA86" s="283"/>
      <c r="AB86" s="284" t="s">
        <v>1672</v>
      </c>
      <c r="AC86" s="285" t="s">
        <v>1446</v>
      </c>
      <c r="AD86" s="1266">
        <f ca="1">IF(tax_system="ОСНО",AD80*Сценарии!AE$26,AD80)</f>
        <v>74.847814750967487</v>
      </c>
      <c r="AE86" s="1266">
        <f ca="1">IF(tax_system="ОСНО",AE80*Сценарии!AO$26,AE80)</f>
        <v>77.921417581614207</v>
      </c>
      <c r="AF86" s="286">
        <f ca="1">IF(AD86=0,0,(AE86-AD86)/AD86*100)</f>
        <v>4.1064696957061004</v>
      </c>
      <c r="AG86" s="1259">
        <f ca="1">IF(tax_system="ОСНО",AG80*Сценарии!AF$26,AG80)</f>
        <v>0</v>
      </c>
      <c r="AH86" s="1259">
        <f ca="1">IF(tax_system="ОСНО",AH80*Сценарии!AP$26,AH80)</f>
        <v>0</v>
      </c>
      <c r="AI86" s="286">
        <f ca="1">IF(AG86=0,0,(AH86-AG86)/AG86*100)</f>
        <v>0</v>
      </c>
      <c r="AJ86" s="1259">
        <f ca="1">IF(tax_system="ОСНО",AJ80*Сценарии!AG$26,AJ80)</f>
        <v>0</v>
      </c>
      <c r="AK86" s="1259">
        <f ca="1">IF(tax_system="ОСНО",AK80*Сценарии!AQ$26,AK80)</f>
        <v>0</v>
      </c>
      <c r="AL86" s="286">
        <f ca="1">IF(AJ86=0,0,(AK86-AJ86)/AJ86*100)</f>
        <v>0</v>
      </c>
      <c r="AM86" s="1266">
        <f ca="1">IF(tax_system="ОСНО",AM80*Сценарии!AH$26,AM80)</f>
        <v>0</v>
      </c>
      <c r="AN86" s="1266">
        <f ca="1">IF(tax_system="ОСНО",AN80*Сценарии!AR$26,AN80)</f>
        <v>0</v>
      </c>
      <c r="AO86" s="286">
        <f ca="1">IF(AM86=0,0,(AN86-AM86)/AM86*100)</f>
        <v>0</v>
      </c>
      <c r="AP86" s="1266">
        <f ca="1">IF(tax_system="ОСНО",AP80*Сценарии!AI$26,AP80)</f>
        <v>0</v>
      </c>
      <c r="AQ86" s="1266">
        <f ca="1">IF(tax_system="ОСНО",AQ80*Сценарии!AS$26,AQ80)</f>
        <v>0</v>
      </c>
      <c r="AR86" s="286">
        <f ca="1">IF(AP86=0,0,(AQ86-AP86)/AP86*100)</f>
        <v>0</v>
      </c>
      <c r="AS86" s="1266">
        <f ca="1">IF(tax_system="ОСНО",AS80*Сценарии!AJ$26,AS80)</f>
        <v>0</v>
      </c>
      <c r="AT86" s="1266">
        <f ca="1">IF(tax_system="ОСНО",AT80*Сценарии!AT$26,AT80)</f>
        <v>0</v>
      </c>
      <c r="AU86" s="286">
        <f ca="1">IF(AS86=0,0,(AT86-AS86)/AS86*100)</f>
        <v>0</v>
      </c>
      <c r="AV86" s="1266">
        <f ca="1">IF(tax_system="ОСНО",AV80*Сценарии!AK$26,AV80)</f>
        <v>0</v>
      </c>
      <c r="AW86" s="1266">
        <f ca="1">IF(tax_system="ОСНО",AW80*Сценарии!AU$26,AW80)</f>
        <v>0</v>
      </c>
      <c r="AX86" s="286">
        <f ca="1">IF(AV86=0,0,(AW86-AV86)/AV86*100)</f>
        <v>0</v>
      </c>
      <c r="AY86" s="1266">
        <f ca="1">IF(tax_system="ОСНО",AY80*Сценарии!AL$26,AY80)</f>
        <v>0</v>
      </c>
      <c r="AZ86" s="1266">
        <f ca="1">IF(tax_system="ОСНО",AZ80*Сценарии!AV$26,AZ80)</f>
        <v>0</v>
      </c>
      <c r="BA86" s="286">
        <f ca="1">IF(AY86=0,0,(AZ86-AY86)/AY86*100)</f>
        <v>0</v>
      </c>
      <c r="BB86" s="1266">
        <f ca="1">IF(tax_system="ОСНО",BB80*Сценарии!AM$26,BB80)</f>
        <v>0</v>
      </c>
      <c r="BC86" s="1266">
        <f ca="1">IF(tax_system="ОСНО",BC80*Сценарии!AW$26,BC80)</f>
        <v>0</v>
      </c>
      <c r="BD86" s="286">
        <f ca="1">IF(BB86=0,0,(BC86-BB86)/BB86*100)</f>
        <v>0</v>
      </c>
      <c r="BE86" s="1266">
        <f ca="1">IF(tax_system="ОСНО",BE80*Сценарии!AN$26,BE80)</f>
        <v>0</v>
      </c>
      <c r="BF86" s="1266">
        <f ca="1">IF(tax_system="ОСНО",BF80*Сценарии!AX$26,BF80)</f>
        <v>0</v>
      </c>
      <c r="BG86" s="286">
        <f ca="1">IF(BE86=0,0,(BF86-BE86)/BE86*100)</f>
        <v>0</v>
      </c>
      <c r="BH86" s="1266"/>
      <c r="BI86" s="1266"/>
      <c r="BJ86" s="286">
        <f>IF(BH86=0,0,(BI86-BH86)/BH86*100)</f>
        <v>0</v>
      </c>
      <c r="BK86" s="1266"/>
      <c r="BL86" s="1266"/>
      <c r="BM86" s="286">
        <f>IF(BK86=0,0,(BL86-BK86)/BK86*100)</f>
        <v>0</v>
      </c>
      <c r="BN86" s="1266"/>
      <c r="BO86" s="1266"/>
      <c r="BP86" s="286">
        <f>IF(BN86=0,0,(BO86-BN86)/BN86*100)</f>
        <v>0</v>
      </c>
      <c r="BQ86" s="1266"/>
      <c r="BR86" s="1266"/>
      <c r="BS86" s="286">
        <f>IF(BQ86=0,0,(BR86-BQ86)/BQ86*100)</f>
        <v>0</v>
      </c>
      <c r="BT86" s="1266"/>
      <c r="BU86" s="1266"/>
      <c r="BV86" s="286">
        <f>IF(BT86=0,0,(BU86-BT86)/BT86*100)</f>
        <v>0</v>
      </c>
      <c r="BW86" s="1266"/>
      <c r="BX86" s="1266"/>
      <c r="BY86" s="286">
        <f>IF(BW86=0,0,(BX86-BW86)/BW86*100)</f>
        <v>0</v>
      </c>
      <c r="BZ86" s="1266"/>
      <c r="CA86" s="1266"/>
      <c r="CB86" s="286">
        <f>IF(BZ86=0,0,(CA86-BZ86)/BZ86*100)</f>
        <v>0</v>
      </c>
      <c r="CC86" s="1266"/>
      <c r="CD86" s="1266"/>
      <c r="CE86" s="286">
        <f>IF(CC86=0,0,(CD86-CC86)/CC86*100)</f>
        <v>0</v>
      </c>
      <c r="CF86" s="1266"/>
      <c r="CG86" s="1266"/>
      <c r="CH86" s="286">
        <f>IF(CF86=0,0,(CG86-CF86)/CF86*100)</f>
        <v>0</v>
      </c>
      <c r="CI86" s="1266"/>
      <c r="CJ86" s="1266"/>
      <c r="CK86" s="286">
        <f>IF(CI86=0,0,(CJ86-CI86)/CI86*100)</f>
        <v>0</v>
      </c>
      <c r="CL86" s="1266"/>
      <c r="CM86" s="1266"/>
      <c r="CN86" s="286">
        <f>IF(CL86=0,0,(CM86-CL86)/CL86*100)</f>
        <v>0</v>
      </c>
      <c r="CO86" s="1266"/>
      <c r="CP86" s="1266"/>
      <c r="CQ86" s="286">
        <f>IF(CO86=0,0,(CP86-CO86)/CO86*100)</f>
        <v>0</v>
      </c>
      <c r="CR86" s="1266"/>
      <c r="CS86" s="1266"/>
      <c r="CT86" s="286">
        <f>IF(CR86=0,0,(CS86-CR86)/CR86*100)</f>
        <v>0</v>
      </c>
      <c r="CU86" s="1266"/>
      <c r="CV86" s="1266"/>
      <c r="CW86" s="286">
        <f>IF(CU86=0,0,(CV86-CU86)/CU86*100)</f>
        <v>0</v>
      </c>
      <c r="CX86" s="1266"/>
      <c r="CY86" s="1266"/>
      <c r="CZ86" s="286">
        <f>IF(CX86=0,0,(CY86-CX86)/CX86*100)</f>
        <v>0</v>
      </c>
      <c r="DA86" s="1266"/>
      <c r="DB86" s="1266"/>
      <c r="DC86" s="286">
        <f>IF(DA86=0,0,(DB86-DA86)/DA86*100)</f>
        <v>0</v>
      </c>
      <c r="DD86" s="1266"/>
      <c r="DE86" s="1266"/>
      <c r="DF86" s="286">
        <f>IF(DD86=0,0,(DE86-DD86)/DD86*100)</f>
        <v>0</v>
      </c>
      <c r="DG86" s="1266"/>
      <c r="DH86" s="1266"/>
      <c r="DI86" s="286">
        <f>IF(DG86=0,0,(DH86-DG86)/DG86*100)</f>
        <v>0</v>
      </c>
      <c r="DJ86" s="1266"/>
      <c r="DK86" s="1266"/>
      <c r="DL86" s="286">
        <f>IF(DJ86=0,0,(DK86-DJ86)/DJ86*100)</f>
        <v>0</v>
      </c>
      <c r="DM86" s="1266"/>
      <c r="DN86" s="1266"/>
      <c r="DO86" s="286">
        <f>IF(DM86=0,0,(DN86-DM86)/DM86*100)</f>
        <v>0</v>
      </c>
      <c r="DP86" s="1266"/>
      <c r="DQ86" s="1266"/>
      <c r="DR86" s="286">
        <f>IF(DP86=0,0,(DQ86-DP86)/DP86*100)</f>
        <v>0</v>
      </c>
      <c r="DS86" s="1266"/>
      <c r="DT86" s="1266"/>
      <c r="DU86" s="286">
        <f>IF(DS86=0,0,(DT86-DS86)/DS86*100)</f>
        <v>0</v>
      </c>
      <c r="DV86" s="1266"/>
      <c r="DW86" s="1266"/>
      <c r="DX86" s="286">
        <f>IF(DV86=0,0,(DW86-DV86)/DV86*100)</f>
        <v>0</v>
      </c>
      <c r="DY86" s="1266"/>
      <c r="DZ86" s="1266"/>
      <c r="EA86" s="286">
        <f>IF(DY86=0,0,(DZ86-DY86)/DY86*100)</f>
        <v>0</v>
      </c>
      <c r="EB86" s="1266"/>
      <c r="EC86" s="1266"/>
      <c r="ED86" s="286">
        <f>IF(EB86=0,0,(EC86-EB86)/EB86*100)</f>
        <v>0</v>
      </c>
      <c r="EE86" s="1266"/>
      <c r="EF86" s="1266"/>
      <c r="EG86" s="286">
        <f>IF(EE86=0,0,(EF86-EE86)/EE86*100)</f>
        <v>0</v>
      </c>
      <c r="EH86" s="1266"/>
      <c r="EI86" s="1266"/>
      <c r="EJ86" s="286">
        <f>IF(EH86=0,0,(EI86-EH86)/EH86*100)</f>
        <v>0</v>
      </c>
      <c r="EK86" s="1266"/>
      <c r="EL86" s="1266"/>
      <c r="EM86" s="286">
        <f>IF(EK86=0,0,(EL86-EK86)/EK86*100)</f>
        <v>0</v>
      </c>
      <c r="EN86" s="1266"/>
      <c r="EO86" s="1266"/>
      <c r="EP86" s="286">
        <f>IF(EN86=0,0,(EO86-EN86)/EN86*100)</f>
        <v>0</v>
      </c>
      <c r="EQ86" s="1266"/>
      <c r="ER86" s="1266"/>
      <c r="ES86" s="286">
        <f>IF(EQ86=0,0,(ER86-EQ86)/EQ86*100)</f>
        <v>0</v>
      </c>
      <c r="ET86" s="1266"/>
      <c r="EU86" s="1266"/>
      <c r="EV86" s="286">
        <f>IF(ET86=0,0,(EU86-ET86)/ET86*100)</f>
        <v>0</v>
      </c>
      <c r="EW86" s="1266"/>
      <c r="EX86" s="1266"/>
      <c r="EY86" s="286">
        <f>IF(EW86=0,0,(EX86-EW86)/EW86*100)</f>
        <v>0</v>
      </c>
      <c r="EZ86" s="1266"/>
      <c r="FA86" s="1266"/>
      <c r="FB86" s="286">
        <f>IF(EZ86=0,0,(FA86-EZ86)/EZ86*100)</f>
        <v>0</v>
      </c>
      <c r="FC86" s="1266"/>
      <c r="FD86" s="1266"/>
      <c r="FE86" s="286">
        <f>IF(FC86=0,0,(FD86-FC86)/FC86*100)</f>
        <v>0</v>
      </c>
      <c r="FF86" s="1266"/>
      <c r="FG86" s="1266"/>
      <c r="FH86" s="286">
        <f>IF(FF86=0,0,(FG86-FF86)/FF86*100)</f>
        <v>0</v>
      </c>
      <c r="FI86" s="1266"/>
      <c r="FJ86" s="1266"/>
      <c r="FK86" s="286">
        <f>IF(FI86=0,0,(FJ86-FI86)/FI86*100)</f>
        <v>0</v>
      </c>
      <c r="FL86" s="1266"/>
      <c r="FM86" s="1266"/>
      <c r="FN86" s="286">
        <f>IF(FL86=0,0,(FM86-FL86)/FL86*100)</f>
        <v>0</v>
      </c>
      <c r="FO86" s="1266"/>
      <c r="FP86" s="1266"/>
      <c r="FQ86" s="286">
        <f>IF(FO86=0,0,(FP86-FO86)/FO86*100)</f>
        <v>0</v>
      </c>
      <c r="FR86" s="1266"/>
      <c r="FS86" s="1266"/>
      <c r="FT86" s="286">
        <f>IF(FR86=0,0,(FS86-FR86)/FR86*100)</f>
        <v>0</v>
      </c>
      <c r="FU86" s="1266"/>
      <c r="FV86" s="1266"/>
      <c r="FW86" s="286">
        <f>IF(FU86=0,0,(FV86-FU86)/FU86*100)</f>
        <v>0</v>
      </c>
      <c r="FX86" s="283"/>
      <c r="FY86" s="283"/>
      <c r="FZ86" s="912" t="s">
        <v>1673</v>
      </c>
      <c r="GA86" s="930"/>
      <c r="GB86" s="930"/>
      <c r="GC86" s="930"/>
      <c r="GD86" s="930"/>
    </row>
    <row r="87" spans="1:186" s="1057" customFormat="1" ht="16.5" customHeight="1">
      <c r="A87" s="1012"/>
      <c r="B87" s="749" t="b">
        <f t="shared" si="26"/>
        <v>1</v>
      </c>
      <c r="C87" s="1012"/>
      <c r="D87" s="1012"/>
      <c r="E87" s="623">
        <v>17.100000000000001</v>
      </c>
      <c r="F87" s="714" t="str">
        <f t="shared" ca="1" si="24"/>
        <v>1</v>
      </c>
      <c r="G87" s="394"/>
      <c r="H87" s="150" t="s">
        <v>394</v>
      </c>
      <c r="I87" s="150" t="s">
        <v>1674</v>
      </c>
      <c r="J87" s="394"/>
      <c r="K87" s="394"/>
      <c r="L87" s="394"/>
      <c r="M87" s="394"/>
      <c r="N87" s="394"/>
      <c r="O87" s="394"/>
      <c r="P87" s="394"/>
      <c r="Q87" s="394"/>
      <c r="R87" s="719"/>
      <c r="S87" s="394"/>
      <c r="T87" s="634" t="b">
        <f t="shared" si="25"/>
        <v>1</v>
      </c>
      <c r="U87" s="1012"/>
      <c r="V87" s="1012"/>
      <c r="W87" s="1012"/>
      <c r="X87" s="1405"/>
      <c r="Y87" s="1012"/>
      <c r="Z87" s="1405"/>
      <c r="AA87" s="394"/>
      <c r="AB87" s="287" t="s">
        <v>1661</v>
      </c>
      <c r="AC87" s="110" t="s">
        <v>388</v>
      </c>
      <c r="AD87" s="791">
        <f ca="1">IF(AD85=0,0,AD86/AD85)</f>
        <v>1.093690670859891</v>
      </c>
      <c r="AE87" s="791">
        <f ca="1">IF(AE85=0,0,AE86/AE85)</f>
        <v>1.1199371280231314</v>
      </c>
      <c r="AF87" s="828"/>
      <c r="AG87" s="791">
        <f ca="1">IF(AG85=0,0,AG86/AG85)</f>
        <v>0</v>
      </c>
      <c r="AH87" s="791">
        <f ca="1">IF(AH85=0,0,AH86/AH85)</f>
        <v>0</v>
      </c>
      <c r="AI87" s="828"/>
      <c r="AJ87" s="791">
        <f ca="1">IF(AJ85=0,0,AJ86/AJ85)</f>
        <v>0</v>
      </c>
      <c r="AK87" s="791">
        <f ca="1">IF(AK85=0,0,AK86/AK85)</f>
        <v>0</v>
      </c>
      <c r="AL87" s="828"/>
      <c r="AM87" s="791">
        <f ca="1">IF(AM85=0,0,AM86/AM85)</f>
        <v>0</v>
      </c>
      <c r="AN87" s="791">
        <f ca="1">IF(AN85=0,0,AN86/AN85)</f>
        <v>0</v>
      </c>
      <c r="AO87" s="828"/>
      <c r="AP87" s="791">
        <f ca="1">IF(AP85=0,0,AP86/AP85)</f>
        <v>0</v>
      </c>
      <c r="AQ87" s="791">
        <f ca="1">IF(AQ85=0,0,AQ86/AQ85)</f>
        <v>0</v>
      </c>
      <c r="AR87" s="828"/>
      <c r="AS87" s="791">
        <f ca="1">IF(AS85=0,0,AS86/AS85)</f>
        <v>0</v>
      </c>
      <c r="AT87" s="791">
        <f ca="1">IF(AT85=0,0,AT86/AT85)</f>
        <v>0</v>
      </c>
      <c r="AU87" s="828"/>
      <c r="AV87" s="791">
        <f ca="1">IF(AV85=0,0,AV86/AV85)</f>
        <v>0</v>
      </c>
      <c r="AW87" s="791">
        <f ca="1">IF(AW85=0,0,AW86/AW85)</f>
        <v>0</v>
      </c>
      <c r="AX87" s="828"/>
      <c r="AY87" s="791">
        <f ca="1">IF(AY85=0,0,AY86/AY85)</f>
        <v>0</v>
      </c>
      <c r="AZ87" s="791">
        <f ca="1">IF(AZ85=0,0,AZ86/AZ85)</f>
        <v>0</v>
      </c>
      <c r="BA87" s="828"/>
      <c r="BB87" s="791">
        <f ca="1">IF(BB85=0,0,BB86/BB85)</f>
        <v>0</v>
      </c>
      <c r="BC87" s="791">
        <f ca="1">IF(BC85=0,0,BC86/BC85)</f>
        <v>0</v>
      </c>
      <c r="BD87" s="828"/>
      <c r="BE87" s="791">
        <f ca="1">IF(BE85=0,0,BE86/BE85)</f>
        <v>0</v>
      </c>
      <c r="BF87" s="791">
        <f ca="1">IF(BF85=0,0,BF86/BF85)</f>
        <v>0</v>
      </c>
      <c r="BG87" s="828"/>
      <c r="BH87" s="791">
        <f>IF(BH85=0,0,BH86/BH85)</f>
        <v>0</v>
      </c>
      <c r="BI87" s="791">
        <f>IF(BI85=0,0,BI86/BI85)</f>
        <v>0</v>
      </c>
      <c r="BJ87" s="856"/>
      <c r="BK87" s="791">
        <f>IF(BK85=0,0,BK86/BK85)</f>
        <v>0</v>
      </c>
      <c r="BL87" s="791">
        <f>IF(BL85=0,0,BL86/BL85)</f>
        <v>0</v>
      </c>
      <c r="BM87" s="856"/>
      <c r="BN87" s="791">
        <f>IF(BN85=0,0,BN86/BN85)</f>
        <v>0</v>
      </c>
      <c r="BO87" s="791">
        <f>IF(BO85=0,0,BO86/BO85)</f>
        <v>0</v>
      </c>
      <c r="BP87" s="856"/>
      <c r="BQ87" s="791">
        <f>IF(BQ85=0,0,BQ86/BQ85)</f>
        <v>0</v>
      </c>
      <c r="BR87" s="791">
        <f>IF(BR85=0,0,BR86/BR85)</f>
        <v>0</v>
      </c>
      <c r="BS87" s="856"/>
      <c r="BT87" s="791">
        <f>IF(BT85=0,0,BT86/BT85)</f>
        <v>0</v>
      </c>
      <c r="BU87" s="791">
        <f>IF(BU85=0,0,BU86/BU85)</f>
        <v>0</v>
      </c>
      <c r="BV87" s="856"/>
      <c r="BW87" s="791">
        <f>IF(BW85=0,0,BW86/BW85)</f>
        <v>0</v>
      </c>
      <c r="BX87" s="791">
        <f>IF(BX85=0,0,BX86/BX85)</f>
        <v>0</v>
      </c>
      <c r="BY87" s="856"/>
      <c r="BZ87" s="791">
        <f>IF(BZ85=0,0,BZ86/BZ85)</f>
        <v>0</v>
      </c>
      <c r="CA87" s="791">
        <f>IF(CA85=0,0,CA86/CA85)</f>
        <v>0</v>
      </c>
      <c r="CB87" s="856"/>
      <c r="CC87" s="791">
        <f>IF(CC85=0,0,CC86/CC85)</f>
        <v>0</v>
      </c>
      <c r="CD87" s="791">
        <f>IF(CD85=0,0,CD86/CD85)</f>
        <v>0</v>
      </c>
      <c r="CE87" s="856"/>
      <c r="CF87" s="791">
        <f>IF(CF85=0,0,CF86/CF85)</f>
        <v>0</v>
      </c>
      <c r="CG87" s="791">
        <f>IF(CG85=0,0,CG86/CG85)</f>
        <v>0</v>
      </c>
      <c r="CH87" s="856"/>
      <c r="CI87" s="791">
        <f>IF(CI85=0,0,CI86/CI85)</f>
        <v>0</v>
      </c>
      <c r="CJ87" s="791">
        <f>IF(CJ85=0,0,CJ86/CJ85)</f>
        <v>0</v>
      </c>
      <c r="CK87" s="856"/>
      <c r="CL87" s="791">
        <f>IF(CL85=0,0,CL86/CL85)</f>
        <v>0</v>
      </c>
      <c r="CM87" s="791">
        <f>IF(CM85=0,0,CM86/CM85)</f>
        <v>0</v>
      </c>
      <c r="CN87" s="856"/>
      <c r="CO87" s="791">
        <f>IF(CO85=0,0,CO86/CO85)</f>
        <v>0</v>
      </c>
      <c r="CP87" s="791">
        <f>IF(CP85=0,0,CP86/CP85)</f>
        <v>0</v>
      </c>
      <c r="CQ87" s="856"/>
      <c r="CR87" s="791">
        <f>IF(CR85=0,0,CR86/CR85)</f>
        <v>0</v>
      </c>
      <c r="CS87" s="791">
        <f>IF(CS85=0,0,CS86/CS85)</f>
        <v>0</v>
      </c>
      <c r="CT87" s="856"/>
      <c r="CU87" s="791">
        <f>IF(CU85=0,0,CU86/CU85)</f>
        <v>0</v>
      </c>
      <c r="CV87" s="791">
        <f>IF(CV85=0,0,CV86/CV85)</f>
        <v>0</v>
      </c>
      <c r="CW87" s="856"/>
      <c r="CX87" s="791">
        <f>IF(CX85=0,0,CX86/CX85)</f>
        <v>0</v>
      </c>
      <c r="CY87" s="791">
        <f>IF(CY85=0,0,CY86/CY85)</f>
        <v>0</v>
      </c>
      <c r="CZ87" s="856"/>
      <c r="DA87" s="791">
        <f>IF(DA85=0,0,DA86/DA85)</f>
        <v>0</v>
      </c>
      <c r="DB87" s="791">
        <f>IF(DB85=0,0,DB86/DB85)</f>
        <v>0</v>
      </c>
      <c r="DC87" s="856"/>
      <c r="DD87" s="791">
        <f>IF(DD85=0,0,DD86/DD85)</f>
        <v>0</v>
      </c>
      <c r="DE87" s="791">
        <f>IF(DE85=0,0,DE86/DE85)</f>
        <v>0</v>
      </c>
      <c r="DF87" s="856"/>
      <c r="DG87" s="791">
        <f>IF(DG85=0,0,DG86/DG85)</f>
        <v>0</v>
      </c>
      <c r="DH87" s="791">
        <f>IF(DH85=0,0,DH86/DH85)</f>
        <v>0</v>
      </c>
      <c r="DI87" s="856"/>
      <c r="DJ87" s="791">
        <f>IF(DJ85=0,0,DJ86/DJ85)</f>
        <v>0</v>
      </c>
      <c r="DK87" s="791">
        <f>IF(DK85=0,0,DK86/DK85)</f>
        <v>0</v>
      </c>
      <c r="DL87" s="856"/>
      <c r="DM87" s="791">
        <f>IF(DM85=0,0,DM86/DM85)</f>
        <v>0</v>
      </c>
      <c r="DN87" s="791">
        <f>IF(DN85=0,0,DN86/DN85)</f>
        <v>0</v>
      </c>
      <c r="DO87" s="856"/>
      <c r="DP87" s="791">
        <f>IF(DP85=0,0,DP86/DP85)</f>
        <v>0</v>
      </c>
      <c r="DQ87" s="791">
        <f>IF(DQ85=0,0,DQ86/DQ85)</f>
        <v>0</v>
      </c>
      <c r="DR87" s="856"/>
      <c r="DS87" s="791">
        <f>IF(DS85=0,0,DS86/DS85)</f>
        <v>0</v>
      </c>
      <c r="DT87" s="791">
        <f>IF(DT85=0,0,DT86/DT85)</f>
        <v>0</v>
      </c>
      <c r="DU87" s="856"/>
      <c r="DV87" s="791">
        <f>IF(DV85=0,0,DV86/DV85)</f>
        <v>0</v>
      </c>
      <c r="DW87" s="791">
        <f>IF(DW85=0,0,DW86/DW85)</f>
        <v>0</v>
      </c>
      <c r="DX87" s="856"/>
      <c r="DY87" s="791">
        <f>IF(DY85=0,0,DY86/DY85)</f>
        <v>0</v>
      </c>
      <c r="DZ87" s="791">
        <f>IF(DZ85=0,0,DZ86/DZ85)</f>
        <v>0</v>
      </c>
      <c r="EA87" s="856"/>
      <c r="EB87" s="791">
        <f>IF(EB85=0,0,EB86/EB85)</f>
        <v>0</v>
      </c>
      <c r="EC87" s="791">
        <f>IF(EC85=0,0,EC86/EC85)</f>
        <v>0</v>
      </c>
      <c r="ED87" s="856"/>
      <c r="EE87" s="791">
        <f>IF(EE85=0,0,EE86/EE85)</f>
        <v>0</v>
      </c>
      <c r="EF87" s="791">
        <f>IF(EF85=0,0,EF86/EF85)</f>
        <v>0</v>
      </c>
      <c r="EG87" s="856"/>
      <c r="EH87" s="791">
        <f>IF(EH85=0,0,EH86/EH85)</f>
        <v>0</v>
      </c>
      <c r="EI87" s="791">
        <f>IF(EI85=0,0,EI86/EI85)</f>
        <v>0</v>
      </c>
      <c r="EJ87" s="856"/>
      <c r="EK87" s="791">
        <f>IF(EK85=0,0,EK86/EK85)</f>
        <v>0</v>
      </c>
      <c r="EL87" s="791">
        <f>IF(EL85=0,0,EL86/EL85)</f>
        <v>0</v>
      </c>
      <c r="EM87" s="856"/>
      <c r="EN87" s="791">
        <f>IF(EN85=0,0,EN86/EN85)</f>
        <v>0</v>
      </c>
      <c r="EO87" s="791">
        <f>IF(EO85=0,0,EO86/EO85)</f>
        <v>0</v>
      </c>
      <c r="EP87" s="856"/>
      <c r="EQ87" s="791">
        <f>IF(EQ85=0,0,EQ86/EQ85)</f>
        <v>0</v>
      </c>
      <c r="ER87" s="791">
        <f>IF(ER85=0,0,ER86/ER85)</f>
        <v>0</v>
      </c>
      <c r="ES87" s="856"/>
      <c r="ET87" s="791">
        <f>IF(ET85=0,0,ET86/ET85)</f>
        <v>0</v>
      </c>
      <c r="EU87" s="791">
        <f>IF(EU85=0,0,EU86/EU85)</f>
        <v>0</v>
      </c>
      <c r="EV87" s="856"/>
      <c r="EW87" s="791">
        <f>IF(EW85=0,0,EW86/EW85)</f>
        <v>0</v>
      </c>
      <c r="EX87" s="791">
        <f>IF(EX85=0,0,EX86/EX85)</f>
        <v>0</v>
      </c>
      <c r="EY87" s="856"/>
      <c r="EZ87" s="791">
        <f>IF(EZ85=0,0,EZ86/EZ85)</f>
        <v>0</v>
      </c>
      <c r="FA87" s="791">
        <f>IF(FA85=0,0,FA86/FA85)</f>
        <v>0</v>
      </c>
      <c r="FB87" s="856"/>
      <c r="FC87" s="791">
        <f>IF(FC85=0,0,FC86/FC85)</f>
        <v>0</v>
      </c>
      <c r="FD87" s="791">
        <f>IF(FD85=0,0,FD86/FD85)</f>
        <v>0</v>
      </c>
      <c r="FE87" s="856"/>
      <c r="FF87" s="791">
        <f>IF(FF85=0,0,FF86/FF85)</f>
        <v>0</v>
      </c>
      <c r="FG87" s="791">
        <f>IF(FG85=0,0,FG86/FG85)</f>
        <v>0</v>
      </c>
      <c r="FH87" s="856"/>
      <c r="FI87" s="791">
        <f>IF(FI85=0,0,FI86/FI85)</f>
        <v>0</v>
      </c>
      <c r="FJ87" s="791">
        <f>IF(FJ85=0,0,FJ86/FJ85)</f>
        <v>0</v>
      </c>
      <c r="FK87" s="856"/>
      <c r="FL87" s="791">
        <f>IF(FL85=0,0,FL86/FL85)</f>
        <v>0</v>
      </c>
      <c r="FM87" s="791">
        <f>IF(FM85=0,0,FM86/FM85)</f>
        <v>0</v>
      </c>
      <c r="FN87" s="856"/>
      <c r="FO87" s="791">
        <f>IF(FO85=0,0,FO86/FO85)</f>
        <v>0</v>
      </c>
      <c r="FP87" s="791">
        <f>IF(FP85=0,0,FP86/FP85)</f>
        <v>0</v>
      </c>
      <c r="FQ87" s="856"/>
      <c r="FR87" s="791">
        <f>IF(FR85=0,0,FR86/FR85)</f>
        <v>0</v>
      </c>
      <c r="FS87" s="791">
        <f>IF(FS85=0,0,FS86/FS85)</f>
        <v>0</v>
      </c>
      <c r="FT87" s="856"/>
      <c r="FU87" s="791">
        <f>IF(FU85=0,0,FU86/FU85)</f>
        <v>0</v>
      </c>
      <c r="FV87" s="791">
        <f>IF(FV85=0,0,FV86/FV85)</f>
        <v>0</v>
      </c>
      <c r="FW87" s="856"/>
      <c r="FX87" s="394"/>
      <c r="FY87" s="394"/>
      <c r="FZ87" s="912" t="s">
        <v>1675</v>
      </c>
      <c r="GA87" s="930"/>
      <c r="GB87" s="930"/>
      <c r="GC87" s="930"/>
      <c r="GD87" s="930"/>
    </row>
    <row r="88" spans="1:186" s="1057" customFormat="1" ht="16.5" customHeight="1">
      <c r="A88" s="1012"/>
      <c r="B88" s="749" t="b">
        <f t="shared" si="26"/>
        <v>1</v>
      </c>
      <c r="C88" s="1012"/>
      <c r="D88" s="1012"/>
      <c r="E88" s="623">
        <v>17.100000000000001</v>
      </c>
      <c r="F88" s="714" t="str">
        <f t="shared" ca="1" si="24"/>
        <v>1</v>
      </c>
      <c r="G88" s="130" t="s">
        <v>1676</v>
      </c>
      <c r="H88" s="150" t="s">
        <v>401</v>
      </c>
      <c r="I88" s="150" t="s">
        <v>1674</v>
      </c>
      <c r="J88" s="394"/>
      <c r="K88" s="394"/>
      <c r="L88" s="394"/>
      <c r="M88" s="394"/>
      <c r="N88" s="394"/>
      <c r="O88" s="394"/>
      <c r="P88" s="394"/>
      <c r="Q88" s="394"/>
      <c r="R88" s="719"/>
      <c r="S88" s="394"/>
      <c r="T88" s="634" t="b">
        <f t="shared" si="25"/>
        <v>1</v>
      </c>
      <c r="U88" s="1012"/>
      <c r="V88" s="1012"/>
      <c r="W88" s="1012"/>
      <c r="X88" s="1405"/>
      <c r="Y88" s="1012"/>
      <c r="Z88" s="1405"/>
      <c r="AA88" s="394"/>
      <c r="AB88" s="287" t="s">
        <v>1677</v>
      </c>
      <c r="AC88" s="110" t="s">
        <v>491</v>
      </c>
      <c r="AD88" s="1271">
        <f>SUM(AD89:AD90)</f>
        <v>0</v>
      </c>
      <c r="AE88" s="1271">
        <f>SUM(AE89:AE90)</f>
        <v>0</v>
      </c>
      <c r="AF88" s="314">
        <f>IF(AD88=0,0,(AE88-AD88)/AD88*100)</f>
        <v>0</v>
      </c>
      <c r="AG88" s="1261">
        <f>SUM(AG89:AG90)</f>
        <v>0</v>
      </c>
      <c r="AH88" s="1261">
        <f>SUM(AH89:AH90)</f>
        <v>0</v>
      </c>
      <c r="AI88" s="314">
        <f>IF(AG88=0,0,(AH88-AG88)/AG88*100)</f>
        <v>0</v>
      </c>
      <c r="AJ88" s="1261">
        <f>SUM(AJ89:AJ90)</f>
        <v>0</v>
      </c>
      <c r="AK88" s="1261">
        <f>SUM(AK89:AK90)</f>
        <v>0</v>
      </c>
      <c r="AL88" s="314">
        <f>IF(AJ88=0,0,(AK88-AJ88)/AJ88*100)</f>
        <v>0</v>
      </c>
      <c r="AM88" s="1271">
        <f>SUM(AM89:AM90)</f>
        <v>0</v>
      </c>
      <c r="AN88" s="1271">
        <f>SUM(AN89:AN90)</f>
        <v>0</v>
      </c>
      <c r="AO88" s="314">
        <f>IF(AM88=0,0,(AN88-AM88)/AM88*100)</f>
        <v>0</v>
      </c>
      <c r="AP88" s="1271">
        <f>SUM(AP89:AP90)</f>
        <v>0</v>
      </c>
      <c r="AQ88" s="1271">
        <f>SUM(AQ89:AQ90)</f>
        <v>0</v>
      </c>
      <c r="AR88" s="314">
        <f>IF(AP88=0,0,(AQ88-AP88)/AP88*100)</f>
        <v>0</v>
      </c>
      <c r="AS88" s="1271">
        <f>SUM(AS89:AS90)</f>
        <v>0</v>
      </c>
      <c r="AT88" s="1271">
        <f>SUM(AT89:AT90)</f>
        <v>0</v>
      </c>
      <c r="AU88" s="314">
        <f>IF(AS88=0,0,(AT88-AS88)/AS88*100)</f>
        <v>0</v>
      </c>
      <c r="AV88" s="1271">
        <f>SUM(AV89:AV90)</f>
        <v>0</v>
      </c>
      <c r="AW88" s="1271">
        <f>SUM(AW89:AW90)</f>
        <v>0</v>
      </c>
      <c r="AX88" s="314">
        <f>IF(AV88=0,0,(AW88-AV88)/AV88*100)</f>
        <v>0</v>
      </c>
      <c r="AY88" s="1271">
        <f>SUM(AY89:AY90)</f>
        <v>0</v>
      </c>
      <c r="AZ88" s="1271">
        <f>SUM(AZ89:AZ90)</f>
        <v>0</v>
      </c>
      <c r="BA88" s="314">
        <f>IF(AY88=0,0,(AZ88-AY88)/AY88*100)</f>
        <v>0</v>
      </c>
      <c r="BB88" s="1271">
        <f>SUM(BB89:BB90)</f>
        <v>0</v>
      </c>
      <c r="BC88" s="1271">
        <f>SUM(BC89:BC90)</f>
        <v>0</v>
      </c>
      <c r="BD88" s="314">
        <f>IF(BB88=0,0,(BC88-BB88)/BB88*100)</f>
        <v>0</v>
      </c>
      <c r="BE88" s="1271">
        <f>SUM(BE89:BE90)</f>
        <v>0</v>
      </c>
      <c r="BF88" s="1271">
        <f>SUM(BF89:BF90)</f>
        <v>0</v>
      </c>
      <c r="BG88" s="314">
        <f>IF(BE88=0,0,(BF88-BE88)/BE88*100)</f>
        <v>0</v>
      </c>
      <c r="BH88" s="1268">
        <f>SUM(BH89:BH90)</f>
        <v>0</v>
      </c>
      <c r="BI88" s="1268">
        <f>SUM(BI89:BI90)</f>
        <v>0</v>
      </c>
      <c r="BJ88" s="314">
        <f>IF(BH88=0,0,(BI88-BH88)/BH88*100)</f>
        <v>0</v>
      </c>
      <c r="BK88" s="1268">
        <f>SUM(BK89:BK90)</f>
        <v>0</v>
      </c>
      <c r="BL88" s="1268">
        <f>SUM(BL89:BL90)</f>
        <v>0</v>
      </c>
      <c r="BM88" s="314">
        <f>IF(BK88=0,0,(BL88-BK88)/BK88*100)</f>
        <v>0</v>
      </c>
      <c r="BN88" s="1268">
        <f>SUM(BN89:BN90)</f>
        <v>0</v>
      </c>
      <c r="BO88" s="1268">
        <f>SUM(BO89:BO90)</f>
        <v>0</v>
      </c>
      <c r="BP88" s="314">
        <f>IF(BN88=0,0,(BO88-BN88)/BN88*100)</f>
        <v>0</v>
      </c>
      <c r="BQ88" s="1268">
        <f>SUM(BQ89:BQ90)</f>
        <v>0</v>
      </c>
      <c r="BR88" s="1268">
        <f>SUM(BR89:BR90)</f>
        <v>0</v>
      </c>
      <c r="BS88" s="314">
        <f>IF(BQ88=0,0,(BR88-BQ88)/BQ88*100)</f>
        <v>0</v>
      </c>
      <c r="BT88" s="1268">
        <f>SUM(BT89:BT90)</f>
        <v>0</v>
      </c>
      <c r="BU88" s="1268">
        <f>SUM(BU89:BU90)</f>
        <v>0</v>
      </c>
      <c r="BV88" s="314">
        <f>IF(BT88=0,0,(BU88-BT88)/BT88*100)</f>
        <v>0</v>
      </c>
      <c r="BW88" s="1268">
        <f>SUM(BW89:BW90)</f>
        <v>0</v>
      </c>
      <c r="BX88" s="1268">
        <f>SUM(BX89:BX90)</f>
        <v>0</v>
      </c>
      <c r="BY88" s="314">
        <f>IF(BW88=0,0,(BX88-BW88)/BW88*100)</f>
        <v>0</v>
      </c>
      <c r="BZ88" s="1268">
        <f>SUM(BZ89:BZ90)</f>
        <v>0</v>
      </c>
      <c r="CA88" s="1268">
        <f>SUM(CA89:CA90)</f>
        <v>0</v>
      </c>
      <c r="CB88" s="314">
        <f>IF(BZ88=0,0,(CA88-BZ88)/BZ88*100)</f>
        <v>0</v>
      </c>
      <c r="CC88" s="1268">
        <f>SUM(CC89:CC90)</f>
        <v>0</v>
      </c>
      <c r="CD88" s="1268">
        <f>SUM(CD89:CD90)</f>
        <v>0</v>
      </c>
      <c r="CE88" s="314">
        <f>IF(CC88=0,0,(CD88-CC88)/CC88*100)</f>
        <v>0</v>
      </c>
      <c r="CF88" s="1268">
        <f>SUM(CF89:CF90)</f>
        <v>0</v>
      </c>
      <c r="CG88" s="1268">
        <f>SUM(CG89:CG90)</f>
        <v>0</v>
      </c>
      <c r="CH88" s="314">
        <f>IF(CF88=0,0,(CG88-CF88)/CF88*100)</f>
        <v>0</v>
      </c>
      <c r="CI88" s="1268">
        <f>SUM(CI89:CI90)</f>
        <v>0</v>
      </c>
      <c r="CJ88" s="1268">
        <f>SUM(CJ89:CJ90)</f>
        <v>0</v>
      </c>
      <c r="CK88" s="314">
        <f>IF(CI88=0,0,(CJ88-CI88)/CI88*100)</f>
        <v>0</v>
      </c>
      <c r="CL88" s="1268">
        <f>SUM(CL89:CL90)</f>
        <v>0</v>
      </c>
      <c r="CM88" s="1268">
        <f>SUM(CM89:CM90)</f>
        <v>0</v>
      </c>
      <c r="CN88" s="314">
        <f>IF(CL88=0,0,(CM88-CL88)/CL88*100)</f>
        <v>0</v>
      </c>
      <c r="CO88" s="1268">
        <f>SUM(CO89:CO90)</f>
        <v>0</v>
      </c>
      <c r="CP88" s="1268">
        <f>SUM(CP89:CP90)</f>
        <v>0</v>
      </c>
      <c r="CQ88" s="314">
        <f>IF(CO88=0,0,(CP88-CO88)/CO88*100)</f>
        <v>0</v>
      </c>
      <c r="CR88" s="1268">
        <f>SUM(CR89:CR90)</f>
        <v>0</v>
      </c>
      <c r="CS88" s="1268">
        <f>SUM(CS89:CS90)</f>
        <v>0</v>
      </c>
      <c r="CT88" s="314">
        <f>IF(CR88=0,0,(CS88-CR88)/CR88*100)</f>
        <v>0</v>
      </c>
      <c r="CU88" s="1268">
        <f>SUM(CU89:CU90)</f>
        <v>0</v>
      </c>
      <c r="CV88" s="1268">
        <f>SUM(CV89:CV90)</f>
        <v>0</v>
      </c>
      <c r="CW88" s="314">
        <f>IF(CU88=0,0,(CV88-CU88)/CU88*100)</f>
        <v>0</v>
      </c>
      <c r="CX88" s="1268">
        <f>SUM(CX89:CX90)</f>
        <v>0</v>
      </c>
      <c r="CY88" s="1268">
        <f>SUM(CY89:CY90)</f>
        <v>0</v>
      </c>
      <c r="CZ88" s="314">
        <f>IF(CX88=0,0,(CY88-CX88)/CX88*100)</f>
        <v>0</v>
      </c>
      <c r="DA88" s="1268">
        <f>SUM(DA89:DA90)</f>
        <v>0</v>
      </c>
      <c r="DB88" s="1268">
        <f>SUM(DB89:DB90)</f>
        <v>0</v>
      </c>
      <c r="DC88" s="314">
        <f>IF(DA88=0,0,(DB88-DA88)/DA88*100)</f>
        <v>0</v>
      </c>
      <c r="DD88" s="1268">
        <f>SUM(DD89:DD90)</f>
        <v>0</v>
      </c>
      <c r="DE88" s="1268">
        <f>SUM(DE89:DE90)</f>
        <v>0</v>
      </c>
      <c r="DF88" s="314">
        <f>IF(DD88=0,0,(DE88-DD88)/DD88*100)</f>
        <v>0</v>
      </c>
      <c r="DG88" s="1268">
        <f>SUM(DG89:DG90)</f>
        <v>0</v>
      </c>
      <c r="DH88" s="1268">
        <f>SUM(DH89:DH90)</f>
        <v>0</v>
      </c>
      <c r="DI88" s="314">
        <f>IF(DG88=0,0,(DH88-DG88)/DG88*100)</f>
        <v>0</v>
      </c>
      <c r="DJ88" s="1268">
        <f>SUM(DJ89:DJ90)</f>
        <v>0</v>
      </c>
      <c r="DK88" s="1268">
        <f>SUM(DK89:DK90)</f>
        <v>0</v>
      </c>
      <c r="DL88" s="314">
        <f>IF(DJ88=0,0,(DK88-DJ88)/DJ88*100)</f>
        <v>0</v>
      </c>
      <c r="DM88" s="1268">
        <f>SUM(DM89:DM90)</f>
        <v>0</v>
      </c>
      <c r="DN88" s="1268">
        <f>SUM(DN89:DN90)</f>
        <v>0</v>
      </c>
      <c r="DO88" s="314">
        <f>IF(DM88=0,0,(DN88-DM88)/DM88*100)</f>
        <v>0</v>
      </c>
      <c r="DP88" s="1268">
        <f>SUM(DP89:DP90)</f>
        <v>0</v>
      </c>
      <c r="DQ88" s="1268">
        <f>SUM(DQ89:DQ90)</f>
        <v>0</v>
      </c>
      <c r="DR88" s="314">
        <f>IF(DP88=0,0,(DQ88-DP88)/DP88*100)</f>
        <v>0</v>
      </c>
      <c r="DS88" s="1268">
        <f>SUM(DS89:DS90)</f>
        <v>0</v>
      </c>
      <c r="DT88" s="1268">
        <f>SUM(DT89:DT90)</f>
        <v>0</v>
      </c>
      <c r="DU88" s="314">
        <f>IF(DS88=0,0,(DT88-DS88)/DS88*100)</f>
        <v>0</v>
      </c>
      <c r="DV88" s="1268">
        <f>SUM(DV89:DV90)</f>
        <v>0</v>
      </c>
      <c r="DW88" s="1268">
        <f>SUM(DW89:DW90)</f>
        <v>0</v>
      </c>
      <c r="DX88" s="314">
        <f>IF(DV88=0,0,(DW88-DV88)/DV88*100)</f>
        <v>0</v>
      </c>
      <c r="DY88" s="1268">
        <f>SUM(DY89:DY90)</f>
        <v>0</v>
      </c>
      <c r="DZ88" s="1268">
        <f>SUM(DZ89:DZ90)</f>
        <v>0</v>
      </c>
      <c r="EA88" s="314">
        <f>IF(DY88=0,0,(DZ88-DY88)/DY88*100)</f>
        <v>0</v>
      </c>
      <c r="EB88" s="1268">
        <f>SUM(EB89:EB90)</f>
        <v>0</v>
      </c>
      <c r="EC88" s="1268">
        <f>SUM(EC89:EC90)</f>
        <v>0</v>
      </c>
      <c r="ED88" s="314">
        <f>IF(EB88=0,0,(EC88-EB88)/EB88*100)</f>
        <v>0</v>
      </c>
      <c r="EE88" s="1268">
        <f>SUM(EE89:EE90)</f>
        <v>0</v>
      </c>
      <c r="EF88" s="1268">
        <f>SUM(EF89:EF90)</f>
        <v>0</v>
      </c>
      <c r="EG88" s="314">
        <f>IF(EE88=0,0,(EF88-EE88)/EE88*100)</f>
        <v>0</v>
      </c>
      <c r="EH88" s="1268">
        <f>SUM(EH89:EH90)</f>
        <v>0</v>
      </c>
      <c r="EI88" s="1268">
        <f>SUM(EI89:EI90)</f>
        <v>0</v>
      </c>
      <c r="EJ88" s="314">
        <f>IF(EH88=0,0,(EI88-EH88)/EH88*100)</f>
        <v>0</v>
      </c>
      <c r="EK88" s="1268">
        <f>SUM(EK89:EK90)</f>
        <v>0</v>
      </c>
      <c r="EL88" s="1268">
        <f>SUM(EL89:EL90)</f>
        <v>0</v>
      </c>
      <c r="EM88" s="314">
        <f>IF(EK88=0,0,(EL88-EK88)/EK88*100)</f>
        <v>0</v>
      </c>
      <c r="EN88" s="1268">
        <f>SUM(EN89:EN90)</f>
        <v>0</v>
      </c>
      <c r="EO88" s="1268">
        <f>SUM(EO89:EO90)</f>
        <v>0</v>
      </c>
      <c r="EP88" s="314">
        <f>IF(EN88=0,0,(EO88-EN88)/EN88*100)</f>
        <v>0</v>
      </c>
      <c r="EQ88" s="1268">
        <f>SUM(EQ89:EQ90)</f>
        <v>0</v>
      </c>
      <c r="ER88" s="1268">
        <f>SUM(ER89:ER90)</f>
        <v>0</v>
      </c>
      <c r="ES88" s="314">
        <f>IF(EQ88=0,0,(ER88-EQ88)/EQ88*100)</f>
        <v>0</v>
      </c>
      <c r="ET88" s="1268">
        <f>SUM(ET89:ET90)</f>
        <v>0</v>
      </c>
      <c r="EU88" s="1268">
        <f>SUM(EU89:EU90)</f>
        <v>0</v>
      </c>
      <c r="EV88" s="314">
        <f>IF(ET88=0,0,(EU88-ET88)/ET88*100)</f>
        <v>0</v>
      </c>
      <c r="EW88" s="1268">
        <f>SUM(EW89:EW90)</f>
        <v>0</v>
      </c>
      <c r="EX88" s="1268">
        <f>SUM(EX89:EX90)</f>
        <v>0</v>
      </c>
      <c r="EY88" s="314">
        <f>IF(EW88=0,0,(EX88-EW88)/EW88*100)</f>
        <v>0</v>
      </c>
      <c r="EZ88" s="1268">
        <f>SUM(EZ89:EZ90)</f>
        <v>0</v>
      </c>
      <c r="FA88" s="1268">
        <f>SUM(FA89:FA90)</f>
        <v>0</v>
      </c>
      <c r="FB88" s="314">
        <f>IF(EZ88=0,0,(FA88-EZ88)/EZ88*100)</f>
        <v>0</v>
      </c>
      <c r="FC88" s="1268">
        <f>SUM(FC89:FC90)</f>
        <v>0</v>
      </c>
      <c r="FD88" s="1268">
        <f>SUM(FD89:FD90)</f>
        <v>0</v>
      </c>
      <c r="FE88" s="314">
        <f>IF(FC88=0,0,(FD88-FC88)/FC88*100)</f>
        <v>0</v>
      </c>
      <c r="FF88" s="1268">
        <f>SUM(FF89:FF90)</f>
        <v>0</v>
      </c>
      <c r="FG88" s="1268">
        <f>SUM(FG89:FG90)</f>
        <v>0</v>
      </c>
      <c r="FH88" s="314">
        <f>IF(FF88=0,0,(FG88-FF88)/FF88*100)</f>
        <v>0</v>
      </c>
      <c r="FI88" s="1268">
        <f>SUM(FI89:FI90)</f>
        <v>0</v>
      </c>
      <c r="FJ88" s="1268">
        <f>SUM(FJ89:FJ90)</f>
        <v>0</v>
      </c>
      <c r="FK88" s="314">
        <f>IF(FI88=0,0,(FJ88-FI88)/FI88*100)</f>
        <v>0</v>
      </c>
      <c r="FL88" s="1268">
        <f>SUM(FL89:FL90)</f>
        <v>0</v>
      </c>
      <c r="FM88" s="1268">
        <f>SUM(FM89:FM90)</f>
        <v>0</v>
      </c>
      <c r="FN88" s="314">
        <f>IF(FL88=0,0,(FM88-FL88)/FL88*100)</f>
        <v>0</v>
      </c>
      <c r="FO88" s="1268">
        <f>SUM(FO89:FO90)</f>
        <v>0</v>
      </c>
      <c r="FP88" s="1268">
        <f>SUM(FP89:FP90)</f>
        <v>0</v>
      </c>
      <c r="FQ88" s="314">
        <f>IF(FO88=0,0,(FP88-FO88)/FO88*100)</f>
        <v>0</v>
      </c>
      <c r="FR88" s="1268">
        <f>SUM(FR89:FR90)</f>
        <v>0</v>
      </c>
      <c r="FS88" s="1268">
        <f>SUM(FS89:FS90)</f>
        <v>0</v>
      </c>
      <c r="FT88" s="314">
        <f>IF(FR88=0,0,(FS88-FR88)/FR88*100)</f>
        <v>0</v>
      </c>
      <c r="FU88" s="1268">
        <f>SUM(FU89:FU90)</f>
        <v>0</v>
      </c>
      <c r="FV88" s="1268">
        <f>SUM(FV89:FV90)</f>
        <v>0</v>
      </c>
      <c r="FW88" s="314">
        <f>IF(FU88=0,0,(FV88-FU88)/FU88*100)</f>
        <v>0</v>
      </c>
      <c r="FX88" s="394"/>
      <c r="FY88" s="394"/>
      <c r="FZ88" s="912" t="s">
        <v>1678</v>
      </c>
      <c r="GA88" s="930"/>
      <c r="GB88" s="930"/>
      <c r="GC88" s="930"/>
      <c r="GD88" s="930"/>
    </row>
    <row r="89" spans="1:186" s="1057" customFormat="1" ht="16.5" customHeight="1">
      <c r="A89" s="1012"/>
      <c r="B89" s="749" t="b">
        <f t="shared" si="26"/>
        <v>1</v>
      </c>
      <c r="C89" s="1012"/>
      <c r="D89" s="1012"/>
      <c r="E89" s="623">
        <v>17.100000000000001</v>
      </c>
      <c r="F89" s="714" t="str">
        <f t="shared" ca="1" si="24"/>
        <v>1</v>
      </c>
      <c r="G89" s="394"/>
      <c r="H89" s="394"/>
      <c r="I89" s="394"/>
      <c r="J89" s="394"/>
      <c r="K89" s="394"/>
      <c r="L89" s="394"/>
      <c r="M89" s="394"/>
      <c r="N89" s="394"/>
      <c r="O89" s="394"/>
      <c r="P89" s="394"/>
      <c r="Q89" s="394"/>
      <c r="R89" s="719"/>
      <c r="S89" s="394"/>
      <c r="T89" s="634" t="b">
        <f t="shared" si="25"/>
        <v>1</v>
      </c>
      <c r="U89" s="1012"/>
      <c r="V89" s="1012"/>
      <c r="W89" s="1012"/>
      <c r="X89" s="1405"/>
      <c r="Y89" s="1012"/>
      <c r="Z89" s="1405"/>
      <c r="AA89" s="394"/>
      <c r="AB89" s="210" t="s">
        <v>1679</v>
      </c>
      <c r="AC89" s="110" t="s">
        <v>491</v>
      </c>
      <c r="AD89" s="1170"/>
      <c r="AE89" s="1170"/>
      <c r="AF89" s="525">
        <f>IF(AD89=0,0,(AE89-AD89)/AD89*100)</f>
        <v>0</v>
      </c>
      <c r="AG89" s="1262"/>
      <c r="AH89" s="1262"/>
      <c r="AI89" s="525">
        <f>IF(AG89=0,0,(AH89-AG89)/AG89*100)</f>
        <v>0</v>
      </c>
      <c r="AJ89" s="1262"/>
      <c r="AK89" s="1262"/>
      <c r="AL89" s="525">
        <f>IF(AJ89=0,0,(AK89-AJ89)/AJ89*100)</f>
        <v>0</v>
      </c>
      <c r="AM89" s="1170"/>
      <c r="AN89" s="1170"/>
      <c r="AO89" s="525">
        <f>IF(AM89=0,0,(AN89-AM89)/AM89*100)</f>
        <v>0</v>
      </c>
      <c r="AP89" s="1170"/>
      <c r="AQ89" s="1170"/>
      <c r="AR89" s="525">
        <f>IF(AP89=0,0,(AQ89-AP89)/AP89*100)</f>
        <v>0</v>
      </c>
      <c r="AS89" s="1170"/>
      <c r="AT89" s="1170"/>
      <c r="AU89" s="525">
        <f>IF(AS89=0,0,(AT89-AS89)/AS89*100)</f>
        <v>0</v>
      </c>
      <c r="AV89" s="1170"/>
      <c r="AW89" s="1170"/>
      <c r="AX89" s="525">
        <f>IF(AV89=0,0,(AW89-AV89)/AV89*100)</f>
        <v>0</v>
      </c>
      <c r="AY89" s="1170"/>
      <c r="AZ89" s="1170"/>
      <c r="BA89" s="525">
        <f>IF(AY89=0,0,(AZ89-AY89)/AY89*100)</f>
        <v>0</v>
      </c>
      <c r="BB89" s="1170"/>
      <c r="BC89" s="1170"/>
      <c r="BD89" s="525">
        <f>IF(BB89=0,0,(BC89-BB89)/BB89*100)</f>
        <v>0</v>
      </c>
      <c r="BE89" s="1170"/>
      <c r="BF89" s="1170"/>
      <c r="BG89" s="525">
        <f>IF(BE89=0,0,(BF89-BE89)/BE89*100)</f>
        <v>0</v>
      </c>
      <c r="BH89" s="1170"/>
      <c r="BI89" s="1170"/>
      <c r="BJ89" s="525">
        <f>IF(BH89=0,0,(BI89-BH89)/BH89*100)</f>
        <v>0</v>
      </c>
      <c r="BK89" s="1170"/>
      <c r="BL89" s="1170"/>
      <c r="BM89" s="525">
        <f>IF(BK89=0,0,(BL89-BK89)/BK89*100)</f>
        <v>0</v>
      </c>
      <c r="BN89" s="1170"/>
      <c r="BO89" s="1170"/>
      <c r="BP89" s="525">
        <f>IF(BN89=0,0,(BO89-BN89)/BN89*100)</f>
        <v>0</v>
      </c>
      <c r="BQ89" s="1170"/>
      <c r="BR89" s="1170"/>
      <c r="BS89" s="525">
        <f>IF(BQ89=0,0,(BR89-BQ89)/BQ89*100)</f>
        <v>0</v>
      </c>
      <c r="BT89" s="1170"/>
      <c r="BU89" s="1170"/>
      <c r="BV89" s="525">
        <f>IF(BT89=0,0,(BU89-BT89)/BT89*100)</f>
        <v>0</v>
      </c>
      <c r="BW89" s="1170"/>
      <c r="BX89" s="1170"/>
      <c r="BY89" s="525">
        <f>IF(BW89=0,0,(BX89-BW89)/BW89*100)</f>
        <v>0</v>
      </c>
      <c r="BZ89" s="1170"/>
      <c r="CA89" s="1170"/>
      <c r="CB89" s="525">
        <f>IF(BZ89=0,0,(CA89-BZ89)/BZ89*100)</f>
        <v>0</v>
      </c>
      <c r="CC89" s="1170"/>
      <c r="CD89" s="1170"/>
      <c r="CE89" s="525">
        <f>IF(CC89=0,0,(CD89-CC89)/CC89*100)</f>
        <v>0</v>
      </c>
      <c r="CF89" s="1170"/>
      <c r="CG89" s="1170"/>
      <c r="CH89" s="525">
        <f>IF(CF89=0,0,(CG89-CF89)/CF89*100)</f>
        <v>0</v>
      </c>
      <c r="CI89" s="1170"/>
      <c r="CJ89" s="1170"/>
      <c r="CK89" s="525">
        <f>IF(CI89=0,0,(CJ89-CI89)/CI89*100)</f>
        <v>0</v>
      </c>
      <c r="CL89" s="1170"/>
      <c r="CM89" s="1170"/>
      <c r="CN89" s="525">
        <f>IF(CL89=0,0,(CM89-CL89)/CL89*100)</f>
        <v>0</v>
      </c>
      <c r="CO89" s="1170"/>
      <c r="CP89" s="1170"/>
      <c r="CQ89" s="525">
        <f>IF(CO89=0,0,(CP89-CO89)/CO89*100)</f>
        <v>0</v>
      </c>
      <c r="CR89" s="1170"/>
      <c r="CS89" s="1170"/>
      <c r="CT89" s="525">
        <f>IF(CR89=0,0,(CS89-CR89)/CR89*100)</f>
        <v>0</v>
      </c>
      <c r="CU89" s="1170"/>
      <c r="CV89" s="1170"/>
      <c r="CW89" s="525">
        <f>IF(CU89=0,0,(CV89-CU89)/CU89*100)</f>
        <v>0</v>
      </c>
      <c r="CX89" s="1170"/>
      <c r="CY89" s="1170"/>
      <c r="CZ89" s="525">
        <f>IF(CX89=0,0,(CY89-CX89)/CX89*100)</f>
        <v>0</v>
      </c>
      <c r="DA89" s="1170"/>
      <c r="DB89" s="1170"/>
      <c r="DC89" s="525">
        <f>IF(DA89=0,0,(DB89-DA89)/DA89*100)</f>
        <v>0</v>
      </c>
      <c r="DD89" s="1170"/>
      <c r="DE89" s="1170"/>
      <c r="DF89" s="525">
        <f>IF(DD89=0,0,(DE89-DD89)/DD89*100)</f>
        <v>0</v>
      </c>
      <c r="DG89" s="1170"/>
      <c r="DH89" s="1170"/>
      <c r="DI89" s="525">
        <f>IF(DG89=0,0,(DH89-DG89)/DG89*100)</f>
        <v>0</v>
      </c>
      <c r="DJ89" s="1170"/>
      <c r="DK89" s="1170"/>
      <c r="DL89" s="525">
        <f>IF(DJ89=0,0,(DK89-DJ89)/DJ89*100)</f>
        <v>0</v>
      </c>
      <c r="DM89" s="1170"/>
      <c r="DN89" s="1170"/>
      <c r="DO89" s="525">
        <f>IF(DM89=0,0,(DN89-DM89)/DM89*100)</f>
        <v>0</v>
      </c>
      <c r="DP89" s="1170"/>
      <c r="DQ89" s="1170"/>
      <c r="DR89" s="525">
        <f>IF(DP89=0,0,(DQ89-DP89)/DP89*100)</f>
        <v>0</v>
      </c>
      <c r="DS89" s="1170"/>
      <c r="DT89" s="1170"/>
      <c r="DU89" s="525">
        <f>IF(DS89=0,0,(DT89-DS89)/DS89*100)</f>
        <v>0</v>
      </c>
      <c r="DV89" s="1170"/>
      <c r="DW89" s="1170"/>
      <c r="DX89" s="525">
        <f>IF(DV89=0,0,(DW89-DV89)/DV89*100)</f>
        <v>0</v>
      </c>
      <c r="DY89" s="1170"/>
      <c r="DZ89" s="1170"/>
      <c r="EA89" s="525">
        <f>IF(DY89=0,0,(DZ89-DY89)/DY89*100)</f>
        <v>0</v>
      </c>
      <c r="EB89" s="1170"/>
      <c r="EC89" s="1170"/>
      <c r="ED89" s="525">
        <f>IF(EB89=0,0,(EC89-EB89)/EB89*100)</f>
        <v>0</v>
      </c>
      <c r="EE89" s="1170"/>
      <c r="EF89" s="1170"/>
      <c r="EG89" s="525">
        <f>IF(EE89=0,0,(EF89-EE89)/EE89*100)</f>
        <v>0</v>
      </c>
      <c r="EH89" s="1170"/>
      <c r="EI89" s="1170"/>
      <c r="EJ89" s="525">
        <f>IF(EH89=0,0,(EI89-EH89)/EH89*100)</f>
        <v>0</v>
      </c>
      <c r="EK89" s="1170"/>
      <c r="EL89" s="1170"/>
      <c r="EM89" s="525">
        <f>IF(EK89=0,0,(EL89-EK89)/EK89*100)</f>
        <v>0</v>
      </c>
      <c r="EN89" s="1170"/>
      <c r="EO89" s="1170"/>
      <c r="EP89" s="525">
        <f>IF(EN89=0,0,(EO89-EN89)/EN89*100)</f>
        <v>0</v>
      </c>
      <c r="EQ89" s="1170"/>
      <c r="ER89" s="1170"/>
      <c r="ES89" s="525">
        <f>IF(EQ89=0,0,(ER89-EQ89)/EQ89*100)</f>
        <v>0</v>
      </c>
      <c r="ET89" s="1170"/>
      <c r="EU89" s="1170"/>
      <c r="EV89" s="525">
        <f>IF(ET89=0,0,(EU89-ET89)/ET89*100)</f>
        <v>0</v>
      </c>
      <c r="EW89" s="1170"/>
      <c r="EX89" s="1170"/>
      <c r="EY89" s="525">
        <f>IF(EW89=0,0,(EX89-EW89)/EW89*100)</f>
        <v>0</v>
      </c>
      <c r="EZ89" s="1170"/>
      <c r="FA89" s="1170"/>
      <c r="FB89" s="525">
        <f>IF(EZ89=0,0,(FA89-EZ89)/EZ89*100)</f>
        <v>0</v>
      </c>
      <c r="FC89" s="1170"/>
      <c r="FD89" s="1170"/>
      <c r="FE89" s="525">
        <f>IF(FC89=0,0,(FD89-FC89)/FC89*100)</f>
        <v>0</v>
      </c>
      <c r="FF89" s="1170"/>
      <c r="FG89" s="1170"/>
      <c r="FH89" s="525">
        <f>IF(FF89=0,0,(FG89-FF89)/FF89*100)</f>
        <v>0</v>
      </c>
      <c r="FI89" s="1170"/>
      <c r="FJ89" s="1170"/>
      <c r="FK89" s="525">
        <f>IF(FI89=0,0,(FJ89-FI89)/FI89*100)</f>
        <v>0</v>
      </c>
      <c r="FL89" s="1170"/>
      <c r="FM89" s="1170"/>
      <c r="FN89" s="525">
        <f>IF(FL89=0,0,(FM89-FL89)/FL89*100)</f>
        <v>0</v>
      </c>
      <c r="FO89" s="1170"/>
      <c r="FP89" s="1170"/>
      <c r="FQ89" s="525">
        <f>IF(FO89=0,0,(FP89-FO89)/FO89*100)</f>
        <v>0</v>
      </c>
      <c r="FR89" s="1170"/>
      <c r="FS89" s="1170"/>
      <c r="FT89" s="525">
        <f>IF(FR89=0,0,(FS89-FR89)/FR89*100)</f>
        <v>0</v>
      </c>
      <c r="FU89" s="1170"/>
      <c r="FV89" s="1170"/>
      <c r="FW89" s="525">
        <f>IF(FU89=0,0,(FV89-FU89)/FU89*100)</f>
        <v>0</v>
      </c>
      <c r="FX89" s="394"/>
      <c r="FY89" s="394"/>
      <c r="FZ89" s="912" t="s">
        <v>1680</v>
      </c>
      <c r="GA89" s="930"/>
      <c r="GB89" s="930"/>
      <c r="GC89" s="930"/>
      <c r="GD89" s="930"/>
    </row>
    <row r="90" spans="1:186" s="1057" customFormat="1" ht="16.5" customHeight="1">
      <c r="A90" s="1012"/>
      <c r="B90" s="749" t="b">
        <f t="shared" si="26"/>
        <v>1</v>
      </c>
      <c r="C90" s="1012"/>
      <c r="D90" s="1012"/>
      <c r="E90" s="623">
        <v>17.100000000000001</v>
      </c>
      <c r="F90" s="714" t="str">
        <f t="shared" ca="1" si="24"/>
        <v>1</v>
      </c>
      <c r="G90" s="394"/>
      <c r="H90" s="394"/>
      <c r="I90" s="394"/>
      <c r="J90" s="394"/>
      <c r="K90" s="394"/>
      <c r="L90" s="394"/>
      <c r="M90" s="394"/>
      <c r="N90" s="394"/>
      <c r="O90" s="394"/>
      <c r="P90" s="394"/>
      <c r="Q90" s="394"/>
      <c r="R90" s="719"/>
      <c r="S90" s="394"/>
      <c r="T90" s="634" t="b">
        <f t="shared" si="25"/>
        <v>1</v>
      </c>
      <c r="U90" s="1012"/>
      <c r="V90" s="1012"/>
      <c r="W90" s="1012"/>
      <c r="X90" s="1405"/>
      <c r="Y90" s="1012"/>
      <c r="Z90" s="1405"/>
      <c r="AA90" s="394"/>
      <c r="AB90" s="210" t="s">
        <v>1681</v>
      </c>
      <c r="AC90" s="110" t="s">
        <v>491</v>
      </c>
      <c r="AD90" s="1170"/>
      <c r="AE90" s="1170"/>
      <c r="AF90" s="525">
        <f>IF(AD90=0,0,(AE90-AD90)/AD90*100)</f>
        <v>0</v>
      </c>
      <c r="AG90" s="1262"/>
      <c r="AH90" s="1262"/>
      <c r="AI90" s="525">
        <f>IF(AG90=0,0,(AH90-AG90)/AG90*100)</f>
        <v>0</v>
      </c>
      <c r="AJ90" s="1262"/>
      <c r="AK90" s="1262"/>
      <c r="AL90" s="525">
        <f>IF(AJ90=0,0,(AK90-AJ90)/AJ90*100)</f>
        <v>0</v>
      </c>
      <c r="AM90" s="1170"/>
      <c r="AN90" s="1170"/>
      <c r="AO90" s="525">
        <f>IF(AM90=0,0,(AN90-AM90)/AM90*100)</f>
        <v>0</v>
      </c>
      <c r="AP90" s="1170"/>
      <c r="AQ90" s="1170"/>
      <c r="AR90" s="525">
        <f>IF(AP90=0,0,(AQ90-AP90)/AP90*100)</f>
        <v>0</v>
      </c>
      <c r="AS90" s="1170"/>
      <c r="AT90" s="1170"/>
      <c r="AU90" s="525">
        <f>IF(AS90=0,0,(AT90-AS90)/AS90*100)</f>
        <v>0</v>
      </c>
      <c r="AV90" s="1170"/>
      <c r="AW90" s="1170"/>
      <c r="AX90" s="525">
        <f>IF(AV90=0,0,(AW90-AV90)/AV90*100)</f>
        <v>0</v>
      </c>
      <c r="AY90" s="1170"/>
      <c r="AZ90" s="1170"/>
      <c r="BA90" s="525">
        <f>IF(AY90=0,0,(AZ90-AY90)/AY90*100)</f>
        <v>0</v>
      </c>
      <c r="BB90" s="1170"/>
      <c r="BC90" s="1170"/>
      <c r="BD90" s="525">
        <f>IF(BB90=0,0,(BC90-BB90)/BB90*100)</f>
        <v>0</v>
      </c>
      <c r="BE90" s="1170"/>
      <c r="BF90" s="1170"/>
      <c r="BG90" s="525">
        <f>IF(BE90=0,0,(BF90-BE90)/BE90*100)</f>
        <v>0</v>
      </c>
      <c r="BH90" s="1170"/>
      <c r="BI90" s="1170"/>
      <c r="BJ90" s="525">
        <f>IF(BH90=0,0,(BI90-BH90)/BH90*100)</f>
        <v>0</v>
      </c>
      <c r="BK90" s="1170"/>
      <c r="BL90" s="1170"/>
      <c r="BM90" s="525">
        <f>IF(BK90=0,0,(BL90-BK90)/BK90*100)</f>
        <v>0</v>
      </c>
      <c r="BN90" s="1170"/>
      <c r="BO90" s="1170"/>
      <c r="BP90" s="525">
        <f>IF(BN90=0,0,(BO90-BN90)/BN90*100)</f>
        <v>0</v>
      </c>
      <c r="BQ90" s="1170"/>
      <c r="BR90" s="1170"/>
      <c r="BS90" s="525">
        <f>IF(BQ90=0,0,(BR90-BQ90)/BQ90*100)</f>
        <v>0</v>
      </c>
      <c r="BT90" s="1170"/>
      <c r="BU90" s="1170"/>
      <c r="BV90" s="525">
        <f>IF(BT90=0,0,(BU90-BT90)/BT90*100)</f>
        <v>0</v>
      </c>
      <c r="BW90" s="1170"/>
      <c r="BX90" s="1170"/>
      <c r="BY90" s="525">
        <f>IF(BW90=0,0,(BX90-BW90)/BW90*100)</f>
        <v>0</v>
      </c>
      <c r="BZ90" s="1170"/>
      <c r="CA90" s="1170"/>
      <c r="CB90" s="525">
        <f>IF(BZ90=0,0,(CA90-BZ90)/BZ90*100)</f>
        <v>0</v>
      </c>
      <c r="CC90" s="1170"/>
      <c r="CD90" s="1170"/>
      <c r="CE90" s="525">
        <f>IF(CC90=0,0,(CD90-CC90)/CC90*100)</f>
        <v>0</v>
      </c>
      <c r="CF90" s="1170"/>
      <c r="CG90" s="1170"/>
      <c r="CH90" s="525">
        <f>IF(CF90=0,0,(CG90-CF90)/CF90*100)</f>
        <v>0</v>
      </c>
      <c r="CI90" s="1170"/>
      <c r="CJ90" s="1170"/>
      <c r="CK90" s="525">
        <f>IF(CI90=0,0,(CJ90-CI90)/CI90*100)</f>
        <v>0</v>
      </c>
      <c r="CL90" s="1170"/>
      <c r="CM90" s="1170"/>
      <c r="CN90" s="525">
        <f>IF(CL90=0,0,(CM90-CL90)/CL90*100)</f>
        <v>0</v>
      </c>
      <c r="CO90" s="1170"/>
      <c r="CP90" s="1170"/>
      <c r="CQ90" s="525">
        <f>IF(CO90=0,0,(CP90-CO90)/CO90*100)</f>
        <v>0</v>
      </c>
      <c r="CR90" s="1170"/>
      <c r="CS90" s="1170"/>
      <c r="CT90" s="525">
        <f>IF(CR90=0,0,(CS90-CR90)/CR90*100)</f>
        <v>0</v>
      </c>
      <c r="CU90" s="1170"/>
      <c r="CV90" s="1170"/>
      <c r="CW90" s="525">
        <f>IF(CU90=0,0,(CV90-CU90)/CU90*100)</f>
        <v>0</v>
      </c>
      <c r="CX90" s="1170"/>
      <c r="CY90" s="1170"/>
      <c r="CZ90" s="525">
        <f>IF(CX90=0,0,(CY90-CX90)/CX90*100)</f>
        <v>0</v>
      </c>
      <c r="DA90" s="1170"/>
      <c r="DB90" s="1170"/>
      <c r="DC90" s="525">
        <f>IF(DA90=0,0,(DB90-DA90)/DA90*100)</f>
        <v>0</v>
      </c>
      <c r="DD90" s="1170"/>
      <c r="DE90" s="1170"/>
      <c r="DF90" s="525">
        <f>IF(DD90=0,0,(DE90-DD90)/DD90*100)</f>
        <v>0</v>
      </c>
      <c r="DG90" s="1170"/>
      <c r="DH90" s="1170"/>
      <c r="DI90" s="525">
        <f>IF(DG90=0,0,(DH90-DG90)/DG90*100)</f>
        <v>0</v>
      </c>
      <c r="DJ90" s="1170"/>
      <c r="DK90" s="1170"/>
      <c r="DL90" s="525">
        <f>IF(DJ90=0,0,(DK90-DJ90)/DJ90*100)</f>
        <v>0</v>
      </c>
      <c r="DM90" s="1170"/>
      <c r="DN90" s="1170"/>
      <c r="DO90" s="525">
        <f>IF(DM90=0,0,(DN90-DM90)/DM90*100)</f>
        <v>0</v>
      </c>
      <c r="DP90" s="1170"/>
      <c r="DQ90" s="1170"/>
      <c r="DR90" s="525">
        <f>IF(DP90=0,0,(DQ90-DP90)/DP90*100)</f>
        <v>0</v>
      </c>
      <c r="DS90" s="1170"/>
      <c r="DT90" s="1170"/>
      <c r="DU90" s="525">
        <f>IF(DS90=0,0,(DT90-DS90)/DS90*100)</f>
        <v>0</v>
      </c>
      <c r="DV90" s="1170"/>
      <c r="DW90" s="1170"/>
      <c r="DX90" s="525">
        <f>IF(DV90=0,0,(DW90-DV90)/DV90*100)</f>
        <v>0</v>
      </c>
      <c r="DY90" s="1170"/>
      <c r="DZ90" s="1170"/>
      <c r="EA90" s="525">
        <f>IF(DY90=0,0,(DZ90-DY90)/DY90*100)</f>
        <v>0</v>
      </c>
      <c r="EB90" s="1170"/>
      <c r="EC90" s="1170"/>
      <c r="ED90" s="525">
        <f>IF(EB90=0,0,(EC90-EB90)/EB90*100)</f>
        <v>0</v>
      </c>
      <c r="EE90" s="1170"/>
      <c r="EF90" s="1170"/>
      <c r="EG90" s="525">
        <f>IF(EE90=0,0,(EF90-EE90)/EE90*100)</f>
        <v>0</v>
      </c>
      <c r="EH90" s="1170"/>
      <c r="EI90" s="1170"/>
      <c r="EJ90" s="525">
        <f>IF(EH90=0,0,(EI90-EH90)/EH90*100)</f>
        <v>0</v>
      </c>
      <c r="EK90" s="1170"/>
      <c r="EL90" s="1170"/>
      <c r="EM90" s="525">
        <f>IF(EK90=0,0,(EL90-EK90)/EK90*100)</f>
        <v>0</v>
      </c>
      <c r="EN90" s="1170"/>
      <c r="EO90" s="1170"/>
      <c r="EP90" s="525">
        <f>IF(EN90=0,0,(EO90-EN90)/EN90*100)</f>
        <v>0</v>
      </c>
      <c r="EQ90" s="1170"/>
      <c r="ER90" s="1170"/>
      <c r="ES90" s="525">
        <f>IF(EQ90=0,0,(ER90-EQ90)/EQ90*100)</f>
        <v>0</v>
      </c>
      <c r="ET90" s="1170"/>
      <c r="EU90" s="1170"/>
      <c r="EV90" s="525">
        <f>IF(ET90=0,0,(EU90-ET90)/ET90*100)</f>
        <v>0</v>
      </c>
      <c r="EW90" s="1170"/>
      <c r="EX90" s="1170"/>
      <c r="EY90" s="525">
        <f>IF(EW90=0,0,(EX90-EW90)/EW90*100)</f>
        <v>0</v>
      </c>
      <c r="EZ90" s="1170"/>
      <c r="FA90" s="1170"/>
      <c r="FB90" s="525">
        <f>IF(EZ90=0,0,(FA90-EZ90)/EZ90*100)</f>
        <v>0</v>
      </c>
      <c r="FC90" s="1170"/>
      <c r="FD90" s="1170"/>
      <c r="FE90" s="525">
        <f>IF(FC90=0,0,(FD90-FC90)/FC90*100)</f>
        <v>0</v>
      </c>
      <c r="FF90" s="1170"/>
      <c r="FG90" s="1170"/>
      <c r="FH90" s="525">
        <f>IF(FF90=0,0,(FG90-FF90)/FF90*100)</f>
        <v>0</v>
      </c>
      <c r="FI90" s="1170"/>
      <c r="FJ90" s="1170"/>
      <c r="FK90" s="525">
        <f>IF(FI90=0,0,(FJ90-FI90)/FI90*100)</f>
        <v>0</v>
      </c>
      <c r="FL90" s="1170"/>
      <c r="FM90" s="1170"/>
      <c r="FN90" s="525">
        <f>IF(FL90=0,0,(FM90-FL90)/FL90*100)</f>
        <v>0</v>
      </c>
      <c r="FO90" s="1170"/>
      <c r="FP90" s="1170"/>
      <c r="FQ90" s="525">
        <f>IF(FO90=0,0,(FP90-FO90)/FO90*100)</f>
        <v>0</v>
      </c>
      <c r="FR90" s="1170"/>
      <c r="FS90" s="1170"/>
      <c r="FT90" s="525">
        <f>IF(FR90=0,0,(FS90-FR90)/FR90*100)</f>
        <v>0</v>
      </c>
      <c r="FU90" s="1170"/>
      <c r="FV90" s="1170"/>
      <c r="FW90" s="525">
        <f>IF(FU90=0,0,(FV90-FU90)/FU90*100)</f>
        <v>0</v>
      </c>
      <c r="FX90" s="394"/>
      <c r="FY90" s="394"/>
      <c r="FZ90" s="912" t="s">
        <v>1682</v>
      </c>
      <c r="GA90" s="930"/>
      <c r="GB90" s="930"/>
      <c r="GC90" s="930"/>
      <c r="GD90" s="930"/>
    </row>
    <row r="91" spans="1:186" s="1057" customFormat="1" ht="15.75" hidden="1" customHeight="1">
      <c r="A91" s="1012"/>
      <c r="B91" s="749" t="b">
        <f ca="1">OFFSET(A91,-1,1)</f>
        <v>1</v>
      </c>
      <c r="C91" s="1012"/>
      <c r="D91" s="1012"/>
      <c r="E91" s="623">
        <v>17</v>
      </c>
      <c r="F91" s="714" t="str">
        <f t="shared" ca="1" si="24"/>
        <v>1</v>
      </c>
      <c r="G91" s="394"/>
      <c r="H91" s="150" t="str">
        <f ca="1">F91&amp;"pIns1"</f>
        <v>1pIns1</v>
      </c>
      <c r="I91" s="394"/>
      <c r="J91" s="394"/>
      <c r="K91" s="394"/>
      <c r="L91" s="394"/>
      <c r="M91" s="394"/>
      <c r="N91" s="394"/>
      <c r="O91" s="394"/>
      <c r="P91" s="394"/>
      <c r="Q91" s="394"/>
      <c r="R91" s="719"/>
      <c r="S91" s="394"/>
      <c r="T91" s="634" t="b">
        <f t="shared" si="25"/>
        <v>1</v>
      </c>
      <c r="U91" s="1012"/>
      <c r="V91" s="1012"/>
      <c r="W91" s="988" t="s">
        <v>1688</v>
      </c>
      <c r="X91" s="1405"/>
      <c r="Y91" s="1012"/>
      <c r="Z91" s="1405"/>
      <c r="AA91" s="394"/>
      <c r="AB91" s="696" t="s">
        <v>172</v>
      </c>
      <c r="AC91" s="262"/>
      <c r="AD91" s="442"/>
      <c r="AE91" s="442"/>
      <c r="AF91" s="260"/>
      <c r="AG91" s="260"/>
      <c r="AH91" s="260"/>
      <c r="AI91" s="260"/>
      <c r="AJ91" s="260"/>
      <c r="AK91" s="260"/>
      <c r="AL91" s="260"/>
      <c r="AM91" s="260"/>
      <c r="AN91" s="260"/>
      <c r="AO91" s="260"/>
      <c r="AP91" s="260"/>
      <c r="AQ91" s="260"/>
      <c r="AR91" s="260"/>
      <c r="AS91" s="260"/>
      <c r="AT91" s="260"/>
      <c r="AU91" s="260"/>
      <c r="AV91" s="260"/>
      <c r="AW91" s="260"/>
      <c r="AX91" s="260"/>
      <c r="AY91" s="260"/>
      <c r="AZ91" s="260"/>
      <c r="BA91" s="260"/>
      <c r="BB91" s="260"/>
      <c r="BC91" s="260"/>
      <c r="BD91" s="260"/>
      <c r="BE91" s="260"/>
      <c r="BF91" s="260"/>
      <c r="BG91" s="260"/>
      <c r="BH91" s="442"/>
      <c r="BI91" s="442"/>
      <c r="BJ91" s="260"/>
      <c r="BK91" s="260"/>
      <c r="BL91" s="260"/>
      <c r="BM91" s="260"/>
      <c r="BN91" s="260"/>
      <c r="BO91" s="260"/>
      <c r="BP91" s="260"/>
      <c r="BQ91" s="260"/>
      <c r="BR91" s="260"/>
      <c r="BS91" s="260"/>
      <c r="BT91" s="260"/>
      <c r="BU91" s="260"/>
      <c r="BV91" s="260"/>
      <c r="BW91" s="260"/>
      <c r="BX91" s="260"/>
      <c r="BY91" s="260"/>
      <c r="BZ91" s="260"/>
      <c r="CA91" s="260"/>
      <c r="CB91" s="260"/>
      <c r="CC91" s="260"/>
      <c r="CD91" s="260"/>
      <c r="CE91" s="260"/>
      <c r="CF91" s="260"/>
      <c r="CG91" s="260"/>
      <c r="CH91" s="260"/>
      <c r="CI91" s="260"/>
      <c r="CJ91" s="260"/>
      <c r="CK91" s="260"/>
      <c r="CL91" s="260"/>
      <c r="CM91" s="260"/>
      <c r="CN91" s="260"/>
      <c r="CO91" s="260"/>
      <c r="CP91" s="260"/>
      <c r="CQ91" s="260"/>
      <c r="CR91" s="260"/>
      <c r="CS91" s="260"/>
      <c r="CT91" s="260"/>
      <c r="CU91" s="260"/>
      <c r="CV91" s="260"/>
      <c r="CW91" s="260"/>
      <c r="CX91" s="260"/>
      <c r="CY91" s="260"/>
      <c r="CZ91" s="260"/>
      <c r="DA91" s="260"/>
      <c r="DB91" s="260"/>
      <c r="DC91" s="260"/>
      <c r="DD91" s="260"/>
      <c r="DE91" s="260"/>
      <c r="DF91" s="260"/>
      <c r="DG91" s="260"/>
      <c r="DH91" s="260"/>
      <c r="DI91" s="260"/>
      <c r="DJ91" s="260"/>
      <c r="DK91" s="260"/>
      <c r="DL91" s="260"/>
      <c r="DM91" s="260"/>
      <c r="DN91" s="260"/>
      <c r="DO91" s="260"/>
      <c r="DP91" s="260"/>
      <c r="DQ91" s="260"/>
      <c r="DR91" s="260"/>
      <c r="DS91" s="260"/>
      <c r="DT91" s="260"/>
      <c r="DU91" s="260"/>
      <c r="DV91" s="260"/>
      <c r="DW91" s="260"/>
      <c r="DX91" s="260"/>
      <c r="DY91" s="260"/>
      <c r="DZ91" s="260"/>
      <c r="EA91" s="260"/>
      <c r="EB91" s="260"/>
      <c r="EC91" s="260"/>
      <c r="ED91" s="260"/>
      <c r="EE91" s="260"/>
      <c r="EF91" s="260"/>
      <c r="EG91" s="260"/>
      <c r="EH91" s="260"/>
      <c r="EI91" s="260"/>
      <c r="EJ91" s="260"/>
      <c r="EK91" s="260"/>
      <c r="EL91" s="260"/>
      <c r="EM91" s="260"/>
      <c r="EN91" s="260"/>
      <c r="EO91" s="260"/>
      <c r="EP91" s="260"/>
      <c r="EQ91" s="260"/>
      <c r="ER91" s="260"/>
      <c r="ES91" s="260"/>
      <c r="ET91" s="260"/>
      <c r="EU91" s="260"/>
      <c r="EV91" s="260"/>
      <c r="EW91" s="260"/>
      <c r="EX91" s="260"/>
      <c r="EY91" s="260"/>
      <c r="EZ91" s="260"/>
      <c r="FA91" s="260"/>
      <c r="FB91" s="260"/>
      <c r="FC91" s="260"/>
      <c r="FD91" s="260"/>
      <c r="FE91" s="260"/>
      <c r="FF91" s="260"/>
      <c r="FG91" s="260"/>
      <c r="FH91" s="260"/>
      <c r="FI91" s="260"/>
      <c r="FJ91" s="260"/>
      <c r="FK91" s="260"/>
      <c r="FL91" s="260"/>
      <c r="FM91" s="260"/>
      <c r="FN91" s="260"/>
      <c r="FO91" s="260"/>
      <c r="FP91" s="260"/>
      <c r="FQ91" s="260"/>
      <c r="FR91" s="260"/>
      <c r="FS91" s="260"/>
      <c r="FT91" s="260"/>
      <c r="FU91" s="260"/>
      <c r="FV91" s="260"/>
      <c r="FW91" s="261"/>
      <c r="FX91" s="394"/>
      <c r="FY91" s="394"/>
      <c r="FZ91" s="930"/>
      <c r="GA91" s="930"/>
      <c r="GB91" s="930"/>
      <c r="GC91" s="930" t="s">
        <v>1686</v>
      </c>
      <c r="GD91" s="930"/>
    </row>
    <row r="92" spans="1:186" s="1057" customFormat="1" ht="15" hidden="1" customHeight="1">
      <c r="A92" s="1012"/>
      <c r="B92" s="749" t="b">
        <f>R74="двухставочный"</f>
        <v>0</v>
      </c>
      <c r="C92" s="1012"/>
      <c r="D92" s="1012"/>
      <c r="E92" s="623">
        <v>15.8</v>
      </c>
      <c r="F92" s="714" t="str">
        <f t="shared" ca="1" si="24"/>
        <v>1</v>
      </c>
      <c r="G92" s="394"/>
      <c r="H92" s="394"/>
      <c r="I92" s="394"/>
      <c r="J92" s="394"/>
      <c r="K92" s="394"/>
      <c r="L92" s="394"/>
      <c r="M92" s="394"/>
      <c r="N92" s="394"/>
      <c r="O92" s="394"/>
      <c r="P92" s="394"/>
      <c r="Q92" s="394"/>
      <c r="R92" s="719"/>
      <c r="S92" s="394"/>
      <c r="T92" s="634" t="b">
        <v>0</v>
      </c>
      <c r="U92" s="1012"/>
      <c r="V92" s="1012"/>
      <c r="W92" s="1012"/>
      <c r="X92" s="1405"/>
      <c r="Y92" s="1012"/>
      <c r="Z92" s="1405"/>
      <c r="AA92" s="394"/>
      <c r="AB92" s="576" t="s">
        <v>1689</v>
      </c>
      <c r="AC92" s="280"/>
      <c r="AD92" s="281"/>
      <c r="AE92" s="281"/>
      <c r="AF92" s="281"/>
      <c r="AG92" s="281"/>
      <c r="AH92" s="281"/>
      <c r="AI92" s="281"/>
      <c r="AJ92" s="281"/>
      <c r="AK92" s="281"/>
      <c r="AL92" s="281"/>
      <c r="AM92" s="281"/>
      <c r="AN92" s="281"/>
      <c r="AO92" s="281"/>
      <c r="AP92" s="281"/>
      <c r="AQ92" s="281"/>
      <c r="AR92" s="281"/>
      <c r="AS92" s="281"/>
      <c r="AT92" s="281"/>
      <c r="AU92" s="281"/>
      <c r="AV92" s="281"/>
      <c r="AW92" s="281"/>
      <c r="AX92" s="281"/>
      <c r="AY92" s="281"/>
      <c r="AZ92" s="281"/>
      <c r="BA92" s="281"/>
      <c r="BB92" s="281"/>
      <c r="BC92" s="281"/>
      <c r="BD92" s="281"/>
      <c r="BE92" s="281"/>
      <c r="BF92" s="281"/>
      <c r="BG92" s="281"/>
      <c r="BH92" s="281"/>
      <c r="BI92" s="281"/>
      <c r="BJ92" s="281"/>
      <c r="BK92" s="281"/>
      <c r="BL92" s="281"/>
      <c r="BM92" s="281"/>
      <c r="BN92" s="281"/>
      <c r="BO92" s="281"/>
      <c r="BP92" s="281"/>
      <c r="BQ92" s="281"/>
      <c r="BR92" s="281"/>
      <c r="BS92" s="281"/>
      <c r="BT92" s="281"/>
      <c r="BU92" s="281"/>
      <c r="BV92" s="281"/>
      <c r="BW92" s="281"/>
      <c r="BX92" s="281"/>
      <c r="BY92" s="281"/>
      <c r="BZ92" s="281"/>
      <c r="CA92" s="281"/>
      <c r="CB92" s="281"/>
      <c r="CC92" s="281"/>
      <c r="CD92" s="281"/>
      <c r="CE92" s="281"/>
      <c r="CF92" s="281"/>
      <c r="CG92" s="281"/>
      <c r="CH92" s="281"/>
      <c r="CI92" s="281"/>
      <c r="CJ92" s="281"/>
      <c r="CK92" s="281"/>
      <c r="CL92" s="281"/>
      <c r="CM92" s="281"/>
      <c r="CN92" s="281"/>
      <c r="CO92" s="281"/>
      <c r="CP92" s="281"/>
      <c r="CQ92" s="281"/>
      <c r="CR92" s="281"/>
      <c r="CS92" s="281"/>
      <c r="CT92" s="281"/>
      <c r="CU92" s="281"/>
      <c r="CV92" s="281"/>
      <c r="CW92" s="281"/>
      <c r="CX92" s="281"/>
      <c r="CY92" s="281"/>
      <c r="CZ92" s="281"/>
      <c r="DA92" s="281"/>
      <c r="DB92" s="281"/>
      <c r="DC92" s="281"/>
      <c r="DD92" s="281"/>
      <c r="DE92" s="281"/>
      <c r="DF92" s="281"/>
      <c r="DG92" s="281"/>
      <c r="DH92" s="281"/>
      <c r="DI92" s="281"/>
      <c r="DJ92" s="281"/>
      <c r="DK92" s="281"/>
      <c r="DL92" s="281"/>
      <c r="DM92" s="281"/>
      <c r="DN92" s="281"/>
      <c r="DO92" s="281"/>
      <c r="DP92" s="281"/>
      <c r="DQ92" s="281"/>
      <c r="DR92" s="281"/>
      <c r="DS92" s="281"/>
      <c r="DT92" s="281"/>
      <c r="DU92" s="281"/>
      <c r="DV92" s="281"/>
      <c r="DW92" s="281"/>
      <c r="DX92" s="281"/>
      <c r="DY92" s="281"/>
      <c r="DZ92" s="281"/>
      <c r="EA92" s="281"/>
      <c r="EB92" s="281"/>
      <c r="EC92" s="281"/>
      <c r="ED92" s="281"/>
      <c r="EE92" s="281"/>
      <c r="EF92" s="281"/>
      <c r="EG92" s="281"/>
      <c r="EH92" s="281"/>
      <c r="EI92" s="281"/>
      <c r="EJ92" s="281"/>
      <c r="EK92" s="281"/>
      <c r="EL92" s="281"/>
      <c r="EM92" s="281"/>
      <c r="EN92" s="281"/>
      <c r="EO92" s="281"/>
      <c r="EP92" s="281"/>
      <c r="EQ92" s="281"/>
      <c r="ER92" s="281"/>
      <c r="ES92" s="281"/>
      <c r="ET92" s="281"/>
      <c r="EU92" s="281"/>
      <c r="EV92" s="281"/>
      <c r="EW92" s="281"/>
      <c r="EX92" s="281"/>
      <c r="EY92" s="281"/>
      <c r="EZ92" s="281"/>
      <c r="FA92" s="281"/>
      <c r="FB92" s="281"/>
      <c r="FC92" s="281"/>
      <c r="FD92" s="281"/>
      <c r="FE92" s="281"/>
      <c r="FF92" s="281"/>
      <c r="FG92" s="281"/>
      <c r="FH92" s="281"/>
      <c r="FI92" s="281"/>
      <c r="FJ92" s="281"/>
      <c r="FK92" s="281"/>
      <c r="FL92" s="281"/>
      <c r="FM92" s="281"/>
      <c r="FN92" s="281"/>
      <c r="FO92" s="281"/>
      <c r="FP92" s="281"/>
      <c r="FQ92" s="281"/>
      <c r="FR92" s="281"/>
      <c r="FS92" s="281"/>
      <c r="FT92" s="281"/>
      <c r="FU92" s="281"/>
      <c r="FV92" s="281"/>
      <c r="FW92" s="282"/>
      <c r="FX92" s="394"/>
      <c r="FY92" s="394"/>
      <c r="FZ92" s="930"/>
      <c r="GA92" s="930"/>
      <c r="GB92" s="930"/>
      <c r="GC92" s="930"/>
      <c r="GD92" s="930"/>
    </row>
    <row r="93" spans="1:186" s="1057" customFormat="1" ht="15" hidden="1" customHeight="1">
      <c r="A93" s="1012"/>
      <c r="B93" s="749" t="b">
        <f t="shared" ref="B93:B116" si="27">B92</f>
        <v>0</v>
      </c>
      <c r="C93" s="1012"/>
      <c r="D93" s="1012"/>
      <c r="E93" s="623">
        <v>15.8</v>
      </c>
      <c r="F93" s="714" t="str">
        <f t="shared" ca="1" si="24"/>
        <v>1</v>
      </c>
      <c r="G93" s="394"/>
      <c r="H93" s="394"/>
      <c r="I93" s="394"/>
      <c r="J93" s="394"/>
      <c r="K93" s="394"/>
      <c r="L93" s="394"/>
      <c r="M93" s="394"/>
      <c r="N93" s="394"/>
      <c r="O93" s="394"/>
      <c r="P93" s="394"/>
      <c r="Q93" s="394"/>
      <c r="R93" s="719"/>
      <c r="S93" s="394"/>
      <c r="T93" s="634" t="b">
        <v>0</v>
      </c>
      <c r="U93" s="1012"/>
      <c r="V93" s="1012"/>
      <c r="W93" s="1012"/>
      <c r="X93" s="1405"/>
      <c r="Y93" s="1012"/>
      <c r="Z93" s="1405"/>
      <c r="AA93" s="394"/>
      <c r="AB93" s="284" t="s">
        <v>1690</v>
      </c>
      <c r="AC93" s="289"/>
      <c r="AD93" s="830"/>
      <c r="AE93" s="830"/>
      <c r="AF93" s="830"/>
      <c r="AG93" s="830"/>
      <c r="AH93" s="830"/>
      <c r="AI93" s="830"/>
      <c r="AJ93" s="830"/>
      <c r="AK93" s="830"/>
      <c r="AL93" s="830"/>
      <c r="AM93" s="830"/>
      <c r="AN93" s="830"/>
      <c r="AO93" s="830"/>
      <c r="AP93" s="830"/>
      <c r="AQ93" s="830"/>
      <c r="AR93" s="830"/>
      <c r="AS93" s="830"/>
      <c r="AT93" s="830"/>
      <c r="AU93" s="830"/>
      <c r="AV93" s="830"/>
      <c r="AW93" s="830"/>
      <c r="AX93" s="830"/>
      <c r="AY93" s="830"/>
      <c r="AZ93" s="830"/>
      <c r="BA93" s="830"/>
      <c r="BB93" s="830"/>
      <c r="BC93" s="830"/>
      <c r="BD93" s="830"/>
      <c r="BE93" s="830"/>
      <c r="BF93" s="830"/>
      <c r="BG93" s="830"/>
      <c r="BH93" s="830"/>
      <c r="BI93" s="830"/>
      <c r="BJ93" s="830"/>
      <c r="BK93" s="830"/>
      <c r="BL93" s="830"/>
      <c r="BM93" s="830"/>
      <c r="BN93" s="830"/>
      <c r="BO93" s="830"/>
      <c r="BP93" s="830"/>
      <c r="BQ93" s="830"/>
      <c r="BR93" s="830"/>
      <c r="BS93" s="830"/>
      <c r="BT93" s="830"/>
      <c r="BU93" s="830"/>
      <c r="BV93" s="830"/>
      <c r="BW93" s="830"/>
      <c r="BX93" s="830"/>
      <c r="BY93" s="830"/>
      <c r="BZ93" s="830"/>
      <c r="CA93" s="830"/>
      <c r="CB93" s="830"/>
      <c r="CC93" s="830"/>
      <c r="CD93" s="830"/>
      <c r="CE93" s="830"/>
      <c r="CF93" s="830"/>
      <c r="CG93" s="830"/>
      <c r="CH93" s="830"/>
      <c r="CI93" s="830"/>
      <c r="CJ93" s="830"/>
      <c r="CK93" s="830"/>
      <c r="CL93" s="830"/>
      <c r="CM93" s="830"/>
      <c r="CN93" s="830"/>
      <c r="CO93" s="830"/>
      <c r="CP93" s="830"/>
      <c r="CQ93" s="830"/>
      <c r="CR93" s="830"/>
      <c r="CS93" s="830"/>
      <c r="CT93" s="830"/>
      <c r="CU93" s="830"/>
      <c r="CV93" s="830"/>
      <c r="CW93" s="830"/>
      <c r="CX93" s="830"/>
      <c r="CY93" s="830"/>
      <c r="CZ93" s="830"/>
      <c r="DA93" s="830"/>
      <c r="DB93" s="830"/>
      <c r="DC93" s="830"/>
      <c r="DD93" s="830"/>
      <c r="DE93" s="830"/>
      <c r="DF93" s="830"/>
      <c r="DG93" s="830"/>
      <c r="DH93" s="830"/>
      <c r="DI93" s="830"/>
      <c r="DJ93" s="830"/>
      <c r="DK93" s="830"/>
      <c r="DL93" s="830"/>
      <c r="DM93" s="830"/>
      <c r="DN93" s="830"/>
      <c r="DO93" s="830"/>
      <c r="DP93" s="830"/>
      <c r="DQ93" s="830"/>
      <c r="DR93" s="830"/>
      <c r="DS93" s="830"/>
      <c r="DT93" s="830"/>
      <c r="DU93" s="830"/>
      <c r="DV93" s="830"/>
      <c r="DW93" s="830"/>
      <c r="DX93" s="830"/>
      <c r="DY93" s="830"/>
      <c r="DZ93" s="830"/>
      <c r="EA93" s="830"/>
      <c r="EB93" s="830"/>
      <c r="EC93" s="830"/>
      <c r="ED93" s="830"/>
      <c r="EE93" s="830"/>
      <c r="EF93" s="830"/>
      <c r="EG93" s="830"/>
      <c r="EH93" s="830"/>
      <c r="EI93" s="830"/>
      <c r="EJ93" s="830"/>
      <c r="EK93" s="830"/>
      <c r="EL93" s="830"/>
      <c r="EM93" s="830"/>
      <c r="EN93" s="830"/>
      <c r="EO93" s="830"/>
      <c r="EP93" s="830"/>
      <c r="EQ93" s="830"/>
      <c r="ER93" s="830"/>
      <c r="ES93" s="830"/>
      <c r="ET93" s="830"/>
      <c r="EU93" s="830"/>
      <c r="EV93" s="830"/>
      <c r="EW93" s="830"/>
      <c r="EX93" s="830"/>
      <c r="EY93" s="830"/>
      <c r="EZ93" s="830"/>
      <c r="FA93" s="830"/>
      <c r="FB93" s="830"/>
      <c r="FC93" s="830"/>
      <c r="FD93" s="830"/>
      <c r="FE93" s="830"/>
      <c r="FF93" s="830"/>
      <c r="FG93" s="830"/>
      <c r="FH93" s="830"/>
      <c r="FI93" s="830"/>
      <c r="FJ93" s="830"/>
      <c r="FK93" s="830"/>
      <c r="FL93" s="830"/>
      <c r="FM93" s="830"/>
      <c r="FN93" s="830"/>
      <c r="FO93" s="830"/>
      <c r="FP93" s="830"/>
      <c r="FQ93" s="830"/>
      <c r="FR93" s="830"/>
      <c r="FS93" s="830"/>
      <c r="FT93" s="830"/>
      <c r="FU93" s="830"/>
      <c r="FV93" s="830"/>
      <c r="FW93" s="831"/>
      <c r="FX93" s="394"/>
      <c r="FY93" s="394"/>
      <c r="FZ93" s="930"/>
      <c r="GA93" s="930"/>
      <c r="GB93" s="930"/>
      <c r="GC93" s="930"/>
      <c r="GD93" s="930"/>
    </row>
    <row r="94" spans="1:186" s="1057" customFormat="1" ht="15" hidden="1" customHeight="1">
      <c r="A94" s="1012"/>
      <c r="B94" s="749" t="b">
        <f t="shared" si="27"/>
        <v>0</v>
      </c>
      <c r="C94" s="1012"/>
      <c r="D94" s="1012"/>
      <c r="E94" s="623">
        <v>15.8</v>
      </c>
      <c r="F94" s="714" t="str">
        <f t="shared" ca="1" si="24"/>
        <v>1</v>
      </c>
      <c r="G94" s="566" t="s">
        <v>1444</v>
      </c>
      <c r="H94" s="150" t="s">
        <v>1691</v>
      </c>
      <c r="I94" s="150" t="s">
        <v>1654</v>
      </c>
      <c r="J94" s="394"/>
      <c r="K94" s="394"/>
      <c r="L94" s="394"/>
      <c r="M94" s="394"/>
      <c r="N94" s="394"/>
      <c r="O94" s="394"/>
      <c r="P94" s="394"/>
      <c r="Q94" s="394"/>
      <c r="R94" s="719"/>
      <c r="S94" s="394"/>
      <c r="T94" s="634" t="b">
        <v>0</v>
      </c>
      <c r="U94" s="1012"/>
      <c r="V94" s="1012"/>
      <c r="W94" s="1012"/>
      <c r="X94" s="1405"/>
      <c r="Y94" s="1012"/>
      <c r="Z94" s="1405"/>
      <c r="AA94" s="394"/>
      <c r="AB94" s="210" t="s">
        <v>1692</v>
      </c>
      <c r="AC94" s="519" t="s">
        <v>738</v>
      </c>
      <c r="AD94" s="394"/>
      <c r="AE94" s="394"/>
      <c r="AF94" s="394"/>
      <c r="AG94" s="394"/>
      <c r="AH94" s="394"/>
      <c r="AI94" s="394"/>
      <c r="AJ94" s="394"/>
      <c r="AK94" s="394"/>
      <c r="AL94" s="394"/>
      <c r="AM94" s="394"/>
      <c r="AN94" s="394"/>
      <c r="AO94" s="394"/>
      <c r="AP94" s="394"/>
      <c r="AQ94" s="394"/>
      <c r="AR94" s="394"/>
      <c r="AS94" s="394"/>
      <c r="AT94" s="394"/>
      <c r="AU94" s="394"/>
      <c r="AV94" s="394"/>
      <c r="AW94" s="394"/>
      <c r="AX94" s="394"/>
      <c r="AY94" s="394"/>
      <c r="AZ94" s="394"/>
      <c r="BA94" s="394"/>
      <c r="BB94" s="394"/>
      <c r="BC94" s="394"/>
      <c r="BD94" s="394"/>
      <c r="BE94" s="394"/>
      <c r="BF94" s="394"/>
      <c r="BG94" s="394"/>
      <c r="BH94" s="394"/>
      <c r="BI94" s="394"/>
      <c r="BJ94" s="394"/>
      <c r="BK94" s="394"/>
      <c r="BL94" s="394"/>
      <c r="BM94" s="394"/>
      <c r="BN94" s="394"/>
      <c r="BO94" s="394"/>
      <c r="BP94" s="394"/>
      <c r="BQ94" s="394"/>
      <c r="BR94" s="394"/>
      <c r="BS94" s="394"/>
      <c r="BT94" s="394"/>
      <c r="BU94" s="394"/>
      <c r="BV94" s="394"/>
      <c r="BW94" s="394"/>
      <c r="BX94" s="394"/>
      <c r="BY94" s="394"/>
      <c r="BZ94" s="394"/>
      <c r="CA94" s="394"/>
      <c r="CB94" s="394"/>
      <c r="CC94" s="394"/>
      <c r="CD94" s="394"/>
      <c r="CE94" s="394"/>
      <c r="CF94" s="394"/>
      <c r="CG94" s="394"/>
      <c r="CH94" s="394"/>
      <c r="CI94" s="394"/>
      <c r="CJ94" s="394"/>
      <c r="CK94" s="394"/>
      <c r="CL94" s="394"/>
      <c r="CM94" s="394"/>
      <c r="CN94" s="394"/>
      <c r="CO94" s="394"/>
      <c r="CP94" s="394"/>
      <c r="CQ94" s="394"/>
      <c r="CR94" s="394"/>
      <c r="CS94" s="394"/>
      <c r="CT94" s="394"/>
      <c r="CU94" s="394"/>
      <c r="CV94" s="394"/>
      <c r="CW94" s="394"/>
      <c r="CX94" s="394"/>
      <c r="CY94" s="394"/>
      <c r="CZ94" s="394"/>
      <c r="DA94" s="394"/>
      <c r="DB94" s="394"/>
      <c r="DC94" s="394"/>
      <c r="DD94" s="394"/>
      <c r="DE94" s="394"/>
      <c r="DF94" s="394"/>
      <c r="DG94" s="394"/>
      <c r="DH94" s="394"/>
      <c r="DI94" s="394"/>
      <c r="DJ94" s="394"/>
      <c r="DK94" s="394"/>
      <c r="DL94" s="394"/>
      <c r="DM94" s="394"/>
      <c r="DN94" s="394"/>
      <c r="DO94" s="394"/>
      <c r="DP94" s="394"/>
      <c r="DQ94" s="394"/>
      <c r="DR94" s="394"/>
      <c r="DS94" s="394"/>
      <c r="DT94" s="394"/>
      <c r="DU94" s="394"/>
      <c r="DV94" s="394"/>
      <c r="DW94" s="394"/>
      <c r="DX94" s="394"/>
      <c r="DY94" s="394"/>
      <c r="DZ94" s="394"/>
      <c r="EA94" s="394"/>
      <c r="EB94" s="394"/>
      <c r="EC94" s="394"/>
      <c r="ED94" s="394"/>
      <c r="EE94" s="394"/>
      <c r="EF94" s="394"/>
      <c r="EG94" s="394"/>
      <c r="EH94" s="394"/>
      <c r="EI94" s="394"/>
      <c r="EJ94" s="394"/>
      <c r="EK94" s="394"/>
      <c r="EL94" s="394"/>
      <c r="EM94" s="394"/>
      <c r="EN94" s="394"/>
      <c r="EO94" s="394"/>
      <c r="EP94" s="394"/>
      <c r="EQ94" s="394"/>
      <c r="ER94" s="394"/>
      <c r="ES94" s="394"/>
      <c r="ET94" s="394"/>
      <c r="EU94" s="394"/>
      <c r="EV94" s="394"/>
      <c r="EW94" s="394"/>
      <c r="EX94" s="394"/>
      <c r="EY94" s="394"/>
      <c r="EZ94" s="394"/>
      <c r="FA94" s="394"/>
      <c r="FB94" s="394"/>
      <c r="FC94" s="394"/>
      <c r="FD94" s="394"/>
      <c r="FE94" s="394"/>
      <c r="FF94" s="394"/>
      <c r="FG94" s="394"/>
      <c r="FH94" s="394"/>
      <c r="FI94" s="394"/>
      <c r="FJ94" s="394"/>
      <c r="FK94" s="394"/>
      <c r="FL94" s="394"/>
      <c r="FM94" s="394"/>
      <c r="FN94" s="394"/>
      <c r="FO94" s="394"/>
      <c r="FP94" s="394"/>
      <c r="FQ94" s="394"/>
      <c r="FR94" s="394"/>
      <c r="FS94" s="394"/>
      <c r="FT94" s="394"/>
      <c r="FU94" s="394"/>
      <c r="FV94" s="394"/>
      <c r="FW94" s="394"/>
      <c r="FX94" s="394"/>
      <c r="FY94" s="394"/>
      <c r="FZ94" s="930"/>
      <c r="GA94" s="930"/>
      <c r="GB94" s="930"/>
      <c r="GC94" s="930"/>
      <c r="GD94" s="930"/>
    </row>
    <row r="95" spans="1:186" s="1057" customFormat="1" ht="15" hidden="1" customHeight="1">
      <c r="A95" s="1012"/>
      <c r="B95" s="749" t="b">
        <f t="shared" si="27"/>
        <v>0</v>
      </c>
      <c r="C95" s="1012"/>
      <c r="D95" s="1012"/>
      <c r="E95" s="623">
        <v>15.8</v>
      </c>
      <c r="F95" s="714" t="str">
        <f t="shared" ca="1" si="24"/>
        <v>1</v>
      </c>
      <c r="G95" s="566" t="s">
        <v>1693</v>
      </c>
      <c r="H95" s="150" t="s">
        <v>1694</v>
      </c>
      <c r="I95" s="150" t="s">
        <v>1654</v>
      </c>
      <c r="J95" s="394"/>
      <c r="K95" s="394"/>
      <c r="L95" s="394"/>
      <c r="M95" s="394"/>
      <c r="N95" s="394"/>
      <c r="O95" s="394"/>
      <c r="P95" s="394"/>
      <c r="Q95" s="394"/>
      <c r="R95" s="719"/>
      <c r="S95" s="394"/>
      <c r="T95" s="634" t="b">
        <v>0</v>
      </c>
      <c r="U95" s="1012"/>
      <c r="V95" s="1012"/>
      <c r="W95" s="1012"/>
      <c r="X95" s="1405"/>
      <c r="Y95" s="1012"/>
      <c r="Z95" s="1405"/>
      <c r="AA95" s="394"/>
      <c r="AB95" s="210" t="s">
        <v>1695</v>
      </c>
      <c r="AC95" s="519" t="s">
        <v>738</v>
      </c>
      <c r="AD95" s="394"/>
      <c r="AE95" s="394"/>
      <c r="AF95" s="394"/>
      <c r="AG95" s="394"/>
      <c r="AH95" s="394"/>
      <c r="AI95" s="394"/>
      <c r="AJ95" s="394"/>
      <c r="AK95" s="394"/>
      <c r="AL95" s="394"/>
      <c r="AM95" s="394"/>
      <c r="AN95" s="394"/>
      <c r="AO95" s="394"/>
      <c r="AP95" s="394"/>
      <c r="AQ95" s="394"/>
      <c r="AR95" s="394"/>
      <c r="AS95" s="394"/>
      <c r="AT95" s="394"/>
      <c r="AU95" s="394"/>
      <c r="AV95" s="394"/>
      <c r="AW95" s="394"/>
      <c r="AX95" s="394"/>
      <c r="AY95" s="394"/>
      <c r="AZ95" s="394"/>
      <c r="BA95" s="394"/>
      <c r="BB95" s="394"/>
      <c r="BC95" s="394"/>
      <c r="BD95" s="394"/>
      <c r="BE95" s="394"/>
      <c r="BF95" s="394"/>
      <c r="BG95" s="394"/>
      <c r="BH95" s="394"/>
      <c r="BI95" s="394"/>
      <c r="BJ95" s="394"/>
      <c r="BK95" s="394"/>
      <c r="BL95" s="394"/>
      <c r="BM95" s="394"/>
      <c r="BN95" s="394"/>
      <c r="BO95" s="394"/>
      <c r="BP95" s="394"/>
      <c r="BQ95" s="394"/>
      <c r="BR95" s="394"/>
      <c r="BS95" s="394"/>
      <c r="BT95" s="394"/>
      <c r="BU95" s="394"/>
      <c r="BV95" s="394"/>
      <c r="BW95" s="394"/>
      <c r="BX95" s="394"/>
      <c r="BY95" s="394"/>
      <c r="BZ95" s="394"/>
      <c r="CA95" s="394"/>
      <c r="CB95" s="394"/>
      <c r="CC95" s="394"/>
      <c r="CD95" s="394"/>
      <c r="CE95" s="394"/>
      <c r="CF95" s="394"/>
      <c r="CG95" s="394"/>
      <c r="CH95" s="394"/>
      <c r="CI95" s="394"/>
      <c r="CJ95" s="394"/>
      <c r="CK95" s="394"/>
      <c r="CL95" s="394"/>
      <c r="CM95" s="394"/>
      <c r="CN95" s="394"/>
      <c r="CO95" s="394"/>
      <c r="CP95" s="394"/>
      <c r="CQ95" s="394"/>
      <c r="CR95" s="394"/>
      <c r="CS95" s="394"/>
      <c r="CT95" s="394"/>
      <c r="CU95" s="394"/>
      <c r="CV95" s="394"/>
      <c r="CW95" s="394"/>
      <c r="CX95" s="394"/>
      <c r="CY95" s="394"/>
      <c r="CZ95" s="394"/>
      <c r="DA95" s="394"/>
      <c r="DB95" s="394"/>
      <c r="DC95" s="394"/>
      <c r="DD95" s="394"/>
      <c r="DE95" s="394"/>
      <c r="DF95" s="394"/>
      <c r="DG95" s="394"/>
      <c r="DH95" s="394"/>
      <c r="DI95" s="394"/>
      <c r="DJ95" s="394"/>
      <c r="DK95" s="394"/>
      <c r="DL95" s="394"/>
      <c r="DM95" s="394"/>
      <c r="DN95" s="394"/>
      <c r="DO95" s="394"/>
      <c r="DP95" s="394"/>
      <c r="DQ95" s="394"/>
      <c r="DR95" s="394"/>
      <c r="DS95" s="394"/>
      <c r="DT95" s="394"/>
      <c r="DU95" s="394"/>
      <c r="DV95" s="394"/>
      <c r="DW95" s="394"/>
      <c r="DX95" s="394"/>
      <c r="DY95" s="394"/>
      <c r="DZ95" s="394"/>
      <c r="EA95" s="394"/>
      <c r="EB95" s="394"/>
      <c r="EC95" s="394"/>
      <c r="ED95" s="394"/>
      <c r="EE95" s="394"/>
      <c r="EF95" s="394"/>
      <c r="EG95" s="394"/>
      <c r="EH95" s="394"/>
      <c r="EI95" s="394"/>
      <c r="EJ95" s="394"/>
      <c r="EK95" s="394"/>
      <c r="EL95" s="394"/>
      <c r="EM95" s="394"/>
      <c r="EN95" s="394"/>
      <c r="EO95" s="394"/>
      <c r="EP95" s="394"/>
      <c r="EQ95" s="394"/>
      <c r="ER95" s="394"/>
      <c r="ES95" s="394"/>
      <c r="ET95" s="394"/>
      <c r="EU95" s="394"/>
      <c r="EV95" s="394"/>
      <c r="EW95" s="394"/>
      <c r="EX95" s="394"/>
      <c r="EY95" s="394"/>
      <c r="EZ95" s="394"/>
      <c r="FA95" s="394"/>
      <c r="FB95" s="394"/>
      <c r="FC95" s="394"/>
      <c r="FD95" s="394"/>
      <c r="FE95" s="394"/>
      <c r="FF95" s="394"/>
      <c r="FG95" s="394"/>
      <c r="FH95" s="394"/>
      <c r="FI95" s="394"/>
      <c r="FJ95" s="394"/>
      <c r="FK95" s="394"/>
      <c r="FL95" s="394"/>
      <c r="FM95" s="394"/>
      <c r="FN95" s="394"/>
      <c r="FO95" s="394"/>
      <c r="FP95" s="394"/>
      <c r="FQ95" s="394"/>
      <c r="FR95" s="394"/>
      <c r="FS95" s="394"/>
      <c r="FT95" s="394"/>
      <c r="FU95" s="394"/>
      <c r="FV95" s="394"/>
      <c r="FW95" s="394"/>
      <c r="FX95" s="394"/>
      <c r="FY95" s="394"/>
      <c r="FZ95" s="930"/>
      <c r="GA95" s="930"/>
      <c r="GB95" s="930"/>
      <c r="GC95" s="930"/>
      <c r="GD95" s="930"/>
    </row>
    <row r="96" spans="1:186" s="1057" customFormat="1" ht="15" hidden="1" customHeight="1">
      <c r="A96" s="1012"/>
      <c r="B96" s="749" t="b">
        <f t="shared" si="27"/>
        <v>0</v>
      </c>
      <c r="C96" s="1012"/>
      <c r="D96" s="1012"/>
      <c r="E96" s="623">
        <v>15.8</v>
      </c>
      <c r="F96" s="714" t="str">
        <f t="shared" ca="1" si="24"/>
        <v>1</v>
      </c>
      <c r="G96" s="130" t="s">
        <v>1441</v>
      </c>
      <c r="H96" s="150" t="s">
        <v>1696</v>
      </c>
      <c r="I96" s="150" t="s">
        <v>1654</v>
      </c>
      <c r="J96" s="394"/>
      <c r="K96" s="394"/>
      <c r="L96" s="394"/>
      <c r="M96" s="394"/>
      <c r="N96" s="394"/>
      <c r="O96" s="394"/>
      <c r="P96" s="394"/>
      <c r="Q96" s="394"/>
      <c r="R96" s="719"/>
      <c r="S96" s="394"/>
      <c r="T96" s="634" t="b">
        <v>0</v>
      </c>
      <c r="U96" s="1012"/>
      <c r="V96" s="1012"/>
      <c r="W96" s="1012"/>
      <c r="X96" s="1405"/>
      <c r="Y96" s="1012"/>
      <c r="Z96" s="1405"/>
      <c r="AA96" s="394"/>
      <c r="AB96" s="210" t="s">
        <v>1697</v>
      </c>
      <c r="AC96" s="519" t="s">
        <v>598</v>
      </c>
      <c r="AD96" s="394"/>
      <c r="AE96" s="394"/>
      <c r="AF96" s="394"/>
      <c r="AG96" s="394"/>
      <c r="AH96" s="394"/>
      <c r="AI96" s="394"/>
      <c r="AJ96" s="394"/>
      <c r="AK96" s="394"/>
      <c r="AL96" s="394"/>
      <c r="AM96" s="394"/>
      <c r="AN96" s="394"/>
      <c r="AO96" s="394"/>
      <c r="AP96" s="394"/>
      <c r="AQ96" s="394"/>
      <c r="AR96" s="394"/>
      <c r="AS96" s="394"/>
      <c r="AT96" s="394"/>
      <c r="AU96" s="394"/>
      <c r="AV96" s="394"/>
      <c r="AW96" s="394"/>
      <c r="AX96" s="394"/>
      <c r="AY96" s="394"/>
      <c r="AZ96" s="394"/>
      <c r="BA96" s="394"/>
      <c r="BB96" s="394"/>
      <c r="BC96" s="394"/>
      <c r="BD96" s="394"/>
      <c r="BE96" s="394"/>
      <c r="BF96" s="394"/>
      <c r="BG96" s="394"/>
      <c r="BH96" s="394"/>
      <c r="BI96" s="394"/>
      <c r="BJ96" s="394"/>
      <c r="BK96" s="394"/>
      <c r="BL96" s="394"/>
      <c r="BM96" s="394"/>
      <c r="BN96" s="394"/>
      <c r="BO96" s="394"/>
      <c r="BP96" s="394"/>
      <c r="BQ96" s="394"/>
      <c r="BR96" s="394"/>
      <c r="BS96" s="394"/>
      <c r="BT96" s="394"/>
      <c r="BU96" s="394"/>
      <c r="BV96" s="394"/>
      <c r="BW96" s="394"/>
      <c r="BX96" s="394"/>
      <c r="BY96" s="394"/>
      <c r="BZ96" s="394"/>
      <c r="CA96" s="394"/>
      <c r="CB96" s="394"/>
      <c r="CC96" s="394"/>
      <c r="CD96" s="394"/>
      <c r="CE96" s="394"/>
      <c r="CF96" s="394"/>
      <c r="CG96" s="394"/>
      <c r="CH96" s="394"/>
      <c r="CI96" s="394"/>
      <c r="CJ96" s="394"/>
      <c r="CK96" s="394"/>
      <c r="CL96" s="394"/>
      <c r="CM96" s="394"/>
      <c r="CN96" s="394"/>
      <c r="CO96" s="394"/>
      <c r="CP96" s="394"/>
      <c r="CQ96" s="394"/>
      <c r="CR96" s="394"/>
      <c r="CS96" s="394"/>
      <c r="CT96" s="394"/>
      <c r="CU96" s="394"/>
      <c r="CV96" s="394"/>
      <c r="CW96" s="394"/>
      <c r="CX96" s="394"/>
      <c r="CY96" s="394"/>
      <c r="CZ96" s="394"/>
      <c r="DA96" s="394"/>
      <c r="DB96" s="394"/>
      <c r="DC96" s="394"/>
      <c r="DD96" s="394"/>
      <c r="DE96" s="394"/>
      <c r="DF96" s="394"/>
      <c r="DG96" s="394"/>
      <c r="DH96" s="394"/>
      <c r="DI96" s="394"/>
      <c r="DJ96" s="394"/>
      <c r="DK96" s="394"/>
      <c r="DL96" s="394"/>
      <c r="DM96" s="394"/>
      <c r="DN96" s="394"/>
      <c r="DO96" s="394"/>
      <c r="DP96" s="394"/>
      <c r="DQ96" s="394"/>
      <c r="DR96" s="394"/>
      <c r="DS96" s="394"/>
      <c r="DT96" s="394"/>
      <c r="DU96" s="394"/>
      <c r="DV96" s="394"/>
      <c r="DW96" s="394"/>
      <c r="DX96" s="394"/>
      <c r="DY96" s="394"/>
      <c r="DZ96" s="394"/>
      <c r="EA96" s="394"/>
      <c r="EB96" s="394"/>
      <c r="EC96" s="394"/>
      <c r="ED96" s="394"/>
      <c r="EE96" s="394"/>
      <c r="EF96" s="394"/>
      <c r="EG96" s="394"/>
      <c r="EH96" s="394"/>
      <c r="EI96" s="394"/>
      <c r="EJ96" s="394"/>
      <c r="EK96" s="394"/>
      <c r="EL96" s="394"/>
      <c r="EM96" s="394"/>
      <c r="EN96" s="394"/>
      <c r="EO96" s="394"/>
      <c r="EP96" s="394"/>
      <c r="EQ96" s="394"/>
      <c r="ER96" s="394"/>
      <c r="ES96" s="394"/>
      <c r="ET96" s="394"/>
      <c r="EU96" s="394"/>
      <c r="EV96" s="394"/>
      <c r="EW96" s="394"/>
      <c r="EX96" s="394"/>
      <c r="EY96" s="394"/>
      <c r="EZ96" s="394"/>
      <c r="FA96" s="394"/>
      <c r="FB96" s="394"/>
      <c r="FC96" s="394"/>
      <c r="FD96" s="394"/>
      <c r="FE96" s="394"/>
      <c r="FF96" s="394"/>
      <c r="FG96" s="394"/>
      <c r="FH96" s="394"/>
      <c r="FI96" s="394"/>
      <c r="FJ96" s="394"/>
      <c r="FK96" s="394"/>
      <c r="FL96" s="394"/>
      <c r="FM96" s="394"/>
      <c r="FN96" s="394"/>
      <c r="FO96" s="394"/>
      <c r="FP96" s="394"/>
      <c r="FQ96" s="394"/>
      <c r="FR96" s="394"/>
      <c r="FS96" s="394"/>
      <c r="FT96" s="394"/>
      <c r="FU96" s="394"/>
      <c r="FV96" s="394"/>
      <c r="FW96" s="394"/>
      <c r="FX96" s="394"/>
      <c r="FY96" s="394"/>
      <c r="FZ96" s="930"/>
      <c r="GA96" s="930"/>
      <c r="GB96" s="930"/>
      <c r="GC96" s="930"/>
      <c r="GD96" s="930"/>
    </row>
    <row r="97" spans="1:186" s="1057" customFormat="1" ht="30" hidden="1" customHeight="1">
      <c r="A97" s="1012"/>
      <c r="B97" s="749" t="b">
        <f t="shared" si="27"/>
        <v>0</v>
      </c>
      <c r="C97" s="1012"/>
      <c r="D97" s="1012"/>
      <c r="E97" s="623">
        <v>31.5</v>
      </c>
      <c r="F97" s="714" t="str">
        <f t="shared" ca="1" si="24"/>
        <v>1</v>
      </c>
      <c r="G97" s="566" t="s">
        <v>1698</v>
      </c>
      <c r="H97" s="150" t="s">
        <v>1699</v>
      </c>
      <c r="I97" s="150" t="s">
        <v>1654</v>
      </c>
      <c r="J97" s="394"/>
      <c r="K97" s="394"/>
      <c r="L97" s="394"/>
      <c r="M97" s="394"/>
      <c r="N97" s="394"/>
      <c r="O97" s="394"/>
      <c r="P97" s="394"/>
      <c r="Q97" s="394"/>
      <c r="R97" s="719"/>
      <c r="S97" s="394"/>
      <c r="T97" s="634" t="b">
        <v>0</v>
      </c>
      <c r="U97" s="1012"/>
      <c r="V97" s="1012"/>
      <c r="W97" s="1012"/>
      <c r="X97" s="1405"/>
      <c r="Y97" s="1012"/>
      <c r="Z97" s="1405"/>
      <c r="AA97" s="394"/>
      <c r="AB97" s="210" t="s">
        <v>1700</v>
      </c>
      <c r="AC97" s="413" t="s">
        <v>1701</v>
      </c>
      <c r="AD97" s="394"/>
      <c r="AE97" s="394"/>
      <c r="AF97" s="394"/>
      <c r="AG97" s="394"/>
      <c r="AH97" s="394"/>
      <c r="AI97" s="394"/>
      <c r="AJ97" s="394"/>
      <c r="AK97" s="394"/>
      <c r="AL97" s="394"/>
      <c r="AM97" s="394"/>
      <c r="AN97" s="394"/>
      <c r="AO97" s="394"/>
      <c r="AP97" s="394"/>
      <c r="AQ97" s="394"/>
      <c r="AR97" s="394"/>
      <c r="AS97" s="394"/>
      <c r="AT97" s="394"/>
      <c r="AU97" s="394"/>
      <c r="AV97" s="394"/>
      <c r="AW97" s="394"/>
      <c r="AX97" s="394"/>
      <c r="AY97" s="394"/>
      <c r="AZ97" s="394"/>
      <c r="BA97" s="394"/>
      <c r="BB97" s="394"/>
      <c r="BC97" s="394"/>
      <c r="BD97" s="394"/>
      <c r="BE97" s="394"/>
      <c r="BF97" s="394"/>
      <c r="BG97" s="394"/>
      <c r="BH97" s="394"/>
      <c r="BI97" s="394"/>
      <c r="BJ97" s="394"/>
      <c r="BK97" s="394"/>
      <c r="BL97" s="394"/>
      <c r="BM97" s="394"/>
      <c r="BN97" s="394"/>
      <c r="BO97" s="394"/>
      <c r="BP97" s="394"/>
      <c r="BQ97" s="394"/>
      <c r="BR97" s="394"/>
      <c r="BS97" s="394"/>
      <c r="BT97" s="394"/>
      <c r="BU97" s="394"/>
      <c r="BV97" s="394"/>
      <c r="BW97" s="394"/>
      <c r="BX97" s="394"/>
      <c r="BY97" s="394"/>
      <c r="BZ97" s="394"/>
      <c r="CA97" s="394"/>
      <c r="CB97" s="394"/>
      <c r="CC97" s="394"/>
      <c r="CD97" s="394"/>
      <c r="CE97" s="394"/>
      <c r="CF97" s="394"/>
      <c r="CG97" s="394"/>
      <c r="CH97" s="394"/>
      <c r="CI97" s="394"/>
      <c r="CJ97" s="394"/>
      <c r="CK97" s="394"/>
      <c r="CL97" s="394"/>
      <c r="CM97" s="394"/>
      <c r="CN97" s="394"/>
      <c r="CO97" s="394"/>
      <c r="CP97" s="394"/>
      <c r="CQ97" s="394"/>
      <c r="CR97" s="394"/>
      <c r="CS97" s="394"/>
      <c r="CT97" s="394"/>
      <c r="CU97" s="394"/>
      <c r="CV97" s="394"/>
      <c r="CW97" s="394"/>
      <c r="CX97" s="394"/>
      <c r="CY97" s="394"/>
      <c r="CZ97" s="394"/>
      <c r="DA97" s="394"/>
      <c r="DB97" s="394"/>
      <c r="DC97" s="394"/>
      <c r="DD97" s="394"/>
      <c r="DE97" s="394"/>
      <c r="DF97" s="394"/>
      <c r="DG97" s="394"/>
      <c r="DH97" s="394"/>
      <c r="DI97" s="394"/>
      <c r="DJ97" s="394"/>
      <c r="DK97" s="394"/>
      <c r="DL97" s="394"/>
      <c r="DM97" s="394"/>
      <c r="DN97" s="394"/>
      <c r="DO97" s="394"/>
      <c r="DP97" s="394"/>
      <c r="DQ97" s="394"/>
      <c r="DR97" s="394"/>
      <c r="DS97" s="394"/>
      <c r="DT97" s="394"/>
      <c r="DU97" s="394"/>
      <c r="DV97" s="394"/>
      <c r="DW97" s="394"/>
      <c r="DX97" s="394"/>
      <c r="DY97" s="394"/>
      <c r="DZ97" s="394"/>
      <c r="EA97" s="394"/>
      <c r="EB97" s="394"/>
      <c r="EC97" s="394"/>
      <c r="ED97" s="394"/>
      <c r="EE97" s="394"/>
      <c r="EF97" s="394"/>
      <c r="EG97" s="394"/>
      <c r="EH97" s="394"/>
      <c r="EI97" s="394"/>
      <c r="EJ97" s="394"/>
      <c r="EK97" s="394"/>
      <c r="EL97" s="394"/>
      <c r="EM97" s="394"/>
      <c r="EN97" s="394"/>
      <c r="EO97" s="394"/>
      <c r="EP97" s="394"/>
      <c r="EQ97" s="394"/>
      <c r="ER97" s="394"/>
      <c r="ES97" s="394"/>
      <c r="ET97" s="394"/>
      <c r="EU97" s="394"/>
      <c r="EV97" s="394"/>
      <c r="EW97" s="394"/>
      <c r="EX97" s="394"/>
      <c r="EY97" s="394"/>
      <c r="EZ97" s="394"/>
      <c r="FA97" s="394"/>
      <c r="FB97" s="394"/>
      <c r="FC97" s="394"/>
      <c r="FD97" s="394"/>
      <c r="FE97" s="394"/>
      <c r="FF97" s="394"/>
      <c r="FG97" s="394"/>
      <c r="FH97" s="394"/>
      <c r="FI97" s="394"/>
      <c r="FJ97" s="394"/>
      <c r="FK97" s="394"/>
      <c r="FL97" s="394"/>
      <c r="FM97" s="394"/>
      <c r="FN97" s="394"/>
      <c r="FO97" s="394"/>
      <c r="FP97" s="394"/>
      <c r="FQ97" s="394"/>
      <c r="FR97" s="394"/>
      <c r="FS97" s="394"/>
      <c r="FT97" s="394"/>
      <c r="FU97" s="394"/>
      <c r="FV97" s="394"/>
      <c r="FW97" s="394"/>
      <c r="FX97" s="394"/>
      <c r="FY97" s="394"/>
      <c r="FZ97" s="930"/>
      <c r="GA97" s="930"/>
      <c r="GB97" s="930"/>
      <c r="GC97" s="930"/>
      <c r="GD97" s="930"/>
    </row>
    <row r="98" spans="1:186" s="1057" customFormat="1" ht="15" hidden="1" customHeight="1">
      <c r="A98" s="1012"/>
      <c r="B98" s="749" t="b">
        <f t="shared" si="27"/>
        <v>0</v>
      </c>
      <c r="C98" s="1012"/>
      <c r="D98" s="1012"/>
      <c r="E98" s="623">
        <v>15.8</v>
      </c>
      <c r="F98" s="714" t="str">
        <f t="shared" ca="1" si="24"/>
        <v>1</v>
      </c>
      <c r="G98" s="566" t="s">
        <v>1702</v>
      </c>
      <c r="H98" s="150" t="s">
        <v>1703</v>
      </c>
      <c r="I98" s="150" t="s">
        <v>1654</v>
      </c>
      <c r="J98" s="394"/>
      <c r="K98" s="394"/>
      <c r="L98" s="394"/>
      <c r="M98" s="394"/>
      <c r="N98" s="394"/>
      <c r="O98" s="394"/>
      <c r="P98" s="394"/>
      <c r="Q98" s="394"/>
      <c r="R98" s="719"/>
      <c r="S98" s="394"/>
      <c r="T98" s="634" t="b">
        <v>0</v>
      </c>
      <c r="U98" s="1012"/>
      <c r="V98" s="1012"/>
      <c r="W98" s="1012"/>
      <c r="X98" s="1405"/>
      <c r="Y98" s="1012"/>
      <c r="Z98" s="1405"/>
      <c r="AA98" s="394"/>
      <c r="AB98" s="210" t="s">
        <v>1704</v>
      </c>
      <c r="AC98" s="507" t="s">
        <v>804</v>
      </c>
      <c r="AD98" s="394"/>
      <c r="AE98" s="394"/>
      <c r="AF98" s="394"/>
      <c r="AG98" s="394"/>
      <c r="AH98" s="394"/>
      <c r="AI98" s="394"/>
      <c r="AJ98" s="394"/>
      <c r="AK98" s="394"/>
      <c r="AL98" s="394"/>
      <c r="AM98" s="394"/>
      <c r="AN98" s="394"/>
      <c r="AO98" s="394"/>
      <c r="AP98" s="394"/>
      <c r="AQ98" s="394"/>
      <c r="AR98" s="394"/>
      <c r="AS98" s="394"/>
      <c r="AT98" s="394"/>
      <c r="AU98" s="394"/>
      <c r="AV98" s="394"/>
      <c r="AW98" s="394"/>
      <c r="AX98" s="394"/>
      <c r="AY98" s="394"/>
      <c r="AZ98" s="394"/>
      <c r="BA98" s="394"/>
      <c r="BB98" s="394"/>
      <c r="BC98" s="394"/>
      <c r="BD98" s="394"/>
      <c r="BE98" s="394"/>
      <c r="BF98" s="394"/>
      <c r="BG98" s="394"/>
      <c r="BH98" s="394"/>
      <c r="BI98" s="394"/>
      <c r="BJ98" s="394"/>
      <c r="BK98" s="394"/>
      <c r="BL98" s="394"/>
      <c r="BM98" s="394"/>
      <c r="BN98" s="394"/>
      <c r="BO98" s="394"/>
      <c r="BP98" s="394"/>
      <c r="BQ98" s="394"/>
      <c r="BR98" s="394"/>
      <c r="BS98" s="394"/>
      <c r="BT98" s="394"/>
      <c r="BU98" s="394"/>
      <c r="BV98" s="394"/>
      <c r="BW98" s="394"/>
      <c r="BX98" s="394"/>
      <c r="BY98" s="394"/>
      <c r="BZ98" s="394"/>
      <c r="CA98" s="394"/>
      <c r="CB98" s="394"/>
      <c r="CC98" s="394"/>
      <c r="CD98" s="394"/>
      <c r="CE98" s="394"/>
      <c r="CF98" s="394"/>
      <c r="CG98" s="394"/>
      <c r="CH98" s="394"/>
      <c r="CI98" s="394"/>
      <c r="CJ98" s="394"/>
      <c r="CK98" s="394"/>
      <c r="CL98" s="394"/>
      <c r="CM98" s="394"/>
      <c r="CN98" s="394"/>
      <c r="CO98" s="394"/>
      <c r="CP98" s="394"/>
      <c r="CQ98" s="394"/>
      <c r="CR98" s="394"/>
      <c r="CS98" s="394"/>
      <c r="CT98" s="394"/>
      <c r="CU98" s="394"/>
      <c r="CV98" s="394"/>
      <c r="CW98" s="394"/>
      <c r="CX98" s="394"/>
      <c r="CY98" s="394"/>
      <c r="CZ98" s="394"/>
      <c r="DA98" s="394"/>
      <c r="DB98" s="394"/>
      <c r="DC98" s="394"/>
      <c r="DD98" s="394"/>
      <c r="DE98" s="394"/>
      <c r="DF98" s="394"/>
      <c r="DG98" s="394"/>
      <c r="DH98" s="394"/>
      <c r="DI98" s="394"/>
      <c r="DJ98" s="394"/>
      <c r="DK98" s="394"/>
      <c r="DL98" s="394"/>
      <c r="DM98" s="394"/>
      <c r="DN98" s="394"/>
      <c r="DO98" s="394"/>
      <c r="DP98" s="394"/>
      <c r="DQ98" s="394"/>
      <c r="DR98" s="394"/>
      <c r="DS98" s="394"/>
      <c r="DT98" s="394"/>
      <c r="DU98" s="394"/>
      <c r="DV98" s="394"/>
      <c r="DW98" s="394"/>
      <c r="DX98" s="394"/>
      <c r="DY98" s="394"/>
      <c r="DZ98" s="394"/>
      <c r="EA98" s="394"/>
      <c r="EB98" s="394"/>
      <c r="EC98" s="394"/>
      <c r="ED98" s="394"/>
      <c r="EE98" s="394"/>
      <c r="EF98" s="394"/>
      <c r="EG98" s="394"/>
      <c r="EH98" s="394"/>
      <c r="EI98" s="394"/>
      <c r="EJ98" s="394"/>
      <c r="EK98" s="394"/>
      <c r="EL98" s="394"/>
      <c r="EM98" s="394"/>
      <c r="EN98" s="394"/>
      <c r="EO98" s="394"/>
      <c r="EP98" s="394"/>
      <c r="EQ98" s="394"/>
      <c r="ER98" s="394"/>
      <c r="ES98" s="394"/>
      <c r="ET98" s="394"/>
      <c r="EU98" s="394"/>
      <c r="EV98" s="394"/>
      <c r="EW98" s="394"/>
      <c r="EX98" s="394"/>
      <c r="EY98" s="394"/>
      <c r="EZ98" s="394"/>
      <c r="FA98" s="394"/>
      <c r="FB98" s="394"/>
      <c r="FC98" s="394"/>
      <c r="FD98" s="394"/>
      <c r="FE98" s="394"/>
      <c r="FF98" s="394"/>
      <c r="FG98" s="394"/>
      <c r="FH98" s="394"/>
      <c r="FI98" s="394"/>
      <c r="FJ98" s="394"/>
      <c r="FK98" s="394"/>
      <c r="FL98" s="394"/>
      <c r="FM98" s="394"/>
      <c r="FN98" s="394"/>
      <c r="FO98" s="394"/>
      <c r="FP98" s="394"/>
      <c r="FQ98" s="394"/>
      <c r="FR98" s="394"/>
      <c r="FS98" s="394"/>
      <c r="FT98" s="394"/>
      <c r="FU98" s="394"/>
      <c r="FV98" s="394"/>
      <c r="FW98" s="394"/>
      <c r="FX98" s="394"/>
      <c r="FY98" s="394"/>
      <c r="FZ98" s="930"/>
      <c r="GA98" s="930"/>
      <c r="GB98" s="930"/>
      <c r="GC98" s="930"/>
      <c r="GD98" s="930"/>
    </row>
    <row r="99" spans="1:186" s="1057" customFormat="1" ht="15" hidden="1" customHeight="1">
      <c r="A99" s="1012"/>
      <c r="B99" s="749" t="b">
        <f t="shared" si="27"/>
        <v>0</v>
      </c>
      <c r="C99" s="1012"/>
      <c r="D99" s="1012"/>
      <c r="E99" s="623">
        <v>15.8</v>
      </c>
      <c r="F99" s="714" t="str">
        <f t="shared" ca="1" si="24"/>
        <v>1</v>
      </c>
      <c r="G99" s="394"/>
      <c r="H99" s="394"/>
      <c r="I99" s="394"/>
      <c r="J99" s="394"/>
      <c r="K99" s="394"/>
      <c r="L99" s="394"/>
      <c r="M99" s="394"/>
      <c r="N99" s="394"/>
      <c r="O99" s="394"/>
      <c r="P99" s="394"/>
      <c r="Q99" s="394"/>
      <c r="R99" s="719"/>
      <c r="S99" s="394"/>
      <c r="T99" s="634" t="b">
        <v>0</v>
      </c>
      <c r="U99" s="1012"/>
      <c r="V99" s="1012"/>
      <c r="W99" s="1012"/>
      <c r="X99" s="1405"/>
      <c r="Y99" s="1012"/>
      <c r="Z99" s="1405"/>
      <c r="AA99" s="394"/>
      <c r="AB99" s="284" t="s">
        <v>1705</v>
      </c>
      <c r="AC99" s="289"/>
      <c r="AD99" s="394"/>
      <c r="AE99" s="394"/>
      <c r="AF99" s="394"/>
      <c r="AG99" s="394"/>
      <c r="AH99" s="394"/>
      <c r="AI99" s="394"/>
      <c r="AJ99" s="394"/>
      <c r="AK99" s="394"/>
      <c r="AL99" s="394"/>
      <c r="AM99" s="394"/>
      <c r="AN99" s="394"/>
      <c r="AO99" s="394"/>
      <c r="AP99" s="394"/>
      <c r="AQ99" s="394"/>
      <c r="AR99" s="394"/>
      <c r="AS99" s="394"/>
      <c r="AT99" s="394"/>
      <c r="AU99" s="394"/>
      <c r="AV99" s="394"/>
      <c r="AW99" s="394"/>
      <c r="AX99" s="394"/>
      <c r="AY99" s="394"/>
      <c r="AZ99" s="394"/>
      <c r="BA99" s="394"/>
      <c r="BB99" s="394"/>
      <c r="BC99" s="394"/>
      <c r="BD99" s="394"/>
      <c r="BE99" s="394"/>
      <c r="BF99" s="394"/>
      <c r="BG99" s="394"/>
      <c r="BH99" s="394"/>
      <c r="BI99" s="394"/>
      <c r="BJ99" s="394"/>
      <c r="BK99" s="394"/>
      <c r="BL99" s="394"/>
      <c r="BM99" s="394"/>
      <c r="BN99" s="394"/>
      <c r="BO99" s="394"/>
      <c r="BP99" s="394"/>
      <c r="BQ99" s="394"/>
      <c r="BR99" s="394"/>
      <c r="BS99" s="394"/>
      <c r="BT99" s="394"/>
      <c r="BU99" s="394"/>
      <c r="BV99" s="394"/>
      <c r="BW99" s="394"/>
      <c r="BX99" s="394"/>
      <c r="BY99" s="394"/>
      <c r="BZ99" s="394"/>
      <c r="CA99" s="394"/>
      <c r="CB99" s="394"/>
      <c r="CC99" s="394"/>
      <c r="CD99" s="394"/>
      <c r="CE99" s="394"/>
      <c r="CF99" s="394"/>
      <c r="CG99" s="394"/>
      <c r="CH99" s="394"/>
      <c r="CI99" s="394"/>
      <c r="CJ99" s="394"/>
      <c r="CK99" s="394"/>
      <c r="CL99" s="394"/>
      <c r="CM99" s="394"/>
      <c r="CN99" s="394"/>
      <c r="CO99" s="394"/>
      <c r="CP99" s="394"/>
      <c r="CQ99" s="394"/>
      <c r="CR99" s="394"/>
      <c r="CS99" s="394"/>
      <c r="CT99" s="394"/>
      <c r="CU99" s="394"/>
      <c r="CV99" s="394"/>
      <c r="CW99" s="394"/>
      <c r="CX99" s="394"/>
      <c r="CY99" s="394"/>
      <c r="CZ99" s="394"/>
      <c r="DA99" s="394"/>
      <c r="DB99" s="394"/>
      <c r="DC99" s="394"/>
      <c r="DD99" s="394"/>
      <c r="DE99" s="394"/>
      <c r="DF99" s="394"/>
      <c r="DG99" s="394"/>
      <c r="DH99" s="394"/>
      <c r="DI99" s="394"/>
      <c r="DJ99" s="394"/>
      <c r="DK99" s="394"/>
      <c r="DL99" s="394"/>
      <c r="DM99" s="394"/>
      <c r="DN99" s="394"/>
      <c r="DO99" s="394"/>
      <c r="DP99" s="394"/>
      <c r="DQ99" s="394"/>
      <c r="DR99" s="394"/>
      <c r="DS99" s="394"/>
      <c r="DT99" s="394"/>
      <c r="DU99" s="394"/>
      <c r="DV99" s="394"/>
      <c r="DW99" s="394"/>
      <c r="DX99" s="394"/>
      <c r="DY99" s="394"/>
      <c r="DZ99" s="394"/>
      <c r="EA99" s="394"/>
      <c r="EB99" s="394"/>
      <c r="EC99" s="394"/>
      <c r="ED99" s="394"/>
      <c r="EE99" s="394"/>
      <c r="EF99" s="394"/>
      <c r="EG99" s="394"/>
      <c r="EH99" s="394"/>
      <c r="EI99" s="394"/>
      <c r="EJ99" s="394"/>
      <c r="EK99" s="394"/>
      <c r="EL99" s="394"/>
      <c r="EM99" s="394"/>
      <c r="EN99" s="394"/>
      <c r="EO99" s="394"/>
      <c r="EP99" s="394"/>
      <c r="EQ99" s="394"/>
      <c r="ER99" s="394"/>
      <c r="ES99" s="394"/>
      <c r="ET99" s="394"/>
      <c r="EU99" s="394"/>
      <c r="EV99" s="394"/>
      <c r="EW99" s="394"/>
      <c r="EX99" s="394"/>
      <c r="EY99" s="394"/>
      <c r="EZ99" s="394"/>
      <c r="FA99" s="394"/>
      <c r="FB99" s="394"/>
      <c r="FC99" s="394"/>
      <c r="FD99" s="394"/>
      <c r="FE99" s="394"/>
      <c r="FF99" s="394"/>
      <c r="FG99" s="394"/>
      <c r="FH99" s="394"/>
      <c r="FI99" s="394"/>
      <c r="FJ99" s="394"/>
      <c r="FK99" s="394"/>
      <c r="FL99" s="394"/>
      <c r="FM99" s="394"/>
      <c r="FN99" s="394"/>
      <c r="FO99" s="394"/>
      <c r="FP99" s="394"/>
      <c r="FQ99" s="394"/>
      <c r="FR99" s="394"/>
      <c r="FS99" s="394"/>
      <c r="FT99" s="394"/>
      <c r="FU99" s="394"/>
      <c r="FV99" s="394"/>
      <c r="FW99" s="394"/>
      <c r="FX99" s="394"/>
      <c r="FY99" s="394"/>
      <c r="FZ99" s="930"/>
      <c r="GA99" s="930"/>
      <c r="GB99" s="930"/>
      <c r="GC99" s="930"/>
      <c r="GD99" s="930"/>
    </row>
    <row r="100" spans="1:186" s="1057" customFormat="1" ht="15" hidden="1" customHeight="1">
      <c r="A100" s="1012"/>
      <c r="B100" s="749" t="b">
        <f t="shared" si="27"/>
        <v>0</v>
      </c>
      <c r="C100" s="1012"/>
      <c r="D100" s="1012"/>
      <c r="E100" s="623">
        <v>15.8</v>
      </c>
      <c r="F100" s="714" t="str">
        <f t="shared" ca="1" si="24"/>
        <v>1</v>
      </c>
      <c r="G100" s="566" t="s">
        <v>1451</v>
      </c>
      <c r="H100" s="150" t="s">
        <v>1691</v>
      </c>
      <c r="I100" s="150" t="s">
        <v>1657</v>
      </c>
      <c r="J100" s="394"/>
      <c r="K100" s="394"/>
      <c r="L100" s="394"/>
      <c r="M100" s="394"/>
      <c r="N100" s="394"/>
      <c r="O100" s="394"/>
      <c r="P100" s="394"/>
      <c r="Q100" s="394"/>
      <c r="R100" s="719"/>
      <c r="S100" s="394"/>
      <c r="T100" s="634" t="b">
        <v>0</v>
      </c>
      <c r="U100" s="1012"/>
      <c r="V100" s="1012"/>
      <c r="W100" s="1012"/>
      <c r="X100" s="1405"/>
      <c r="Y100" s="1012"/>
      <c r="Z100" s="1405"/>
      <c r="AA100" s="394"/>
      <c r="AB100" s="210" t="s">
        <v>1692</v>
      </c>
      <c r="AC100" s="519" t="s">
        <v>738</v>
      </c>
      <c r="AD100" s="394"/>
      <c r="AE100" s="394"/>
      <c r="AF100" s="394"/>
      <c r="AG100" s="394"/>
      <c r="AH100" s="394"/>
      <c r="AI100" s="394"/>
      <c r="AJ100" s="394"/>
      <c r="AK100" s="394"/>
      <c r="AL100" s="394"/>
      <c r="AM100" s="394"/>
      <c r="AN100" s="394"/>
      <c r="AO100" s="394"/>
      <c r="AP100" s="394"/>
      <c r="AQ100" s="394"/>
      <c r="AR100" s="394"/>
      <c r="AS100" s="394"/>
      <c r="AT100" s="394"/>
      <c r="AU100" s="394"/>
      <c r="AV100" s="394"/>
      <c r="AW100" s="394"/>
      <c r="AX100" s="394"/>
      <c r="AY100" s="394"/>
      <c r="AZ100" s="394"/>
      <c r="BA100" s="394"/>
      <c r="BB100" s="394"/>
      <c r="BC100" s="394"/>
      <c r="BD100" s="394"/>
      <c r="BE100" s="394"/>
      <c r="BF100" s="394"/>
      <c r="BG100" s="394"/>
      <c r="BH100" s="394"/>
      <c r="BI100" s="394"/>
      <c r="BJ100" s="394"/>
      <c r="BK100" s="394"/>
      <c r="BL100" s="394"/>
      <c r="BM100" s="394"/>
      <c r="BN100" s="394"/>
      <c r="BO100" s="394"/>
      <c r="BP100" s="394"/>
      <c r="BQ100" s="394"/>
      <c r="BR100" s="394"/>
      <c r="BS100" s="394"/>
      <c r="BT100" s="394"/>
      <c r="BU100" s="394"/>
      <c r="BV100" s="394"/>
      <c r="BW100" s="394"/>
      <c r="BX100" s="394"/>
      <c r="BY100" s="394"/>
      <c r="BZ100" s="394"/>
      <c r="CA100" s="394"/>
      <c r="CB100" s="394"/>
      <c r="CC100" s="394"/>
      <c r="CD100" s="394"/>
      <c r="CE100" s="394"/>
      <c r="CF100" s="394"/>
      <c r="CG100" s="394"/>
      <c r="CH100" s="394"/>
      <c r="CI100" s="394"/>
      <c r="CJ100" s="394"/>
      <c r="CK100" s="394"/>
      <c r="CL100" s="394"/>
      <c r="CM100" s="394"/>
      <c r="CN100" s="394"/>
      <c r="CO100" s="394"/>
      <c r="CP100" s="394"/>
      <c r="CQ100" s="394"/>
      <c r="CR100" s="394"/>
      <c r="CS100" s="394"/>
      <c r="CT100" s="394"/>
      <c r="CU100" s="394"/>
      <c r="CV100" s="394"/>
      <c r="CW100" s="394"/>
      <c r="CX100" s="394"/>
      <c r="CY100" s="394"/>
      <c r="CZ100" s="394"/>
      <c r="DA100" s="394"/>
      <c r="DB100" s="394"/>
      <c r="DC100" s="394"/>
      <c r="DD100" s="394"/>
      <c r="DE100" s="394"/>
      <c r="DF100" s="394"/>
      <c r="DG100" s="394"/>
      <c r="DH100" s="394"/>
      <c r="DI100" s="394"/>
      <c r="DJ100" s="394"/>
      <c r="DK100" s="394"/>
      <c r="DL100" s="394"/>
      <c r="DM100" s="394"/>
      <c r="DN100" s="394"/>
      <c r="DO100" s="394"/>
      <c r="DP100" s="394"/>
      <c r="DQ100" s="394"/>
      <c r="DR100" s="394"/>
      <c r="DS100" s="394"/>
      <c r="DT100" s="394"/>
      <c r="DU100" s="394"/>
      <c r="DV100" s="394"/>
      <c r="DW100" s="394"/>
      <c r="DX100" s="394"/>
      <c r="DY100" s="394"/>
      <c r="DZ100" s="394"/>
      <c r="EA100" s="394"/>
      <c r="EB100" s="394"/>
      <c r="EC100" s="394"/>
      <c r="ED100" s="394"/>
      <c r="EE100" s="394"/>
      <c r="EF100" s="394"/>
      <c r="EG100" s="394"/>
      <c r="EH100" s="394"/>
      <c r="EI100" s="394"/>
      <c r="EJ100" s="394"/>
      <c r="EK100" s="394"/>
      <c r="EL100" s="394"/>
      <c r="EM100" s="394"/>
      <c r="EN100" s="394"/>
      <c r="EO100" s="394"/>
      <c r="EP100" s="394"/>
      <c r="EQ100" s="394"/>
      <c r="ER100" s="394"/>
      <c r="ES100" s="394"/>
      <c r="ET100" s="394"/>
      <c r="EU100" s="394"/>
      <c r="EV100" s="394"/>
      <c r="EW100" s="394"/>
      <c r="EX100" s="394"/>
      <c r="EY100" s="394"/>
      <c r="EZ100" s="394"/>
      <c r="FA100" s="394"/>
      <c r="FB100" s="394"/>
      <c r="FC100" s="394"/>
      <c r="FD100" s="394"/>
      <c r="FE100" s="394"/>
      <c r="FF100" s="394"/>
      <c r="FG100" s="394"/>
      <c r="FH100" s="394"/>
      <c r="FI100" s="394"/>
      <c r="FJ100" s="394"/>
      <c r="FK100" s="394"/>
      <c r="FL100" s="394"/>
      <c r="FM100" s="394"/>
      <c r="FN100" s="394"/>
      <c r="FO100" s="394"/>
      <c r="FP100" s="394"/>
      <c r="FQ100" s="394"/>
      <c r="FR100" s="394"/>
      <c r="FS100" s="394"/>
      <c r="FT100" s="394"/>
      <c r="FU100" s="394"/>
      <c r="FV100" s="394"/>
      <c r="FW100" s="394"/>
      <c r="FX100" s="394"/>
      <c r="FY100" s="394"/>
      <c r="FZ100" s="930"/>
      <c r="GA100" s="930"/>
      <c r="GB100" s="930"/>
      <c r="GC100" s="930"/>
      <c r="GD100" s="930"/>
    </row>
    <row r="101" spans="1:186" s="1057" customFormat="1" ht="15" hidden="1" customHeight="1">
      <c r="A101" s="1012"/>
      <c r="B101" s="749" t="b">
        <f t="shared" si="27"/>
        <v>0</v>
      </c>
      <c r="C101" s="1012"/>
      <c r="D101" s="1012"/>
      <c r="E101" s="623">
        <v>15.8</v>
      </c>
      <c r="F101" s="714" t="str">
        <f t="shared" ca="1" si="24"/>
        <v>1</v>
      </c>
      <c r="G101" s="566" t="s">
        <v>1706</v>
      </c>
      <c r="H101" s="150" t="s">
        <v>1694</v>
      </c>
      <c r="I101" s="150" t="s">
        <v>1657</v>
      </c>
      <c r="J101" s="394"/>
      <c r="K101" s="394"/>
      <c r="L101" s="394"/>
      <c r="M101" s="394"/>
      <c r="N101" s="394"/>
      <c r="O101" s="394"/>
      <c r="P101" s="394"/>
      <c r="Q101" s="394"/>
      <c r="R101" s="719"/>
      <c r="S101" s="394"/>
      <c r="T101" s="634" t="b">
        <v>0</v>
      </c>
      <c r="U101" s="1012"/>
      <c r="V101" s="1012"/>
      <c r="W101" s="1012"/>
      <c r="X101" s="1405"/>
      <c r="Y101" s="1012"/>
      <c r="Z101" s="1405"/>
      <c r="AA101" s="394"/>
      <c r="AB101" s="210" t="s">
        <v>1695</v>
      </c>
      <c r="AC101" s="519" t="s">
        <v>738</v>
      </c>
      <c r="AD101" s="394"/>
      <c r="AE101" s="394"/>
      <c r="AF101" s="394"/>
      <c r="AG101" s="394"/>
      <c r="AH101" s="394"/>
      <c r="AI101" s="394"/>
      <c r="AJ101" s="394"/>
      <c r="AK101" s="394"/>
      <c r="AL101" s="394"/>
      <c r="AM101" s="394"/>
      <c r="AN101" s="394"/>
      <c r="AO101" s="394"/>
      <c r="AP101" s="394"/>
      <c r="AQ101" s="394"/>
      <c r="AR101" s="394"/>
      <c r="AS101" s="394"/>
      <c r="AT101" s="394"/>
      <c r="AU101" s="394"/>
      <c r="AV101" s="394"/>
      <c r="AW101" s="394"/>
      <c r="AX101" s="394"/>
      <c r="AY101" s="394"/>
      <c r="AZ101" s="394"/>
      <c r="BA101" s="394"/>
      <c r="BB101" s="394"/>
      <c r="BC101" s="394"/>
      <c r="BD101" s="394"/>
      <c r="BE101" s="394"/>
      <c r="BF101" s="394"/>
      <c r="BG101" s="394"/>
      <c r="BH101" s="394"/>
      <c r="BI101" s="394"/>
      <c r="BJ101" s="394"/>
      <c r="BK101" s="394"/>
      <c r="BL101" s="394"/>
      <c r="BM101" s="394"/>
      <c r="BN101" s="394"/>
      <c r="BO101" s="394"/>
      <c r="BP101" s="394"/>
      <c r="BQ101" s="394"/>
      <c r="BR101" s="394"/>
      <c r="BS101" s="394"/>
      <c r="BT101" s="394"/>
      <c r="BU101" s="394"/>
      <c r="BV101" s="394"/>
      <c r="BW101" s="394"/>
      <c r="BX101" s="394"/>
      <c r="BY101" s="394"/>
      <c r="BZ101" s="394"/>
      <c r="CA101" s="394"/>
      <c r="CB101" s="394"/>
      <c r="CC101" s="394"/>
      <c r="CD101" s="394"/>
      <c r="CE101" s="394"/>
      <c r="CF101" s="394"/>
      <c r="CG101" s="394"/>
      <c r="CH101" s="394"/>
      <c r="CI101" s="394"/>
      <c r="CJ101" s="394"/>
      <c r="CK101" s="394"/>
      <c r="CL101" s="394"/>
      <c r="CM101" s="394"/>
      <c r="CN101" s="394"/>
      <c r="CO101" s="394"/>
      <c r="CP101" s="394"/>
      <c r="CQ101" s="394"/>
      <c r="CR101" s="394"/>
      <c r="CS101" s="394"/>
      <c r="CT101" s="394"/>
      <c r="CU101" s="394"/>
      <c r="CV101" s="394"/>
      <c r="CW101" s="394"/>
      <c r="CX101" s="394"/>
      <c r="CY101" s="394"/>
      <c r="CZ101" s="394"/>
      <c r="DA101" s="394"/>
      <c r="DB101" s="394"/>
      <c r="DC101" s="394"/>
      <c r="DD101" s="394"/>
      <c r="DE101" s="394"/>
      <c r="DF101" s="394"/>
      <c r="DG101" s="394"/>
      <c r="DH101" s="394"/>
      <c r="DI101" s="394"/>
      <c r="DJ101" s="394"/>
      <c r="DK101" s="394"/>
      <c r="DL101" s="394"/>
      <c r="DM101" s="394"/>
      <c r="DN101" s="394"/>
      <c r="DO101" s="394"/>
      <c r="DP101" s="394"/>
      <c r="DQ101" s="394"/>
      <c r="DR101" s="394"/>
      <c r="DS101" s="394"/>
      <c r="DT101" s="394"/>
      <c r="DU101" s="394"/>
      <c r="DV101" s="394"/>
      <c r="DW101" s="394"/>
      <c r="DX101" s="394"/>
      <c r="DY101" s="394"/>
      <c r="DZ101" s="394"/>
      <c r="EA101" s="394"/>
      <c r="EB101" s="394"/>
      <c r="EC101" s="394"/>
      <c r="ED101" s="394"/>
      <c r="EE101" s="394"/>
      <c r="EF101" s="394"/>
      <c r="EG101" s="394"/>
      <c r="EH101" s="394"/>
      <c r="EI101" s="394"/>
      <c r="EJ101" s="394"/>
      <c r="EK101" s="394"/>
      <c r="EL101" s="394"/>
      <c r="EM101" s="394"/>
      <c r="EN101" s="394"/>
      <c r="EO101" s="394"/>
      <c r="EP101" s="394"/>
      <c r="EQ101" s="394"/>
      <c r="ER101" s="394"/>
      <c r="ES101" s="394"/>
      <c r="ET101" s="394"/>
      <c r="EU101" s="394"/>
      <c r="EV101" s="394"/>
      <c r="EW101" s="394"/>
      <c r="EX101" s="394"/>
      <c r="EY101" s="394"/>
      <c r="EZ101" s="394"/>
      <c r="FA101" s="394"/>
      <c r="FB101" s="394"/>
      <c r="FC101" s="394"/>
      <c r="FD101" s="394"/>
      <c r="FE101" s="394"/>
      <c r="FF101" s="394"/>
      <c r="FG101" s="394"/>
      <c r="FH101" s="394"/>
      <c r="FI101" s="394"/>
      <c r="FJ101" s="394"/>
      <c r="FK101" s="394"/>
      <c r="FL101" s="394"/>
      <c r="FM101" s="394"/>
      <c r="FN101" s="394"/>
      <c r="FO101" s="394"/>
      <c r="FP101" s="394"/>
      <c r="FQ101" s="394"/>
      <c r="FR101" s="394"/>
      <c r="FS101" s="394"/>
      <c r="FT101" s="394"/>
      <c r="FU101" s="394"/>
      <c r="FV101" s="394"/>
      <c r="FW101" s="394"/>
      <c r="FX101" s="394"/>
      <c r="FY101" s="394"/>
      <c r="FZ101" s="930"/>
      <c r="GA101" s="930"/>
      <c r="GB101" s="930"/>
      <c r="GC101" s="930"/>
      <c r="GD101" s="930"/>
    </row>
    <row r="102" spans="1:186" s="1057" customFormat="1" ht="15" hidden="1" customHeight="1">
      <c r="A102" s="1012"/>
      <c r="B102" s="749" t="b">
        <f t="shared" si="27"/>
        <v>0</v>
      </c>
      <c r="C102" s="1012"/>
      <c r="D102" s="1012"/>
      <c r="E102" s="623">
        <v>15.8</v>
      </c>
      <c r="F102" s="714" t="str">
        <f t="shared" ca="1" si="24"/>
        <v>1</v>
      </c>
      <c r="G102" s="130" t="s">
        <v>1448</v>
      </c>
      <c r="H102" s="150" t="s">
        <v>1696</v>
      </c>
      <c r="I102" s="150" t="s">
        <v>1657</v>
      </c>
      <c r="J102" s="394"/>
      <c r="K102" s="394"/>
      <c r="L102" s="394"/>
      <c r="M102" s="394"/>
      <c r="N102" s="394"/>
      <c r="O102" s="394"/>
      <c r="P102" s="394"/>
      <c r="Q102" s="394"/>
      <c r="R102" s="719"/>
      <c r="S102" s="394"/>
      <c r="T102" s="634" t="b">
        <v>0</v>
      </c>
      <c r="U102" s="1012"/>
      <c r="V102" s="1012"/>
      <c r="W102" s="1012"/>
      <c r="X102" s="1405"/>
      <c r="Y102" s="1012"/>
      <c r="Z102" s="1405"/>
      <c r="AA102" s="394"/>
      <c r="AB102" s="210" t="s">
        <v>1697</v>
      </c>
      <c r="AC102" s="519" t="s">
        <v>598</v>
      </c>
      <c r="AD102" s="394"/>
      <c r="AE102" s="394"/>
      <c r="AF102" s="394"/>
      <c r="AG102" s="394"/>
      <c r="AH102" s="394"/>
      <c r="AI102" s="394"/>
      <c r="AJ102" s="394"/>
      <c r="AK102" s="394"/>
      <c r="AL102" s="394"/>
      <c r="AM102" s="394"/>
      <c r="AN102" s="394"/>
      <c r="AO102" s="394"/>
      <c r="AP102" s="394"/>
      <c r="AQ102" s="394"/>
      <c r="AR102" s="394"/>
      <c r="AS102" s="394"/>
      <c r="AT102" s="394"/>
      <c r="AU102" s="394"/>
      <c r="AV102" s="394"/>
      <c r="AW102" s="394"/>
      <c r="AX102" s="394"/>
      <c r="AY102" s="394"/>
      <c r="AZ102" s="394"/>
      <c r="BA102" s="394"/>
      <c r="BB102" s="394"/>
      <c r="BC102" s="394"/>
      <c r="BD102" s="394"/>
      <c r="BE102" s="394"/>
      <c r="BF102" s="394"/>
      <c r="BG102" s="394"/>
      <c r="BH102" s="394"/>
      <c r="BI102" s="394"/>
      <c r="BJ102" s="394"/>
      <c r="BK102" s="394"/>
      <c r="BL102" s="394"/>
      <c r="BM102" s="394"/>
      <c r="BN102" s="394"/>
      <c r="BO102" s="394"/>
      <c r="BP102" s="394"/>
      <c r="BQ102" s="394"/>
      <c r="BR102" s="394"/>
      <c r="BS102" s="394"/>
      <c r="BT102" s="394"/>
      <c r="BU102" s="394"/>
      <c r="BV102" s="394"/>
      <c r="BW102" s="394"/>
      <c r="BX102" s="394"/>
      <c r="BY102" s="394"/>
      <c r="BZ102" s="394"/>
      <c r="CA102" s="394"/>
      <c r="CB102" s="394"/>
      <c r="CC102" s="394"/>
      <c r="CD102" s="394"/>
      <c r="CE102" s="394"/>
      <c r="CF102" s="394"/>
      <c r="CG102" s="394"/>
      <c r="CH102" s="394"/>
      <c r="CI102" s="394"/>
      <c r="CJ102" s="394"/>
      <c r="CK102" s="394"/>
      <c r="CL102" s="394"/>
      <c r="CM102" s="394"/>
      <c r="CN102" s="394"/>
      <c r="CO102" s="394"/>
      <c r="CP102" s="394"/>
      <c r="CQ102" s="394"/>
      <c r="CR102" s="394"/>
      <c r="CS102" s="394"/>
      <c r="CT102" s="394"/>
      <c r="CU102" s="394"/>
      <c r="CV102" s="394"/>
      <c r="CW102" s="394"/>
      <c r="CX102" s="394"/>
      <c r="CY102" s="394"/>
      <c r="CZ102" s="394"/>
      <c r="DA102" s="394"/>
      <c r="DB102" s="394"/>
      <c r="DC102" s="394"/>
      <c r="DD102" s="394"/>
      <c r="DE102" s="394"/>
      <c r="DF102" s="394"/>
      <c r="DG102" s="394"/>
      <c r="DH102" s="394"/>
      <c r="DI102" s="394"/>
      <c r="DJ102" s="394"/>
      <c r="DK102" s="394"/>
      <c r="DL102" s="394"/>
      <c r="DM102" s="394"/>
      <c r="DN102" s="394"/>
      <c r="DO102" s="394"/>
      <c r="DP102" s="394"/>
      <c r="DQ102" s="394"/>
      <c r="DR102" s="394"/>
      <c r="DS102" s="394"/>
      <c r="DT102" s="394"/>
      <c r="DU102" s="394"/>
      <c r="DV102" s="394"/>
      <c r="DW102" s="394"/>
      <c r="DX102" s="394"/>
      <c r="DY102" s="394"/>
      <c r="DZ102" s="394"/>
      <c r="EA102" s="394"/>
      <c r="EB102" s="394"/>
      <c r="EC102" s="394"/>
      <c r="ED102" s="394"/>
      <c r="EE102" s="394"/>
      <c r="EF102" s="394"/>
      <c r="EG102" s="394"/>
      <c r="EH102" s="394"/>
      <c r="EI102" s="394"/>
      <c r="EJ102" s="394"/>
      <c r="EK102" s="394"/>
      <c r="EL102" s="394"/>
      <c r="EM102" s="394"/>
      <c r="EN102" s="394"/>
      <c r="EO102" s="394"/>
      <c r="EP102" s="394"/>
      <c r="EQ102" s="394"/>
      <c r="ER102" s="394"/>
      <c r="ES102" s="394"/>
      <c r="ET102" s="394"/>
      <c r="EU102" s="394"/>
      <c r="EV102" s="394"/>
      <c r="EW102" s="394"/>
      <c r="EX102" s="394"/>
      <c r="EY102" s="394"/>
      <c r="EZ102" s="394"/>
      <c r="FA102" s="394"/>
      <c r="FB102" s="394"/>
      <c r="FC102" s="394"/>
      <c r="FD102" s="394"/>
      <c r="FE102" s="394"/>
      <c r="FF102" s="394"/>
      <c r="FG102" s="394"/>
      <c r="FH102" s="394"/>
      <c r="FI102" s="394"/>
      <c r="FJ102" s="394"/>
      <c r="FK102" s="394"/>
      <c r="FL102" s="394"/>
      <c r="FM102" s="394"/>
      <c r="FN102" s="394"/>
      <c r="FO102" s="394"/>
      <c r="FP102" s="394"/>
      <c r="FQ102" s="394"/>
      <c r="FR102" s="394"/>
      <c r="FS102" s="394"/>
      <c r="FT102" s="394"/>
      <c r="FU102" s="394"/>
      <c r="FV102" s="394"/>
      <c r="FW102" s="394"/>
      <c r="FX102" s="394"/>
      <c r="FY102" s="394"/>
      <c r="FZ102" s="930"/>
      <c r="GA102" s="930"/>
      <c r="GB102" s="930"/>
      <c r="GC102" s="930"/>
      <c r="GD102" s="930"/>
    </row>
    <row r="103" spans="1:186" s="1057" customFormat="1" ht="30" hidden="1" customHeight="1">
      <c r="A103" s="1012"/>
      <c r="B103" s="749" t="b">
        <f t="shared" si="27"/>
        <v>0</v>
      </c>
      <c r="C103" s="1012"/>
      <c r="D103" s="1012"/>
      <c r="E103" s="623">
        <v>31.5</v>
      </c>
      <c r="F103" s="714" t="str">
        <f t="shared" ca="1" si="24"/>
        <v>1</v>
      </c>
      <c r="G103" s="566" t="s">
        <v>1707</v>
      </c>
      <c r="H103" s="150" t="s">
        <v>1699</v>
      </c>
      <c r="I103" s="150" t="s">
        <v>1657</v>
      </c>
      <c r="J103" s="394"/>
      <c r="K103" s="394"/>
      <c r="L103" s="394"/>
      <c r="M103" s="394"/>
      <c r="N103" s="394"/>
      <c r="O103" s="394"/>
      <c r="P103" s="394"/>
      <c r="Q103" s="394"/>
      <c r="R103" s="719"/>
      <c r="S103" s="394"/>
      <c r="T103" s="634" t="b">
        <v>0</v>
      </c>
      <c r="U103" s="1012"/>
      <c r="V103" s="1012"/>
      <c r="W103" s="1012"/>
      <c r="X103" s="1405"/>
      <c r="Y103" s="1012"/>
      <c r="Z103" s="1405"/>
      <c r="AA103" s="394"/>
      <c r="AB103" s="210" t="s">
        <v>1700</v>
      </c>
      <c r="AC103" s="413" t="s">
        <v>1701</v>
      </c>
      <c r="AD103" s="394"/>
      <c r="AE103" s="394"/>
      <c r="AF103" s="394"/>
      <c r="AG103" s="394"/>
      <c r="AH103" s="394"/>
      <c r="AI103" s="394"/>
      <c r="AJ103" s="394"/>
      <c r="AK103" s="394"/>
      <c r="AL103" s="394"/>
      <c r="AM103" s="394"/>
      <c r="AN103" s="394"/>
      <c r="AO103" s="394"/>
      <c r="AP103" s="394"/>
      <c r="AQ103" s="394"/>
      <c r="AR103" s="394"/>
      <c r="AS103" s="394"/>
      <c r="AT103" s="394"/>
      <c r="AU103" s="394"/>
      <c r="AV103" s="394"/>
      <c r="AW103" s="394"/>
      <c r="AX103" s="394"/>
      <c r="AY103" s="394"/>
      <c r="AZ103" s="394"/>
      <c r="BA103" s="394"/>
      <c r="BB103" s="394"/>
      <c r="BC103" s="394"/>
      <c r="BD103" s="394"/>
      <c r="BE103" s="394"/>
      <c r="BF103" s="394"/>
      <c r="BG103" s="394"/>
      <c r="BH103" s="394"/>
      <c r="BI103" s="394"/>
      <c r="BJ103" s="394"/>
      <c r="BK103" s="394"/>
      <c r="BL103" s="394"/>
      <c r="BM103" s="394"/>
      <c r="BN103" s="394"/>
      <c r="BO103" s="394"/>
      <c r="BP103" s="394"/>
      <c r="BQ103" s="394"/>
      <c r="BR103" s="394"/>
      <c r="BS103" s="394"/>
      <c r="BT103" s="394"/>
      <c r="BU103" s="394"/>
      <c r="BV103" s="394"/>
      <c r="BW103" s="394"/>
      <c r="BX103" s="394"/>
      <c r="BY103" s="394"/>
      <c r="BZ103" s="394"/>
      <c r="CA103" s="394"/>
      <c r="CB103" s="394"/>
      <c r="CC103" s="394"/>
      <c r="CD103" s="394"/>
      <c r="CE103" s="394"/>
      <c r="CF103" s="394"/>
      <c r="CG103" s="394"/>
      <c r="CH103" s="394"/>
      <c r="CI103" s="394"/>
      <c r="CJ103" s="394"/>
      <c r="CK103" s="394"/>
      <c r="CL103" s="394"/>
      <c r="CM103" s="394"/>
      <c r="CN103" s="394"/>
      <c r="CO103" s="394"/>
      <c r="CP103" s="394"/>
      <c r="CQ103" s="394"/>
      <c r="CR103" s="394"/>
      <c r="CS103" s="394"/>
      <c r="CT103" s="394"/>
      <c r="CU103" s="394"/>
      <c r="CV103" s="394"/>
      <c r="CW103" s="394"/>
      <c r="CX103" s="394"/>
      <c r="CY103" s="394"/>
      <c r="CZ103" s="394"/>
      <c r="DA103" s="394"/>
      <c r="DB103" s="394"/>
      <c r="DC103" s="394"/>
      <c r="DD103" s="394"/>
      <c r="DE103" s="394"/>
      <c r="DF103" s="394"/>
      <c r="DG103" s="394"/>
      <c r="DH103" s="394"/>
      <c r="DI103" s="394"/>
      <c r="DJ103" s="394"/>
      <c r="DK103" s="394"/>
      <c r="DL103" s="394"/>
      <c r="DM103" s="394"/>
      <c r="DN103" s="394"/>
      <c r="DO103" s="394"/>
      <c r="DP103" s="394"/>
      <c r="DQ103" s="394"/>
      <c r="DR103" s="394"/>
      <c r="DS103" s="394"/>
      <c r="DT103" s="394"/>
      <c r="DU103" s="394"/>
      <c r="DV103" s="394"/>
      <c r="DW103" s="394"/>
      <c r="DX103" s="394"/>
      <c r="DY103" s="394"/>
      <c r="DZ103" s="394"/>
      <c r="EA103" s="394"/>
      <c r="EB103" s="394"/>
      <c r="EC103" s="394"/>
      <c r="ED103" s="394"/>
      <c r="EE103" s="394"/>
      <c r="EF103" s="394"/>
      <c r="EG103" s="394"/>
      <c r="EH103" s="394"/>
      <c r="EI103" s="394"/>
      <c r="EJ103" s="394"/>
      <c r="EK103" s="394"/>
      <c r="EL103" s="394"/>
      <c r="EM103" s="394"/>
      <c r="EN103" s="394"/>
      <c r="EO103" s="394"/>
      <c r="EP103" s="394"/>
      <c r="EQ103" s="394"/>
      <c r="ER103" s="394"/>
      <c r="ES103" s="394"/>
      <c r="ET103" s="394"/>
      <c r="EU103" s="394"/>
      <c r="EV103" s="394"/>
      <c r="EW103" s="394"/>
      <c r="EX103" s="394"/>
      <c r="EY103" s="394"/>
      <c r="EZ103" s="394"/>
      <c r="FA103" s="394"/>
      <c r="FB103" s="394"/>
      <c r="FC103" s="394"/>
      <c r="FD103" s="394"/>
      <c r="FE103" s="394"/>
      <c r="FF103" s="394"/>
      <c r="FG103" s="394"/>
      <c r="FH103" s="394"/>
      <c r="FI103" s="394"/>
      <c r="FJ103" s="394"/>
      <c r="FK103" s="394"/>
      <c r="FL103" s="394"/>
      <c r="FM103" s="394"/>
      <c r="FN103" s="394"/>
      <c r="FO103" s="394"/>
      <c r="FP103" s="394"/>
      <c r="FQ103" s="394"/>
      <c r="FR103" s="394"/>
      <c r="FS103" s="394"/>
      <c r="FT103" s="394"/>
      <c r="FU103" s="394"/>
      <c r="FV103" s="394"/>
      <c r="FW103" s="394"/>
      <c r="FX103" s="394"/>
      <c r="FY103" s="394"/>
      <c r="FZ103" s="930"/>
      <c r="GA103" s="930"/>
      <c r="GB103" s="930"/>
      <c r="GC103" s="930"/>
      <c r="GD103" s="930"/>
    </row>
    <row r="104" spans="1:186" s="1057" customFormat="1" ht="15" hidden="1" customHeight="1">
      <c r="A104" s="1012"/>
      <c r="B104" s="749" t="b">
        <f t="shared" si="27"/>
        <v>0</v>
      </c>
      <c r="C104" s="1012"/>
      <c r="D104" s="1012"/>
      <c r="E104" s="623">
        <v>15.8</v>
      </c>
      <c r="F104" s="714" t="str">
        <f t="shared" ca="1" si="24"/>
        <v>1</v>
      </c>
      <c r="G104" s="566" t="s">
        <v>1708</v>
      </c>
      <c r="H104" s="150" t="s">
        <v>1703</v>
      </c>
      <c r="I104" s="150" t="s">
        <v>1657</v>
      </c>
      <c r="J104" s="394"/>
      <c r="K104" s="394"/>
      <c r="L104" s="394"/>
      <c r="M104" s="394"/>
      <c r="N104" s="394"/>
      <c r="O104" s="394"/>
      <c r="P104" s="394"/>
      <c r="Q104" s="394"/>
      <c r="R104" s="719"/>
      <c r="S104" s="394"/>
      <c r="T104" s="634" t="b">
        <v>0</v>
      </c>
      <c r="U104" s="1012"/>
      <c r="V104" s="1012"/>
      <c r="W104" s="1012"/>
      <c r="X104" s="1405"/>
      <c r="Y104" s="1012"/>
      <c r="Z104" s="1405"/>
      <c r="AA104" s="394"/>
      <c r="AB104" s="210" t="s">
        <v>1704</v>
      </c>
      <c r="AC104" s="507" t="s">
        <v>804</v>
      </c>
      <c r="AD104" s="394"/>
      <c r="AE104" s="394"/>
      <c r="AF104" s="394"/>
      <c r="AG104" s="394"/>
      <c r="AH104" s="394"/>
      <c r="AI104" s="394"/>
      <c r="AJ104" s="394"/>
      <c r="AK104" s="394"/>
      <c r="AL104" s="394"/>
      <c r="AM104" s="394"/>
      <c r="AN104" s="394"/>
      <c r="AO104" s="394"/>
      <c r="AP104" s="394"/>
      <c r="AQ104" s="394"/>
      <c r="AR104" s="394"/>
      <c r="AS104" s="394"/>
      <c r="AT104" s="394"/>
      <c r="AU104" s="394"/>
      <c r="AV104" s="394"/>
      <c r="AW104" s="394"/>
      <c r="AX104" s="394"/>
      <c r="AY104" s="394"/>
      <c r="AZ104" s="394"/>
      <c r="BA104" s="394"/>
      <c r="BB104" s="394"/>
      <c r="BC104" s="394"/>
      <c r="BD104" s="394"/>
      <c r="BE104" s="394"/>
      <c r="BF104" s="394"/>
      <c r="BG104" s="394"/>
      <c r="BH104" s="394"/>
      <c r="BI104" s="394"/>
      <c r="BJ104" s="394"/>
      <c r="BK104" s="394"/>
      <c r="BL104" s="394"/>
      <c r="BM104" s="394"/>
      <c r="BN104" s="394"/>
      <c r="BO104" s="394"/>
      <c r="BP104" s="394"/>
      <c r="BQ104" s="394"/>
      <c r="BR104" s="394"/>
      <c r="BS104" s="394"/>
      <c r="BT104" s="394"/>
      <c r="BU104" s="394"/>
      <c r="BV104" s="394"/>
      <c r="BW104" s="394"/>
      <c r="BX104" s="394"/>
      <c r="BY104" s="394"/>
      <c r="BZ104" s="394"/>
      <c r="CA104" s="394"/>
      <c r="CB104" s="394"/>
      <c r="CC104" s="394"/>
      <c r="CD104" s="394"/>
      <c r="CE104" s="394"/>
      <c r="CF104" s="394"/>
      <c r="CG104" s="394"/>
      <c r="CH104" s="394"/>
      <c r="CI104" s="394"/>
      <c r="CJ104" s="394"/>
      <c r="CK104" s="394"/>
      <c r="CL104" s="394"/>
      <c r="CM104" s="394"/>
      <c r="CN104" s="394"/>
      <c r="CO104" s="394"/>
      <c r="CP104" s="394"/>
      <c r="CQ104" s="394"/>
      <c r="CR104" s="394"/>
      <c r="CS104" s="394"/>
      <c r="CT104" s="394"/>
      <c r="CU104" s="394"/>
      <c r="CV104" s="394"/>
      <c r="CW104" s="394"/>
      <c r="CX104" s="394"/>
      <c r="CY104" s="394"/>
      <c r="CZ104" s="394"/>
      <c r="DA104" s="394"/>
      <c r="DB104" s="394"/>
      <c r="DC104" s="394"/>
      <c r="DD104" s="394"/>
      <c r="DE104" s="394"/>
      <c r="DF104" s="394"/>
      <c r="DG104" s="394"/>
      <c r="DH104" s="394"/>
      <c r="DI104" s="394"/>
      <c r="DJ104" s="394"/>
      <c r="DK104" s="394"/>
      <c r="DL104" s="394"/>
      <c r="DM104" s="394"/>
      <c r="DN104" s="394"/>
      <c r="DO104" s="394"/>
      <c r="DP104" s="394"/>
      <c r="DQ104" s="394"/>
      <c r="DR104" s="394"/>
      <c r="DS104" s="394"/>
      <c r="DT104" s="394"/>
      <c r="DU104" s="394"/>
      <c r="DV104" s="394"/>
      <c r="DW104" s="394"/>
      <c r="DX104" s="394"/>
      <c r="DY104" s="394"/>
      <c r="DZ104" s="394"/>
      <c r="EA104" s="394"/>
      <c r="EB104" s="394"/>
      <c r="EC104" s="394"/>
      <c r="ED104" s="394"/>
      <c r="EE104" s="394"/>
      <c r="EF104" s="394"/>
      <c r="EG104" s="394"/>
      <c r="EH104" s="394"/>
      <c r="EI104" s="394"/>
      <c r="EJ104" s="394"/>
      <c r="EK104" s="394"/>
      <c r="EL104" s="394"/>
      <c r="EM104" s="394"/>
      <c r="EN104" s="394"/>
      <c r="EO104" s="394"/>
      <c r="EP104" s="394"/>
      <c r="EQ104" s="394"/>
      <c r="ER104" s="394"/>
      <c r="ES104" s="394"/>
      <c r="ET104" s="394"/>
      <c r="EU104" s="394"/>
      <c r="EV104" s="394"/>
      <c r="EW104" s="394"/>
      <c r="EX104" s="394"/>
      <c r="EY104" s="394"/>
      <c r="EZ104" s="394"/>
      <c r="FA104" s="394"/>
      <c r="FB104" s="394"/>
      <c r="FC104" s="394"/>
      <c r="FD104" s="394"/>
      <c r="FE104" s="394"/>
      <c r="FF104" s="394"/>
      <c r="FG104" s="394"/>
      <c r="FH104" s="394"/>
      <c r="FI104" s="394"/>
      <c r="FJ104" s="394"/>
      <c r="FK104" s="394"/>
      <c r="FL104" s="394"/>
      <c r="FM104" s="394"/>
      <c r="FN104" s="394"/>
      <c r="FO104" s="394"/>
      <c r="FP104" s="394"/>
      <c r="FQ104" s="394"/>
      <c r="FR104" s="394"/>
      <c r="FS104" s="394"/>
      <c r="FT104" s="394"/>
      <c r="FU104" s="394"/>
      <c r="FV104" s="394"/>
      <c r="FW104" s="394"/>
      <c r="FX104" s="394"/>
      <c r="FY104" s="394"/>
      <c r="FZ104" s="930"/>
      <c r="GA104" s="930"/>
      <c r="GB104" s="930"/>
      <c r="GC104" s="930"/>
      <c r="GD104" s="930"/>
    </row>
    <row r="105" spans="1:186" s="1057" customFormat="1" ht="15" hidden="1" customHeight="1">
      <c r="A105" s="1012"/>
      <c r="B105" s="749" t="b">
        <f t="shared" si="27"/>
        <v>0</v>
      </c>
      <c r="C105" s="1012"/>
      <c r="D105" s="1012"/>
      <c r="E105" s="623">
        <v>15.8</v>
      </c>
      <c r="F105" s="714" t="str">
        <f t="shared" ca="1" si="24"/>
        <v>1</v>
      </c>
      <c r="G105" s="394"/>
      <c r="H105" s="394"/>
      <c r="I105" s="394"/>
      <c r="J105" s="394"/>
      <c r="K105" s="394"/>
      <c r="L105" s="394"/>
      <c r="M105" s="394"/>
      <c r="N105" s="394"/>
      <c r="O105" s="394"/>
      <c r="P105" s="394"/>
      <c r="Q105" s="394"/>
      <c r="R105" s="719"/>
      <c r="S105" s="394"/>
      <c r="T105" s="634" t="b">
        <v>0</v>
      </c>
      <c r="U105" s="1012"/>
      <c r="V105" s="1012"/>
      <c r="W105" s="1012"/>
      <c r="X105" s="1405"/>
      <c r="Y105" s="1012"/>
      <c r="Z105" s="1405"/>
      <c r="AA105" s="394"/>
      <c r="AB105" s="284" t="s">
        <v>1669</v>
      </c>
      <c r="AC105" s="289"/>
      <c r="AD105" s="394"/>
      <c r="AE105" s="394"/>
      <c r="AF105" s="394"/>
      <c r="AG105" s="394"/>
      <c r="AH105" s="394"/>
      <c r="AI105" s="394"/>
      <c r="AJ105" s="394"/>
      <c r="AK105" s="394"/>
      <c r="AL105" s="394"/>
      <c r="AM105" s="394"/>
      <c r="AN105" s="394"/>
      <c r="AO105" s="394"/>
      <c r="AP105" s="394"/>
      <c r="AQ105" s="394"/>
      <c r="AR105" s="394"/>
      <c r="AS105" s="394"/>
      <c r="AT105" s="394"/>
      <c r="AU105" s="394"/>
      <c r="AV105" s="394"/>
      <c r="AW105" s="394"/>
      <c r="AX105" s="394"/>
      <c r="AY105" s="394"/>
      <c r="AZ105" s="394"/>
      <c r="BA105" s="394"/>
      <c r="BB105" s="394"/>
      <c r="BC105" s="394"/>
      <c r="BD105" s="394"/>
      <c r="BE105" s="394"/>
      <c r="BF105" s="394"/>
      <c r="BG105" s="394"/>
      <c r="BH105" s="394"/>
      <c r="BI105" s="394"/>
      <c r="BJ105" s="394"/>
      <c r="BK105" s="394"/>
      <c r="BL105" s="394"/>
      <c r="BM105" s="394"/>
      <c r="BN105" s="394"/>
      <c r="BO105" s="394"/>
      <c r="BP105" s="394"/>
      <c r="BQ105" s="394"/>
      <c r="BR105" s="394"/>
      <c r="BS105" s="394"/>
      <c r="BT105" s="394"/>
      <c r="BU105" s="394"/>
      <c r="BV105" s="394"/>
      <c r="BW105" s="394"/>
      <c r="BX105" s="394"/>
      <c r="BY105" s="394"/>
      <c r="BZ105" s="394"/>
      <c r="CA105" s="394"/>
      <c r="CB105" s="394"/>
      <c r="CC105" s="394"/>
      <c r="CD105" s="394"/>
      <c r="CE105" s="394"/>
      <c r="CF105" s="394"/>
      <c r="CG105" s="394"/>
      <c r="CH105" s="394"/>
      <c r="CI105" s="394"/>
      <c r="CJ105" s="394"/>
      <c r="CK105" s="394"/>
      <c r="CL105" s="394"/>
      <c r="CM105" s="394"/>
      <c r="CN105" s="394"/>
      <c r="CO105" s="394"/>
      <c r="CP105" s="394"/>
      <c r="CQ105" s="394"/>
      <c r="CR105" s="394"/>
      <c r="CS105" s="394"/>
      <c r="CT105" s="394"/>
      <c r="CU105" s="394"/>
      <c r="CV105" s="394"/>
      <c r="CW105" s="394"/>
      <c r="CX105" s="394"/>
      <c r="CY105" s="394"/>
      <c r="CZ105" s="394"/>
      <c r="DA105" s="394"/>
      <c r="DB105" s="394"/>
      <c r="DC105" s="394"/>
      <c r="DD105" s="394"/>
      <c r="DE105" s="394"/>
      <c r="DF105" s="394"/>
      <c r="DG105" s="394"/>
      <c r="DH105" s="394"/>
      <c r="DI105" s="394"/>
      <c r="DJ105" s="394"/>
      <c r="DK105" s="394"/>
      <c r="DL105" s="394"/>
      <c r="DM105" s="394"/>
      <c r="DN105" s="394"/>
      <c r="DO105" s="394"/>
      <c r="DP105" s="394"/>
      <c r="DQ105" s="394"/>
      <c r="DR105" s="394"/>
      <c r="DS105" s="394"/>
      <c r="DT105" s="394"/>
      <c r="DU105" s="394"/>
      <c r="DV105" s="394"/>
      <c r="DW105" s="394"/>
      <c r="DX105" s="394"/>
      <c r="DY105" s="394"/>
      <c r="DZ105" s="394"/>
      <c r="EA105" s="394"/>
      <c r="EB105" s="394"/>
      <c r="EC105" s="394"/>
      <c r="ED105" s="394"/>
      <c r="EE105" s="394"/>
      <c r="EF105" s="394"/>
      <c r="EG105" s="394"/>
      <c r="EH105" s="394"/>
      <c r="EI105" s="394"/>
      <c r="EJ105" s="394"/>
      <c r="EK105" s="394"/>
      <c r="EL105" s="394"/>
      <c r="EM105" s="394"/>
      <c r="EN105" s="394"/>
      <c r="EO105" s="394"/>
      <c r="EP105" s="394"/>
      <c r="EQ105" s="394"/>
      <c r="ER105" s="394"/>
      <c r="ES105" s="394"/>
      <c r="ET105" s="394"/>
      <c r="EU105" s="394"/>
      <c r="EV105" s="394"/>
      <c r="EW105" s="394"/>
      <c r="EX105" s="394"/>
      <c r="EY105" s="394"/>
      <c r="EZ105" s="394"/>
      <c r="FA105" s="394"/>
      <c r="FB105" s="394"/>
      <c r="FC105" s="394"/>
      <c r="FD105" s="394"/>
      <c r="FE105" s="394"/>
      <c r="FF105" s="394"/>
      <c r="FG105" s="394"/>
      <c r="FH105" s="394"/>
      <c r="FI105" s="394"/>
      <c r="FJ105" s="394"/>
      <c r="FK105" s="394"/>
      <c r="FL105" s="394"/>
      <c r="FM105" s="394"/>
      <c r="FN105" s="394"/>
      <c r="FO105" s="394"/>
      <c r="FP105" s="394"/>
      <c r="FQ105" s="394"/>
      <c r="FR105" s="394"/>
      <c r="FS105" s="394"/>
      <c r="FT105" s="394"/>
      <c r="FU105" s="394"/>
      <c r="FV105" s="394"/>
      <c r="FW105" s="394"/>
      <c r="FX105" s="394"/>
      <c r="FY105" s="394"/>
      <c r="FZ105" s="930"/>
      <c r="GA105" s="930"/>
      <c r="GB105" s="930"/>
      <c r="GC105" s="930"/>
      <c r="GD105" s="930"/>
    </row>
    <row r="106" spans="1:186" s="1057" customFormat="1" ht="15" hidden="1" customHeight="1">
      <c r="A106" s="1012"/>
      <c r="B106" s="749" t="b">
        <f t="shared" si="27"/>
        <v>0</v>
      </c>
      <c r="C106" s="1012"/>
      <c r="D106" s="1012"/>
      <c r="E106" s="623">
        <v>15.8</v>
      </c>
      <c r="F106" s="714" t="str">
        <f t="shared" ca="1" si="24"/>
        <v>1</v>
      </c>
      <c r="G106" s="394"/>
      <c r="H106" s="150" t="s">
        <v>1691</v>
      </c>
      <c r="I106" s="150" t="s">
        <v>1668</v>
      </c>
      <c r="J106" s="394"/>
      <c r="K106" s="394"/>
      <c r="L106" s="394"/>
      <c r="M106" s="394"/>
      <c r="N106" s="394"/>
      <c r="O106" s="394"/>
      <c r="P106" s="394"/>
      <c r="Q106" s="394"/>
      <c r="R106" s="719"/>
      <c r="S106" s="394"/>
      <c r="T106" s="634" t="b">
        <v>0</v>
      </c>
      <c r="U106" s="1012"/>
      <c r="V106" s="1012"/>
      <c r="W106" s="1012"/>
      <c r="X106" s="1405"/>
      <c r="Y106" s="1012"/>
      <c r="Z106" s="1405"/>
      <c r="AA106" s="394"/>
      <c r="AB106" s="210" t="s">
        <v>1692</v>
      </c>
      <c r="AC106" s="519" t="s">
        <v>738</v>
      </c>
      <c r="AD106" s="394"/>
      <c r="AE106" s="394"/>
      <c r="AF106" s="394"/>
      <c r="AG106" s="394"/>
      <c r="AH106" s="394"/>
      <c r="AI106" s="394"/>
      <c r="AJ106" s="394"/>
      <c r="AK106" s="394"/>
      <c r="AL106" s="394"/>
      <c r="AM106" s="394"/>
      <c r="AN106" s="394"/>
      <c r="AO106" s="394"/>
      <c r="AP106" s="394"/>
      <c r="AQ106" s="394"/>
      <c r="AR106" s="394"/>
      <c r="AS106" s="394"/>
      <c r="AT106" s="394"/>
      <c r="AU106" s="394"/>
      <c r="AV106" s="394"/>
      <c r="AW106" s="394"/>
      <c r="AX106" s="394"/>
      <c r="AY106" s="394"/>
      <c r="AZ106" s="394"/>
      <c r="BA106" s="394"/>
      <c r="BB106" s="394"/>
      <c r="BC106" s="394"/>
      <c r="BD106" s="394"/>
      <c r="BE106" s="394"/>
      <c r="BF106" s="394"/>
      <c r="BG106" s="394"/>
      <c r="BH106" s="394"/>
      <c r="BI106" s="394"/>
      <c r="BJ106" s="394"/>
      <c r="BK106" s="394"/>
      <c r="BL106" s="394"/>
      <c r="BM106" s="394"/>
      <c r="BN106" s="394"/>
      <c r="BO106" s="394"/>
      <c r="BP106" s="394"/>
      <c r="BQ106" s="394"/>
      <c r="BR106" s="394"/>
      <c r="BS106" s="394"/>
      <c r="BT106" s="394"/>
      <c r="BU106" s="394"/>
      <c r="BV106" s="394"/>
      <c r="BW106" s="394"/>
      <c r="BX106" s="394"/>
      <c r="BY106" s="394"/>
      <c r="BZ106" s="394"/>
      <c r="CA106" s="394"/>
      <c r="CB106" s="394"/>
      <c r="CC106" s="394"/>
      <c r="CD106" s="394"/>
      <c r="CE106" s="394"/>
      <c r="CF106" s="394"/>
      <c r="CG106" s="394"/>
      <c r="CH106" s="394"/>
      <c r="CI106" s="394"/>
      <c r="CJ106" s="394"/>
      <c r="CK106" s="394"/>
      <c r="CL106" s="394"/>
      <c r="CM106" s="394"/>
      <c r="CN106" s="394"/>
      <c r="CO106" s="394"/>
      <c r="CP106" s="394"/>
      <c r="CQ106" s="394"/>
      <c r="CR106" s="394"/>
      <c r="CS106" s="394"/>
      <c r="CT106" s="394"/>
      <c r="CU106" s="394"/>
      <c r="CV106" s="394"/>
      <c r="CW106" s="394"/>
      <c r="CX106" s="394"/>
      <c r="CY106" s="394"/>
      <c r="CZ106" s="394"/>
      <c r="DA106" s="394"/>
      <c r="DB106" s="394"/>
      <c r="DC106" s="394"/>
      <c r="DD106" s="394"/>
      <c r="DE106" s="394"/>
      <c r="DF106" s="394"/>
      <c r="DG106" s="394"/>
      <c r="DH106" s="394"/>
      <c r="DI106" s="394"/>
      <c r="DJ106" s="394"/>
      <c r="DK106" s="394"/>
      <c r="DL106" s="394"/>
      <c r="DM106" s="394"/>
      <c r="DN106" s="394"/>
      <c r="DO106" s="394"/>
      <c r="DP106" s="394"/>
      <c r="DQ106" s="394"/>
      <c r="DR106" s="394"/>
      <c r="DS106" s="394"/>
      <c r="DT106" s="394"/>
      <c r="DU106" s="394"/>
      <c r="DV106" s="394"/>
      <c r="DW106" s="394"/>
      <c r="DX106" s="394"/>
      <c r="DY106" s="394"/>
      <c r="DZ106" s="394"/>
      <c r="EA106" s="394"/>
      <c r="EB106" s="394"/>
      <c r="EC106" s="394"/>
      <c r="ED106" s="394"/>
      <c r="EE106" s="394"/>
      <c r="EF106" s="394"/>
      <c r="EG106" s="394"/>
      <c r="EH106" s="394"/>
      <c r="EI106" s="394"/>
      <c r="EJ106" s="394"/>
      <c r="EK106" s="394"/>
      <c r="EL106" s="394"/>
      <c r="EM106" s="394"/>
      <c r="EN106" s="394"/>
      <c r="EO106" s="394"/>
      <c r="EP106" s="394"/>
      <c r="EQ106" s="394"/>
      <c r="ER106" s="394"/>
      <c r="ES106" s="394"/>
      <c r="ET106" s="394"/>
      <c r="EU106" s="394"/>
      <c r="EV106" s="394"/>
      <c r="EW106" s="394"/>
      <c r="EX106" s="394"/>
      <c r="EY106" s="394"/>
      <c r="EZ106" s="394"/>
      <c r="FA106" s="394"/>
      <c r="FB106" s="394"/>
      <c r="FC106" s="394"/>
      <c r="FD106" s="394"/>
      <c r="FE106" s="394"/>
      <c r="FF106" s="394"/>
      <c r="FG106" s="394"/>
      <c r="FH106" s="394"/>
      <c r="FI106" s="394"/>
      <c r="FJ106" s="394"/>
      <c r="FK106" s="394"/>
      <c r="FL106" s="394"/>
      <c r="FM106" s="394"/>
      <c r="FN106" s="394"/>
      <c r="FO106" s="394"/>
      <c r="FP106" s="394"/>
      <c r="FQ106" s="394"/>
      <c r="FR106" s="394"/>
      <c r="FS106" s="394"/>
      <c r="FT106" s="394"/>
      <c r="FU106" s="394"/>
      <c r="FV106" s="394"/>
      <c r="FW106" s="394"/>
      <c r="FX106" s="394"/>
      <c r="FY106" s="394"/>
      <c r="FZ106" s="930"/>
      <c r="GA106" s="930"/>
      <c r="GB106" s="930"/>
      <c r="GC106" s="930"/>
      <c r="GD106" s="930"/>
    </row>
    <row r="107" spans="1:186" s="1057" customFormat="1" ht="15" hidden="1" customHeight="1">
      <c r="A107" s="1012"/>
      <c r="B107" s="749" t="b">
        <f t="shared" si="27"/>
        <v>0</v>
      </c>
      <c r="C107" s="1012"/>
      <c r="D107" s="1012"/>
      <c r="E107" s="623">
        <v>15.8</v>
      </c>
      <c r="F107" s="714" t="str">
        <f t="shared" ca="1" si="24"/>
        <v>1</v>
      </c>
      <c r="G107" s="394"/>
      <c r="H107" s="150" t="s">
        <v>1694</v>
      </c>
      <c r="I107" s="150" t="s">
        <v>1668</v>
      </c>
      <c r="J107" s="394"/>
      <c r="K107" s="394"/>
      <c r="L107" s="394"/>
      <c r="M107" s="394"/>
      <c r="N107" s="394"/>
      <c r="O107" s="394"/>
      <c r="P107" s="394"/>
      <c r="Q107" s="394"/>
      <c r="R107" s="719"/>
      <c r="S107" s="394"/>
      <c r="T107" s="634" t="b">
        <v>0</v>
      </c>
      <c r="U107" s="1012"/>
      <c r="V107" s="1012"/>
      <c r="W107" s="1012"/>
      <c r="X107" s="1405"/>
      <c r="Y107" s="1012"/>
      <c r="Z107" s="1405"/>
      <c r="AA107" s="394"/>
      <c r="AB107" s="210" t="s">
        <v>1695</v>
      </c>
      <c r="AC107" s="519" t="s">
        <v>738</v>
      </c>
      <c r="AD107" s="394"/>
      <c r="AE107" s="394"/>
      <c r="AF107" s="394"/>
      <c r="AG107" s="394"/>
      <c r="AH107" s="394"/>
      <c r="AI107" s="394"/>
      <c r="AJ107" s="394"/>
      <c r="AK107" s="394"/>
      <c r="AL107" s="394"/>
      <c r="AM107" s="394"/>
      <c r="AN107" s="394"/>
      <c r="AO107" s="394"/>
      <c r="AP107" s="394"/>
      <c r="AQ107" s="394"/>
      <c r="AR107" s="394"/>
      <c r="AS107" s="394"/>
      <c r="AT107" s="394"/>
      <c r="AU107" s="394"/>
      <c r="AV107" s="394"/>
      <c r="AW107" s="394"/>
      <c r="AX107" s="394"/>
      <c r="AY107" s="394"/>
      <c r="AZ107" s="394"/>
      <c r="BA107" s="394"/>
      <c r="BB107" s="394"/>
      <c r="BC107" s="394"/>
      <c r="BD107" s="394"/>
      <c r="BE107" s="394"/>
      <c r="BF107" s="394"/>
      <c r="BG107" s="394"/>
      <c r="BH107" s="394"/>
      <c r="BI107" s="394"/>
      <c r="BJ107" s="394"/>
      <c r="BK107" s="394"/>
      <c r="BL107" s="394"/>
      <c r="BM107" s="394"/>
      <c r="BN107" s="394"/>
      <c r="BO107" s="394"/>
      <c r="BP107" s="394"/>
      <c r="BQ107" s="394"/>
      <c r="BR107" s="394"/>
      <c r="BS107" s="394"/>
      <c r="BT107" s="394"/>
      <c r="BU107" s="394"/>
      <c r="BV107" s="394"/>
      <c r="BW107" s="394"/>
      <c r="BX107" s="394"/>
      <c r="BY107" s="394"/>
      <c r="BZ107" s="394"/>
      <c r="CA107" s="394"/>
      <c r="CB107" s="394"/>
      <c r="CC107" s="394"/>
      <c r="CD107" s="394"/>
      <c r="CE107" s="394"/>
      <c r="CF107" s="394"/>
      <c r="CG107" s="394"/>
      <c r="CH107" s="394"/>
      <c r="CI107" s="394"/>
      <c r="CJ107" s="394"/>
      <c r="CK107" s="394"/>
      <c r="CL107" s="394"/>
      <c r="CM107" s="394"/>
      <c r="CN107" s="394"/>
      <c r="CO107" s="394"/>
      <c r="CP107" s="394"/>
      <c r="CQ107" s="394"/>
      <c r="CR107" s="394"/>
      <c r="CS107" s="394"/>
      <c r="CT107" s="394"/>
      <c r="CU107" s="394"/>
      <c r="CV107" s="394"/>
      <c r="CW107" s="394"/>
      <c r="CX107" s="394"/>
      <c r="CY107" s="394"/>
      <c r="CZ107" s="394"/>
      <c r="DA107" s="394"/>
      <c r="DB107" s="394"/>
      <c r="DC107" s="394"/>
      <c r="DD107" s="394"/>
      <c r="DE107" s="394"/>
      <c r="DF107" s="394"/>
      <c r="DG107" s="394"/>
      <c r="DH107" s="394"/>
      <c r="DI107" s="394"/>
      <c r="DJ107" s="394"/>
      <c r="DK107" s="394"/>
      <c r="DL107" s="394"/>
      <c r="DM107" s="394"/>
      <c r="DN107" s="394"/>
      <c r="DO107" s="394"/>
      <c r="DP107" s="394"/>
      <c r="DQ107" s="394"/>
      <c r="DR107" s="394"/>
      <c r="DS107" s="394"/>
      <c r="DT107" s="394"/>
      <c r="DU107" s="394"/>
      <c r="DV107" s="394"/>
      <c r="DW107" s="394"/>
      <c r="DX107" s="394"/>
      <c r="DY107" s="394"/>
      <c r="DZ107" s="394"/>
      <c r="EA107" s="394"/>
      <c r="EB107" s="394"/>
      <c r="EC107" s="394"/>
      <c r="ED107" s="394"/>
      <c r="EE107" s="394"/>
      <c r="EF107" s="394"/>
      <c r="EG107" s="394"/>
      <c r="EH107" s="394"/>
      <c r="EI107" s="394"/>
      <c r="EJ107" s="394"/>
      <c r="EK107" s="394"/>
      <c r="EL107" s="394"/>
      <c r="EM107" s="394"/>
      <c r="EN107" s="394"/>
      <c r="EO107" s="394"/>
      <c r="EP107" s="394"/>
      <c r="EQ107" s="394"/>
      <c r="ER107" s="394"/>
      <c r="ES107" s="394"/>
      <c r="ET107" s="394"/>
      <c r="EU107" s="394"/>
      <c r="EV107" s="394"/>
      <c r="EW107" s="394"/>
      <c r="EX107" s="394"/>
      <c r="EY107" s="394"/>
      <c r="EZ107" s="394"/>
      <c r="FA107" s="394"/>
      <c r="FB107" s="394"/>
      <c r="FC107" s="394"/>
      <c r="FD107" s="394"/>
      <c r="FE107" s="394"/>
      <c r="FF107" s="394"/>
      <c r="FG107" s="394"/>
      <c r="FH107" s="394"/>
      <c r="FI107" s="394"/>
      <c r="FJ107" s="394"/>
      <c r="FK107" s="394"/>
      <c r="FL107" s="394"/>
      <c r="FM107" s="394"/>
      <c r="FN107" s="394"/>
      <c r="FO107" s="394"/>
      <c r="FP107" s="394"/>
      <c r="FQ107" s="394"/>
      <c r="FR107" s="394"/>
      <c r="FS107" s="394"/>
      <c r="FT107" s="394"/>
      <c r="FU107" s="394"/>
      <c r="FV107" s="394"/>
      <c r="FW107" s="394"/>
      <c r="FX107" s="394"/>
      <c r="FY107" s="394"/>
      <c r="FZ107" s="930"/>
      <c r="GA107" s="930"/>
      <c r="GB107" s="930"/>
      <c r="GC107" s="930"/>
      <c r="GD107" s="930"/>
    </row>
    <row r="108" spans="1:186" s="1057" customFormat="1" ht="15" hidden="1" customHeight="1">
      <c r="A108" s="1012"/>
      <c r="B108" s="749" t="b">
        <f t="shared" si="27"/>
        <v>0</v>
      </c>
      <c r="C108" s="1012"/>
      <c r="D108" s="1012"/>
      <c r="E108" s="623">
        <v>15.8</v>
      </c>
      <c r="F108" s="714" t="str">
        <f t="shared" ca="1" si="24"/>
        <v>1</v>
      </c>
      <c r="G108" s="394"/>
      <c r="H108" s="150" t="s">
        <v>1696</v>
      </c>
      <c r="I108" s="150" t="s">
        <v>1668</v>
      </c>
      <c r="J108" s="394"/>
      <c r="K108" s="394"/>
      <c r="L108" s="394"/>
      <c r="M108" s="394"/>
      <c r="N108" s="394"/>
      <c r="O108" s="394"/>
      <c r="P108" s="394"/>
      <c r="Q108" s="394"/>
      <c r="R108" s="719"/>
      <c r="S108" s="394"/>
      <c r="T108" s="634" t="b">
        <v>0</v>
      </c>
      <c r="U108" s="1012"/>
      <c r="V108" s="1012"/>
      <c r="W108" s="1012"/>
      <c r="X108" s="1405"/>
      <c r="Y108" s="1012"/>
      <c r="Z108" s="1405"/>
      <c r="AA108" s="394"/>
      <c r="AB108" s="210" t="s">
        <v>1697</v>
      </c>
      <c r="AC108" s="519" t="s">
        <v>598</v>
      </c>
      <c r="AD108" s="394"/>
      <c r="AE108" s="394"/>
      <c r="AF108" s="394"/>
      <c r="AG108" s="394"/>
      <c r="AH108" s="394"/>
      <c r="AI108" s="394"/>
      <c r="AJ108" s="394"/>
      <c r="AK108" s="394"/>
      <c r="AL108" s="394"/>
      <c r="AM108" s="394"/>
      <c r="AN108" s="394"/>
      <c r="AO108" s="394"/>
      <c r="AP108" s="394"/>
      <c r="AQ108" s="394"/>
      <c r="AR108" s="394"/>
      <c r="AS108" s="394"/>
      <c r="AT108" s="394"/>
      <c r="AU108" s="394"/>
      <c r="AV108" s="394"/>
      <c r="AW108" s="394"/>
      <c r="AX108" s="394"/>
      <c r="AY108" s="394"/>
      <c r="AZ108" s="394"/>
      <c r="BA108" s="394"/>
      <c r="BB108" s="394"/>
      <c r="BC108" s="394"/>
      <c r="BD108" s="394"/>
      <c r="BE108" s="394"/>
      <c r="BF108" s="394"/>
      <c r="BG108" s="394"/>
      <c r="BH108" s="394"/>
      <c r="BI108" s="394"/>
      <c r="BJ108" s="394"/>
      <c r="BK108" s="394"/>
      <c r="BL108" s="394"/>
      <c r="BM108" s="394"/>
      <c r="BN108" s="394"/>
      <c r="BO108" s="394"/>
      <c r="BP108" s="394"/>
      <c r="BQ108" s="394"/>
      <c r="BR108" s="394"/>
      <c r="BS108" s="394"/>
      <c r="BT108" s="394"/>
      <c r="BU108" s="394"/>
      <c r="BV108" s="394"/>
      <c r="BW108" s="394"/>
      <c r="BX108" s="394"/>
      <c r="BY108" s="394"/>
      <c r="BZ108" s="394"/>
      <c r="CA108" s="394"/>
      <c r="CB108" s="394"/>
      <c r="CC108" s="394"/>
      <c r="CD108" s="394"/>
      <c r="CE108" s="394"/>
      <c r="CF108" s="394"/>
      <c r="CG108" s="394"/>
      <c r="CH108" s="394"/>
      <c r="CI108" s="394"/>
      <c r="CJ108" s="394"/>
      <c r="CK108" s="394"/>
      <c r="CL108" s="394"/>
      <c r="CM108" s="394"/>
      <c r="CN108" s="394"/>
      <c r="CO108" s="394"/>
      <c r="CP108" s="394"/>
      <c r="CQ108" s="394"/>
      <c r="CR108" s="394"/>
      <c r="CS108" s="394"/>
      <c r="CT108" s="394"/>
      <c r="CU108" s="394"/>
      <c r="CV108" s="394"/>
      <c r="CW108" s="394"/>
      <c r="CX108" s="394"/>
      <c r="CY108" s="394"/>
      <c r="CZ108" s="394"/>
      <c r="DA108" s="394"/>
      <c r="DB108" s="394"/>
      <c r="DC108" s="394"/>
      <c r="DD108" s="394"/>
      <c r="DE108" s="394"/>
      <c r="DF108" s="394"/>
      <c r="DG108" s="394"/>
      <c r="DH108" s="394"/>
      <c r="DI108" s="394"/>
      <c r="DJ108" s="394"/>
      <c r="DK108" s="394"/>
      <c r="DL108" s="394"/>
      <c r="DM108" s="394"/>
      <c r="DN108" s="394"/>
      <c r="DO108" s="394"/>
      <c r="DP108" s="394"/>
      <c r="DQ108" s="394"/>
      <c r="DR108" s="394"/>
      <c r="DS108" s="394"/>
      <c r="DT108" s="394"/>
      <c r="DU108" s="394"/>
      <c r="DV108" s="394"/>
      <c r="DW108" s="394"/>
      <c r="DX108" s="394"/>
      <c r="DY108" s="394"/>
      <c r="DZ108" s="394"/>
      <c r="EA108" s="394"/>
      <c r="EB108" s="394"/>
      <c r="EC108" s="394"/>
      <c r="ED108" s="394"/>
      <c r="EE108" s="394"/>
      <c r="EF108" s="394"/>
      <c r="EG108" s="394"/>
      <c r="EH108" s="394"/>
      <c r="EI108" s="394"/>
      <c r="EJ108" s="394"/>
      <c r="EK108" s="394"/>
      <c r="EL108" s="394"/>
      <c r="EM108" s="394"/>
      <c r="EN108" s="394"/>
      <c r="EO108" s="394"/>
      <c r="EP108" s="394"/>
      <c r="EQ108" s="394"/>
      <c r="ER108" s="394"/>
      <c r="ES108" s="394"/>
      <c r="ET108" s="394"/>
      <c r="EU108" s="394"/>
      <c r="EV108" s="394"/>
      <c r="EW108" s="394"/>
      <c r="EX108" s="394"/>
      <c r="EY108" s="394"/>
      <c r="EZ108" s="394"/>
      <c r="FA108" s="394"/>
      <c r="FB108" s="394"/>
      <c r="FC108" s="394"/>
      <c r="FD108" s="394"/>
      <c r="FE108" s="394"/>
      <c r="FF108" s="394"/>
      <c r="FG108" s="394"/>
      <c r="FH108" s="394"/>
      <c r="FI108" s="394"/>
      <c r="FJ108" s="394"/>
      <c r="FK108" s="394"/>
      <c r="FL108" s="394"/>
      <c r="FM108" s="394"/>
      <c r="FN108" s="394"/>
      <c r="FO108" s="394"/>
      <c r="FP108" s="394"/>
      <c r="FQ108" s="394"/>
      <c r="FR108" s="394"/>
      <c r="FS108" s="394"/>
      <c r="FT108" s="394"/>
      <c r="FU108" s="394"/>
      <c r="FV108" s="394"/>
      <c r="FW108" s="394"/>
      <c r="FX108" s="394"/>
      <c r="FY108" s="394"/>
      <c r="FZ108" s="930"/>
      <c r="GA108" s="930"/>
      <c r="GB108" s="930"/>
      <c r="GC108" s="930"/>
      <c r="GD108" s="930"/>
    </row>
    <row r="109" spans="1:186" s="1057" customFormat="1" ht="30" hidden="1" customHeight="1">
      <c r="A109" s="1012"/>
      <c r="B109" s="749" t="b">
        <f t="shared" si="27"/>
        <v>0</v>
      </c>
      <c r="C109" s="1012"/>
      <c r="D109" s="1012"/>
      <c r="E109" s="623">
        <v>31.5</v>
      </c>
      <c r="F109" s="714" t="str">
        <f t="shared" ca="1" si="24"/>
        <v>1</v>
      </c>
      <c r="G109" s="394"/>
      <c r="H109" s="150" t="s">
        <v>1699</v>
      </c>
      <c r="I109" s="150" t="s">
        <v>1668</v>
      </c>
      <c r="J109" s="394"/>
      <c r="K109" s="394"/>
      <c r="L109" s="394"/>
      <c r="M109" s="394"/>
      <c r="N109" s="394"/>
      <c r="O109" s="394"/>
      <c r="P109" s="394"/>
      <c r="Q109" s="394"/>
      <c r="R109" s="719"/>
      <c r="S109" s="394"/>
      <c r="T109" s="634" t="b">
        <v>0</v>
      </c>
      <c r="U109" s="1012"/>
      <c r="V109" s="1012"/>
      <c r="W109" s="1012"/>
      <c r="X109" s="1405"/>
      <c r="Y109" s="1012"/>
      <c r="Z109" s="1405"/>
      <c r="AA109" s="394"/>
      <c r="AB109" s="210" t="s">
        <v>1700</v>
      </c>
      <c r="AC109" s="413" t="s">
        <v>1701</v>
      </c>
      <c r="AD109" s="394"/>
      <c r="AE109" s="394"/>
      <c r="AF109" s="394"/>
      <c r="AG109" s="394"/>
      <c r="AH109" s="394"/>
      <c r="AI109" s="394"/>
      <c r="AJ109" s="394"/>
      <c r="AK109" s="394"/>
      <c r="AL109" s="394"/>
      <c r="AM109" s="394"/>
      <c r="AN109" s="394"/>
      <c r="AO109" s="394"/>
      <c r="AP109" s="394"/>
      <c r="AQ109" s="394"/>
      <c r="AR109" s="394"/>
      <c r="AS109" s="394"/>
      <c r="AT109" s="394"/>
      <c r="AU109" s="394"/>
      <c r="AV109" s="394"/>
      <c r="AW109" s="394"/>
      <c r="AX109" s="394"/>
      <c r="AY109" s="394"/>
      <c r="AZ109" s="394"/>
      <c r="BA109" s="394"/>
      <c r="BB109" s="394"/>
      <c r="BC109" s="394"/>
      <c r="BD109" s="394"/>
      <c r="BE109" s="394"/>
      <c r="BF109" s="394"/>
      <c r="BG109" s="394"/>
      <c r="BH109" s="394"/>
      <c r="BI109" s="394"/>
      <c r="BJ109" s="394"/>
      <c r="BK109" s="394"/>
      <c r="BL109" s="394"/>
      <c r="BM109" s="394"/>
      <c r="BN109" s="394"/>
      <c r="BO109" s="394"/>
      <c r="BP109" s="394"/>
      <c r="BQ109" s="394"/>
      <c r="BR109" s="394"/>
      <c r="BS109" s="394"/>
      <c r="BT109" s="394"/>
      <c r="BU109" s="394"/>
      <c r="BV109" s="394"/>
      <c r="BW109" s="394"/>
      <c r="BX109" s="394"/>
      <c r="BY109" s="394"/>
      <c r="BZ109" s="394"/>
      <c r="CA109" s="394"/>
      <c r="CB109" s="394"/>
      <c r="CC109" s="394"/>
      <c r="CD109" s="394"/>
      <c r="CE109" s="394"/>
      <c r="CF109" s="394"/>
      <c r="CG109" s="394"/>
      <c r="CH109" s="394"/>
      <c r="CI109" s="394"/>
      <c r="CJ109" s="394"/>
      <c r="CK109" s="394"/>
      <c r="CL109" s="394"/>
      <c r="CM109" s="394"/>
      <c r="CN109" s="394"/>
      <c r="CO109" s="394"/>
      <c r="CP109" s="394"/>
      <c r="CQ109" s="394"/>
      <c r="CR109" s="394"/>
      <c r="CS109" s="394"/>
      <c r="CT109" s="394"/>
      <c r="CU109" s="394"/>
      <c r="CV109" s="394"/>
      <c r="CW109" s="394"/>
      <c r="CX109" s="394"/>
      <c r="CY109" s="394"/>
      <c r="CZ109" s="394"/>
      <c r="DA109" s="394"/>
      <c r="DB109" s="394"/>
      <c r="DC109" s="394"/>
      <c r="DD109" s="394"/>
      <c r="DE109" s="394"/>
      <c r="DF109" s="394"/>
      <c r="DG109" s="394"/>
      <c r="DH109" s="394"/>
      <c r="DI109" s="394"/>
      <c r="DJ109" s="394"/>
      <c r="DK109" s="394"/>
      <c r="DL109" s="394"/>
      <c r="DM109" s="394"/>
      <c r="DN109" s="394"/>
      <c r="DO109" s="394"/>
      <c r="DP109" s="394"/>
      <c r="DQ109" s="394"/>
      <c r="DR109" s="394"/>
      <c r="DS109" s="394"/>
      <c r="DT109" s="394"/>
      <c r="DU109" s="394"/>
      <c r="DV109" s="394"/>
      <c r="DW109" s="394"/>
      <c r="DX109" s="394"/>
      <c r="DY109" s="394"/>
      <c r="DZ109" s="394"/>
      <c r="EA109" s="394"/>
      <c r="EB109" s="394"/>
      <c r="EC109" s="394"/>
      <c r="ED109" s="394"/>
      <c r="EE109" s="394"/>
      <c r="EF109" s="394"/>
      <c r="EG109" s="394"/>
      <c r="EH109" s="394"/>
      <c r="EI109" s="394"/>
      <c r="EJ109" s="394"/>
      <c r="EK109" s="394"/>
      <c r="EL109" s="394"/>
      <c r="EM109" s="394"/>
      <c r="EN109" s="394"/>
      <c r="EO109" s="394"/>
      <c r="EP109" s="394"/>
      <c r="EQ109" s="394"/>
      <c r="ER109" s="394"/>
      <c r="ES109" s="394"/>
      <c r="ET109" s="394"/>
      <c r="EU109" s="394"/>
      <c r="EV109" s="394"/>
      <c r="EW109" s="394"/>
      <c r="EX109" s="394"/>
      <c r="EY109" s="394"/>
      <c r="EZ109" s="394"/>
      <c r="FA109" s="394"/>
      <c r="FB109" s="394"/>
      <c r="FC109" s="394"/>
      <c r="FD109" s="394"/>
      <c r="FE109" s="394"/>
      <c r="FF109" s="394"/>
      <c r="FG109" s="394"/>
      <c r="FH109" s="394"/>
      <c r="FI109" s="394"/>
      <c r="FJ109" s="394"/>
      <c r="FK109" s="394"/>
      <c r="FL109" s="394"/>
      <c r="FM109" s="394"/>
      <c r="FN109" s="394"/>
      <c r="FO109" s="394"/>
      <c r="FP109" s="394"/>
      <c r="FQ109" s="394"/>
      <c r="FR109" s="394"/>
      <c r="FS109" s="394"/>
      <c r="FT109" s="394"/>
      <c r="FU109" s="394"/>
      <c r="FV109" s="394"/>
      <c r="FW109" s="394"/>
      <c r="FX109" s="394"/>
      <c r="FY109" s="394"/>
      <c r="FZ109" s="930"/>
      <c r="GA109" s="930"/>
      <c r="GB109" s="930"/>
      <c r="GC109" s="930"/>
      <c r="GD109" s="930"/>
    </row>
    <row r="110" spans="1:186" s="1057" customFormat="1" ht="15" hidden="1" customHeight="1">
      <c r="A110" s="1012"/>
      <c r="B110" s="749" t="b">
        <f t="shared" si="27"/>
        <v>0</v>
      </c>
      <c r="C110" s="1012"/>
      <c r="D110" s="1012"/>
      <c r="E110" s="623">
        <v>15.8</v>
      </c>
      <c r="F110" s="714" t="str">
        <f t="shared" ca="1" si="24"/>
        <v>1</v>
      </c>
      <c r="G110" s="394"/>
      <c r="H110" s="150" t="s">
        <v>1703</v>
      </c>
      <c r="I110" s="150" t="s">
        <v>1668</v>
      </c>
      <c r="J110" s="394"/>
      <c r="K110" s="394"/>
      <c r="L110" s="394"/>
      <c r="M110" s="394"/>
      <c r="N110" s="394"/>
      <c r="O110" s="394"/>
      <c r="P110" s="394"/>
      <c r="Q110" s="394"/>
      <c r="R110" s="719"/>
      <c r="S110" s="394"/>
      <c r="T110" s="634" t="b">
        <v>0</v>
      </c>
      <c r="U110" s="1012"/>
      <c r="V110" s="1012"/>
      <c r="W110" s="1012"/>
      <c r="X110" s="1405"/>
      <c r="Y110" s="1012"/>
      <c r="Z110" s="1405"/>
      <c r="AA110" s="394"/>
      <c r="AB110" s="210" t="s">
        <v>1704</v>
      </c>
      <c r="AC110" s="507" t="s">
        <v>804</v>
      </c>
      <c r="AD110" s="394"/>
      <c r="AE110" s="394"/>
      <c r="AF110" s="394"/>
      <c r="AG110" s="394"/>
      <c r="AH110" s="394"/>
      <c r="AI110" s="394"/>
      <c r="AJ110" s="394"/>
      <c r="AK110" s="394"/>
      <c r="AL110" s="394"/>
      <c r="AM110" s="394"/>
      <c r="AN110" s="394"/>
      <c r="AO110" s="394"/>
      <c r="AP110" s="394"/>
      <c r="AQ110" s="394"/>
      <c r="AR110" s="394"/>
      <c r="AS110" s="394"/>
      <c r="AT110" s="394"/>
      <c r="AU110" s="394"/>
      <c r="AV110" s="394"/>
      <c r="AW110" s="394"/>
      <c r="AX110" s="394"/>
      <c r="AY110" s="394"/>
      <c r="AZ110" s="394"/>
      <c r="BA110" s="394"/>
      <c r="BB110" s="394"/>
      <c r="BC110" s="394"/>
      <c r="BD110" s="394"/>
      <c r="BE110" s="394"/>
      <c r="BF110" s="394"/>
      <c r="BG110" s="394"/>
      <c r="BH110" s="394"/>
      <c r="BI110" s="394"/>
      <c r="BJ110" s="394"/>
      <c r="BK110" s="394"/>
      <c r="BL110" s="394"/>
      <c r="BM110" s="394"/>
      <c r="BN110" s="394"/>
      <c r="BO110" s="394"/>
      <c r="BP110" s="394"/>
      <c r="BQ110" s="394"/>
      <c r="BR110" s="394"/>
      <c r="BS110" s="394"/>
      <c r="BT110" s="394"/>
      <c r="BU110" s="394"/>
      <c r="BV110" s="394"/>
      <c r="BW110" s="394"/>
      <c r="BX110" s="394"/>
      <c r="BY110" s="394"/>
      <c r="BZ110" s="394"/>
      <c r="CA110" s="394"/>
      <c r="CB110" s="394"/>
      <c r="CC110" s="394"/>
      <c r="CD110" s="394"/>
      <c r="CE110" s="394"/>
      <c r="CF110" s="394"/>
      <c r="CG110" s="394"/>
      <c r="CH110" s="394"/>
      <c r="CI110" s="394"/>
      <c r="CJ110" s="394"/>
      <c r="CK110" s="394"/>
      <c r="CL110" s="394"/>
      <c r="CM110" s="394"/>
      <c r="CN110" s="394"/>
      <c r="CO110" s="394"/>
      <c r="CP110" s="394"/>
      <c r="CQ110" s="394"/>
      <c r="CR110" s="394"/>
      <c r="CS110" s="394"/>
      <c r="CT110" s="394"/>
      <c r="CU110" s="394"/>
      <c r="CV110" s="394"/>
      <c r="CW110" s="394"/>
      <c r="CX110" s="394"/>
      <c r="CY110" s="394"/>
      <c r="CZ110" s="394"/>
      <c r="DA110" s="394"/>
      <c r="DB110" s="394"/>
      <c r="DC110" s="394"/>
      <c r="DD110" s="394"/>
      <c r="DE110" s="394"/>
      <c r="DF110" s="394"/>
      <c r="DG110" s="394"/>
      <c r="DH110" s="394"/>
      <c r="DI110" s="394"/>
      <c r="DJ110" s="394"/>
      <c r="DK110" s="394"/>
      <c r="DL110" s="394"/>
      <c r="DM110" s="394"/>
      <c r="DN110" s="394"/>
      <c r="DO110" s="394"/>
      <c r="DP110" s="394"/>
      <c r="DQ110" s="394"/>
      <c r="DR110" s="394"/>
      <c r="DS110" s="394"/>
      <c r="DT110" s="394"/>
      <c r="DU110" s="394"/>
      <c r="DV110" s="394"/>
      <c r="DW110" s="394"/>
      <c r="DX110" s="394"/>
      <c r="DY110" s="394"/>
      <c r="DZ110" s="394"/>
      <c r="EA110" s="394"/>
      <c r="EB110" s="394"/>
      <c r="EC110" s="394"/>
      <c r="ED110" s="394"/>
      <c r="EE110" s="394"/>
      <c r="EF110" s="394"/>
      <c r="EG110" s="394"/>
      <c r="EH110" s="394"/>
      <c r="EI110" s="394"/>
      <c r="EJ110" s="394"/>
      <c r="EK110" s="394"/>
      <c r="EL110" s="394"/>
      <c r="EM110" s="394"/>
      <c r="EN110" s="394"/>
      <c r="EO110" s="394"/>
      <c r="EP110" s="394"/>
      <c r="EQ110" s="394"/>
      <c r="ER110" s="394"/>
      <c r="ES110" s="394"/>
      <c r="ET110" s="394"/>
      <c r="EU110" s="394"/>
      <c r="EV110" s="394"/>
      <c r="EW110" s="394"/>
      <c r="EX110" s="394"/>
      <c r="EY110" s="394"/>
      <c r="EZ110" s="394"/>
      <c r="FA110" s="394"/>
      <c r="FB110" s="394"/>
      <c r="FC110" s="394"/>
      <c r="FD110" s="394"/>
      <c r="FE110" s="394"/>
      <c r="FF110" s="394"/>
      <c r="FG110" s="394"/>
      <c r="FH110" s="394"/>
      <c r="FI110" s="394"/>
      <c r="FJ110" s="394"/>
      <c r="FK110" s="394"/>
      <c r="FL110" s="394"/>
      <c r="FM110" s="394"/>
      <c r="FN110" s="394"/>
      <c r="FO110" s="394"/>
      <c r="FP110" s="394"/>
      <c r="FQ110" s="394"/>
      <c r="FR110" s="394"/>
      <c r="FS110" s="394"/>
      <c r="FT110" s="394"/>
      <c r="FU110" s="394"/>
      <c r="FV110" s="394"/>
      <c r="FW110" s="394"/>
      <c r="FX110" s="394"/>
      <c r="FY110" s="394"/>
      <c r="FZ110" s="930"/>
      <c r="GA110" s="930"/>
      <c r="GB110" s="930"/>
      <c r="GC110" s="930"/>
      <c r="GD110" s="930"/>
    </row>
    <row r="111" spans="1:186" s="1057" customFormat="1" ht="15" hidden="1" customHeight="1">
      <c r="A111" s="1012"/>
      <c r="B111" s="749" t="b">
        <f t="shared" si="27"/>
        <v>0</v>
      </c>
      <c r="C111" s="1012"/>
      <c r="D111" s="1012"/>
      <c r="E111" s="623">
        <v>15.8</v>
      </c>
      <c r="F111" s="714" t="str">
        <f t="shared" ca="1" si="24"/>
        <v>1</v>
      </c>
      <c r="G111" s="394"/>
      <c r="H111" s="394"/>
      <c r="I111" s="394"/>
      <c r="J111" s="394"/>
      <c r="K111" s="394"/>
      <c r="L111" s="394"/>
      <c r="M111" s="394"/>
      <c r="N111" s="394"/>
      <c r="O111" s="394"/>
      <c r="P111" s="394"/>
      <c r="Q111" s="394"/>
      <c r="R111" s="719"/>
      <c r="S111" s="394"/>
      <c r="T111" s="634" t="b">
        <v>0</v>
      </c>
      <c r="U111" s="1012"/>
      <c r="V111" s="1012"/>
      <c r="W111" s="1012"/>
      <c r="X111" s="1405"/>
      <c r="Y111" s="1012"/>
      <c r="Z111" s="1405"/>
      <c r="AA111" s="394"/>
      <c r="AB111" s="284" t="s">
        <v>1672</v>
      </c>
      <c r="AC111" s="289"/>
      <c r="AD111" s="394"/>
      <c r="AE111" s="394"/>
      <c r="AF111" s="394"/>
      <c r="AG111" s="394"/>
      <c r="AH111" s="394"/>
      <c r="AI111" s="394"/>
      <c r="AJ111" s="394"/>
      <c r="AK111" s="394"/>
      <c r="AL111" s="394"/>
      <c r="AM111" s="394"/>
      <c r="AN111" s="394"/>
      <c r="AO111" s="394"/>
      <c r="AP111" s="394"/>
      <c r="AQ111" s="394"/>
      <c r="AR111" s="394"/>
      <c r="AS111" s="394"/>
      <c r="AT111" s="394"/>
      <c r="AU111" s="394"/>
      <c r="AV111" s="394"/>
      <c r="AW111" s="394"/>
      <c r="AX111" s="394"/>
      <c r="AY111" s="394"/>
      <c r="AZ111" s="394"/>
      <c r="BA111" s="394"/>
      <c r="BB111" s="394"/>
      <c r="BC111" s="394"/>
      <c r="BD111" s="394"/>
      <c r="BE111" s="394"/>
      <c r="BF111" s="394"/>
      <c r="BG111" s="394"/>
      <c r="BH111" s="394"/>
      <c r="BI111" s="394"/>
      <c r="BJ111" s="394"/>
      <c r="BK111" s="394"/>
      <c r="BL111" s="394"/>
      <c r="BM111" s="394"/>
      <c r="BN111" s="394"/>
      <c r="BO111" s="394"/>
      <c r="BP111" s="394"/>
      <c r="BQ111" s="394"/>
      <c r="BR111" s="394"/>
      <c r="BS111" s="394"/>
      <c r="BT111" s="394"/>
      <c r="BU111" s="394"/>
      <c r="BV111" s="394"/>
      <c r="BW111" s="394"/>
      <c r="BX111" s="394"/>
      <c r="BY111" s="394"/>
      <c r="BZ111" s="394"/>
      <c r="CA111" s="394"/>
      <c r="CB111" s="394"/>
      <c r="CC111" s="394"/>
      <c r="CD111" s="394"/>
      <c r="CE111" s="394"/>
      <c r="CF111" s="394"/>
      <c r="CG111" s="394"/>
      <c r="CH111" s="394"/>
      <c r="CI111" s="394"/>
      <c r="CJ111" s="394"/>
      <c r="CK111" s="394"/>
      <c r="CL111" s="394"/>
      <c r="CM111" s="394"/>
      <c r="CN111" s="394"/>
      <c r="CO111" s="394"/>
      <c r="CP111" s="394"/>
      <c r="CQ111" s="394"/>
      <c r="CR111" s="394"/>
      <c r="CS111" s="394"/>
      <c r="CT111" s="394"/>
      <c r="CU111" s="394"/>
      <c r="CV111" s="394"/>
      <c r="CW111" s="394"/>
      <c r="CX111" s="394"/>
      <c r="CY111" s="394"/>
      <c r="CZ111" s="394"/>
      <c r="DA111" s="394"/>
      <c r="DB111" s="394"/>
      <c r="DC111" s="394"/>
      <c r="DD111" s="394"/>
      <c r="DE111" s="394"/>
      <c r="DF111" s="394"/>
      <c r="DG111" s="394"/>
      <c r="DH111" s="394"/>
      <c r="DI111" s="394"/>
      <c r="DJ111" s="394"/>
      <c r="DK111" s="394"/>
      <c r="DL111" s="394"/>
      <c r="DM111" s="394"/>
      <c r="DN111" s="394"/>
      <c r="DO111" s="394"/>
      <c r="DP111" s="394"/>
      <c r="DQ111" s="394"/>
      <c r="DR111" s="394"/>
      <c r="DS111" s="394"/>
      <c r="DT111" s="394"/>
      <c r="DU111" s="394"/>
      <c r="DV111" s="394"/>
      <c r="DW111" s="394"/>
      <c r="DX111" s="394"/>
      <c r="DY111" s="394"/>
      <c r="DZ111" s="394"/>
      <c r="EA111" s="394"/>
      <c r="EB111" s="394"/>
      <c r="EC111" s="394"/>
      <c r="ED111" s="394"/>
      <c r="EE111" s="394"/>
      <c r="EF111" s="394"/>
      <c r="EG111" s="394"/>
      <c r="EH111" s="394"/>
      <c r="EI111" s="394"/>
      <c r="EJ111" s="394"/>
      <c r="EK111" s="394"/>
      <c r="EL111" s="394"/>
      <c r="EM111" s="394"/>
      <c r="EN111" s="394"/>
      <c r="EO111" s="394"/>
      <c r="EP111" s="394"/>
      <c r="EQ111" s="394"/>
      <c r="ER111" s="394"/>
      <c r="ES111" s="394"/>
      <c r="ET111" s="394"/>
      <c r="EU111" s="394"/>
      <c r="EV111" s="394"/>
      <c r="EW111" s="394"/>
      <c r="EX111" s="394"/>
      <c r="EY111" s="394"/>
      <c r="EZ111" s="394"/>
      <c r="FA111" s="394"/>
      <c r="FB111" s="394"/>
      <c r="FC111" s="394"/>
      <c r="FD111" s="394"/>
      <c r="FE111" s="394"/>
      <c r="FF111" s="394"/>
      <c r="FG111" s="394"/>
      <c r="FH111" s="394"/>
      <c r="FI111" s="394"/>
      <c r="FJ111" s="394"/>
      <c r="FK111" s="394"/>
      <c r="FL111" s="394"/>
      <c r="FM111" s="394"/>
      <c r="FN111" s="394"/>
      <c r="FO111" s="394"/>
      <c r="FP111" s="394"/>
      <c r="FQ111" s="394"/>
      <c r="FR111" s="394"/>
      <c r="FS111" s="394"/>
      <c r="FT111" s="394"/>
      <c r="FU111" s="394"/>
      <c r="FV111" s="394"/>
      <c r="FW111" s="394"/>
      <c r="FX111" s="394"/>
      <c r="FY111" s="394"/>
      <c r="FZ111" s="930"/>
      <c r="GA111" s="930"/>
      <c r="GB111" s="930"/>
      <c r="GC111" s="930"/>
      <c r="GD111" s="930"/>
    </row>
    <row r="112" spans="1:186" s="1057" customFormat="1" ht="15" hidden="1" customHeight="1">
      <c r="A112" s="1012"/>
      <c r="B112" s="749" t="b">
        <f t="shared" si="27"/>
        <v>0</v>
      </c>
      <c r="C112" s="1012"/>
      <c r="D112" s="1012"/>
      <c r="E112" s="623">
        <v>15.8</v>
      </c>
      <c r="F112" s="714" t="str">
        <f t="shared" ca="1" si="24"/>
        <v>1</v>
      </c>
      <c r="G112" s="394"/>
      <c r="H112" s="150" t="s">
        <v>1691</v>
      </c>
      <c r="I112" s="150" t="s">
        <v>1671</v>
      </c>
      <c r="J112" s="394"/>
      <c r="K112" s="394"/>
      <c r="L112" s="394"/>
      <c r="M112" s="394"/>
      <c r="N112" s="394"/>
      <c r="O112" s="394"/>
      <c r="P112" s="394"/>
      <c r="Q112" s="394"/>
      <c r="R112" s="719"/>
      <c r="S112" s="394"/>
      <c r="T112" s="634" t="b">
        <v>0</v>
      </c>
      <c r="U112" s="1012"/>
      <c r="V112" s="1012"/>
      <c r="W112" s="1012"/>
      <c r="X112" s="1405"/>
      <c r="Y112" s="1012"/>
      <c r="Z112" s="1405"/>
      <c r="AA112" s="394"/>
      <c r="AB112" s="210" t="s">
        <v>1692</v>
      </c>
      <c r="AC112" s="519" t="s">
        <v>738</v>
      </c>
      <c r="AD112" s="394"/>
      <c r="AE112" s="394"/>
      <c r="AF112" s="394"/>
      <c r="AG112" s="394"/>
      <c r="AH112" s="394"/>
      <c r="AI112" s="394"/>
      <c r="AJ112" s="394"/>
      <c r="AK112" s="394"/>
      <c r="AL112" s="394"/>
      <c r="AM112" s="394"/>
      <c r="AN112" s="394"/>
      <c r="AO112" s="394"/>
      <c r="AP112" s="394"/>
      <c r="AQ112" s="394"/>
      <c r="AR112" s="394"/>
      <c r="AS112" s="394"/>
      <c r="AT112" s="394"/>
      <c r="AU112" s="394"/>
      <c r="AV112" s="394"/>
      <c r="AW112" s="394"/>
      <c r="AX112" s="394"/>
      <c r="AY112" s="394"/>
      <c r="AZ112" s="394"/>
      <c r="BA112" s="394"/>
      <c r="BB112" s="394"/>
      <c r="BC112" s="394"/>
      <c r="BD112" s="394"/>
      <c r="BE112" s="394"/>
      <c r="BF112" s="394"/>
      <c r="BG112" s="394"/>
      <c r="BH112" s="394"/>
      <c r="BI112" s="394"/>
      <c r="BJ112" s="394"/>
      <c r="BK112" s="394"/>
      <c r="BL112" s="394"/>
      <c r="BM112" s="394"/>
      <c r="BN112" s="394"/>
      <c r="BO112" s="394"/>
      <c r="BP112" s="394"/>
      <c r="BQ112" s="394"/>
      <c r="BR112" s="394"/>
      <c r="BS112" s="394"/>
      <c r="BT112" s="394"/>
      <c r="BU112" s="394"/>
      <c r="BV112" s="394"/>
      <c r="BW112" s="394"/>
      <c r="BX112" s="394"/>
      <c r="BY112" s="394"/>
      <c r="BZ112" s="394"/>
      <c r="CA112" s="394"/>
      <c r="CB112" s="394"/>
      <c r="CC112" s="394"/>
      <c r="CD112" s="394"/>
      <c r="CE112" s="394"/>
      <c r="CF112" s="394"/>
      <c r="CG112" s="394"/>
      <c r="CH112" s="394"/>
      <c r="CI112" s="394"/>
      <c r="CJ112" s="394"/>
      <c r="CK112" s="394"/>
      <c r="CL112" s="394"/>
      <c r="CM112" s="394"/>
      <c r="CN112" s="394"/>
      <c r="CO112" s="394"/>
      <c r="CP112" s="394"/>
      <c r="CQ112" s="394"/>
      <c r="CR112" s="394"/>
      <c r="CS112" s="394"/>
      <c r="CT112" s="394"/>
      <c r="CU112" s="394"/>
      <c r="CV112" s="394"/>
      <c r="CW112" s="394"/>
      <c r="CX112" s="394"/>
      <c r="CY112" s="394"/>
      <c r="CZ112" s="394"/>
      <c r="DA112" s="394"/>
      <c r="DB112" s="394"/>
      <c r="DC112" s="394"/>
      <c r="DD112" s="394"/>
      <c r="DE112" s="394"/>
      <c r="DF112" s="394"/>
      <c r="DG112" s="394"/>
      <c r="DH112" s="394"/>
      <c r="DI112" s="394"/>
      <c r="DJ112" s="394"/>
      <c r="DK112" s="394"/>
      <c r="DL112" s="394"/>
      <c r="DM112" s="394"/>
      <c r="DN112" s="394"/>
      <c r="DO112" s="394"/>
      <c r="DP112" s="394"/>
      <c r="DQ112" s="394"/>
      <c r="DR112" s="394"/>
      <c r="DS112" s="394"/>
      <c r="DT112" s="394"/>
      <c r="DU112" s="394"/>
      <c r="DV112" s="394"/>
      <c r="DW112" s="394"/>
      <c r="DX112" s="394"/>
      <c r="DY112" s="394"/>
      <c r="DZ112" s="394"/>
      <c r="EA112" s="394"/>
      <c r="EB112" s="394"/>
      <c r="EC112" s="394"/>
      <c r="ED112" s="394"/>
      <c r="EE112" s="394"/>
      <c r="EF112" s="394"/>
      <c r="EG112" s="394"/>
      <c r="EH112" s="394"/>
      <c r="EI112" s="394"/>
      <c r="EJ112" s="394"/>
      <c r="EK112" s="394"/>
      <c r="EL112" s="394"/>
      <c r="EM112" s="394"/>
      <c r="EN112" s="394"/>
      <c r="EO112" s="394"/>
      <c r="EP112" s="394"/>
      <c r="EQ112" s="394"/>
      <c r="ER112" s="394"/>
      <c r="ES112" s="394"/>
      <c r="ET112" s="394"/>
      <c r="EU112" s="394"/>
      <c r="EV112" s="394"/>
      <c r="EW112" s="394"/>
      <c r="EX112" s="394"/>
      <c r="EY112" s="394"/>
      <c r="EZ112" s="394"/>
      <c r="FA112" s="394"/>
      <c r="FB112" s="394"/>
      <c r="FC112" s="394"/>
      <c r="FD112" s="394"/>
      <c r="FE112" s="394"/>
      <c r="FF112" s="394"/>
      <c r="FG112" s="394"/>
      <c r="FH112" s="394"/>
      <c r="FI112" s="394"/>
      <c r="FJ112" s="394"/>
      <c r="FK112" s="394"/>
      <c r="FL112" s="394"/>
      <c r="FM112" s="394"/>
      <c r="FN112" s="394"/>
      <c r="FO112" s="394"/>
      <c r="FP112" s="394"/>
      <c r="FQ112" s="394"/>
      <c r="FR112" s="394"/>
      <c r="FS112" s="394"/>
      <c r="FT112" s="394"/>
      <c r="FU112" s="394"/>
      <c r="FV112" s="394"/>
      <c r="FW112" s="394"/>
      <c r="FX112" s="394"/>
      <c r="FY112" s="394"/>
      <c r="FZ112" s="930"/>
      <c r="GA112" s="930"/>
      <c r="GB112" s="930"/>
      <c r="GC112" s="930"/>
      <c r="GD112" s="930"/>
    </row>
    <row r="113" spans="1:186" s="1057" customFormat="1" ht="15" hidden="1" customHeight="1">
      <c r="A113" s="1012"/>
      <c r="B113" s="749" t="b">
        <f t="shared" si="27"/>
        <v>0</v>
      </c>
      <c r="C113" s="1012"/>
      <c r="D113" s="1012"/>
      <c r="E113" s="623">
        <v>15.8</v>
      </c>
      <c r="F113" s="714" t="str">
        <f t="shared" ca="1" si="24"/>
        <v>1</v>
      </c>
      <c r="G113" s="394"/>
      <c r="H113" s="150" t="s">
        <v>1694</v>
      </c>
      <c r="I113" s="150" t="s">
        <v>1671</v>
      </c>
      <c r="J113" s="394"/>
      <c r="K113" s="394"/>
      <c r="L113" s="394"/>
      <c r="M113" s="394"/>
      <c r="N113" s="394"/>
      <c r="O113" s="394"/>
      <c r="P113" s="394"/>
      <c r="Q113" s="394"/>
      <c r="R113" s="719"/>
      <c r="S113" s="394"/>
      <c r="T113" s="634" t="b">
        <v>0</v>
      </c>
      <c r="U113" s="1012"/>
      <c r="V113" s="1012"/>
      <c r="W113" s="1012"/>
      <c r="X113" s="1405"/>
      <c r="Y113" s="1012"/>
      <c r="Z113" s="1405"/>
      <c r="AA113" s="394"/>
      <c r="AB113" s="210" t="s">
        <v>1695</v>
      </c>
      <c r="AC113" s="519" t="s">
        <v>738</v>
      </c>
      <c r="AD113" s="394"/>
      <c r="AE113" s="394"/>
      <c r="AF113" s="394"/>
      <c r="AG113" s="394"/>
      <c r="AH113" s="394"/>
      <c r="AI113" s="394"/>
      <c r="AJ113" s="394"/>
      <c r="AK113" s="394"/>
      <c r="AL113" s="394"/>
      <c r="AM113" s="394"/>
      <c r="AN113" s="394"/>
      <c r="AO113" s="394"/>
      <c r="AP113" s="394"/>
      <c r="AQ113" s="394"/>
      <c r="AR113" s="394"/>
      <c r="AS113" s="394"/>
      <c r="AT113" s="394"/>
      <c r="AU113" s="394"/>
      <c r="AV113" s="394"/>
      <c r="AW113" s="394"/>
      <c r="AX113" s="394"/>
      <c r="AY113" s="394"/>
      <c r="AZ113" s="394"/>
      <c r="BA113" s="394"/>
      <c r="BB113" s="394"/>
      <c r="BC113" s="394"/>
      <c r="BD113" s="394"/>
      <c r="BE113" s="394"/>
      <c r="BF113" s="394"/>
      <c r="BG113" s="394"/>
      <c r="BH113" s="394"/>
      <c r="BI113" s="394"/>
      <c r="BJ113" s="394"/>
      <c r="BK113" s="394"/>
      <c r="BL113" s="394"/>
      <c r="BM113" s="394"/>
      <c r="BN113" s="394"/>
      <c r="BO113" s="394"/>
      <c r="BP113" s="394"/>
      <c r="BQ113" s="394"/>
      <c r="BR113" s="394"/>
      <c r="BS113" s="394"/>
      <c r="BT113" s="394"/>
      <c r="BU113" s="394"/>
      <c r="BV113" s="394"/>
      <c r="BW113" s="394"/>
      <c r="BX113" s="394"/>
      <c r="BY113" s="394"/>
      <c r="BZ113" s="394"/>
      <c r="CA113" s="394"/>
      <c r="CB113" s="394"/>
      <c r="CC113" s="394"/>
      <c r="CD113" s="394"/>
      <c r="CE113" s="394"/>
      <c r="CF113" s="394"/>
      <c r="CG113" s="394"/>
      <c r="CH113" s="394"/>
      <c r="CI113" s="394"/>
      <c r="CJ113" s="394"/>
      <c r="CK113" s="394"/>
      <c r="CL113" s="394"/>
      <c r="CM113" s="394"/>
      <c r="CN113" s="394"/>
      <c r="CO113" s="394"/>
      <c r="CP113" s="394"/>
      <c r="CQ113" s="394"/>
      <c r="CR113" s="394"/>
      <c r="CS113" s="394"/>
      <c r="CT113" s="394"/>
      <c r="CU113" s="394"/>
      <c r="CV113" s="394"/>
      <c r="CW113" s="394"/>
      <c r="CX113" s="394"/>
      <c r="CY113" s="394"/>
      <c r="CZ113" s="394"/>
      <c r="DA113" s="394"/>
      <c r="DB113" s="394"/>
      <c r="DC113" s="394"/>
      <c r="DD113" s="394"/>
      <c r="DE113" s="394"/>
      <c r="DF113" s="394"/>
      <c r="DG113" s="394"/>
      <c r="DH113" s="394"/>
      <c r="DI113" s="394"/>
      <c r="DJ113" s="394"/>
      <c r="DK113" s="394"/>
      <c r="DL113" s="394"/>
      <c r="DM113" s="394"/>
      <c r="DN113" s="394"/>
      <c r="DO113" s="394"/>
      <c r="DP113" s="394"/>
      <c r="DQ113" s="394"/>
      <c r="DR113" s="394"/>
      <c r="DS113" s="394"/>
      <c r="DT113" s="394"/>
      <c r="DU113" s="394"/>
      <c r="DV113" s="394"/>
      <c r="DW113" s="394"/>
      <c r="DX113" s="394"/>
      <c r="DY113" s="394"/>
      <c r="DZ113" s="394"/>
      <c r="EA113" s="394"/>
      <c r="EB113" s="394"/>
      <c r="EC113" s="394"/>
      <c r="ED113" s="394"/>
      <c r="EE113" s="394"/>
      <c r="EF113" s="394"/>
      <c r="EG113" s="394"/>
      <c r="EH113" s="394"/>
      <c r="EI113" s="394"/>
      <c r="EJ113" s="394"/>
      <c r="EK113" s="394"/>
      <c r="EL113" s="394"/>
      <c r="EM113" s="394"/>
      <c r="EN113" s="394"/>
      <c r="EO113" s="394"/>
      <c r="EP113" s="394"/>
      <c r="EQ113" s="394"/>
      <c r="ER113" s="394"/>
      <c r="ES113" s="394"/>
      <c r="ET113" s="394"/>
      <c r="EU113" s="394"/>
      <c r="EV113" s="394"/>
      <c r="EW113" s="394"/>
      <c r="EX113" s="394"/>
      <c r="EY113" s="394"/>
      <c r="EZ113" s="394"/>
      <c r="FA113" s="394"/>
      <c r="FB113" s="394"/>
      <c r="FC113" s="394"/>
      <c r="FD113" s="394"/>
      <c r="FE113" s="394"/>
      <c r="FF113" s="394"/>
      <c r="FG113" s="394"/>
      <c r="FH113" s="394"/>
      <c r="FI113" s="394"/>
      <c r="FJ113" s="394"/>
      <c r="FK113" s="394"/>
      <c r="FL113" s="394"/>
      <c r="FM113" s="394"/>
      <c r="FN113" s="394"/>
      <c r="FO113" s="394"/>
      <c r="FP113" s="394"/>
      <c r="FQ113" s="394"/>
      <c r="FR113" s="394"/>
      <c r="FS113" s="394"/>
      <c r="FT113" s="394"/>
      <c r="FU113" s="394"/>
      <c r="FV113" s="394"/>
      <c r="FW113" s="394"/>
      <c r="FX113" s="394"/>
      <c r="FY113" s="394"/>
      <c r="FZ113" s="930"/>
      <c r="GA113" s="930"/>
      <c r="GB113" s="930"/>
      <c r="GC113" s="930"/>
      <c r="GD113" s="930"/>
    </row>
    <row r="114" spans="1:186" s="1057" customFormat="1" ht="15" hidden="1" customHeight="1">
      <c r="A114" s="1012"/>
      <c r="B114" s="749" t="b">
        <f t="shared" si="27"/>
        <v>0</v>
      </c>
      <c r="C114" s="1012"/>
      <c r="D114" s="1012"/>
      <c r="E114" s="623">
        <v>15.8</v>
      </c>
      <c r="F114" s="714" t="str">
        <f t="shared" ca="1" si="24"/>
        <v>1</v>
      </c>
      <c r="G114" s="394"/>
      <c r="H114" s="150" t="s">
        <v>1696</v>
      </c>
      <c r="I114" s="150" t="s">
        <v>1671</v>
      </c>
      <c r="J114" s="394"/>
      <c r="K114" s="394"/>
      <c r="L114" s="394"/>
      <c r="M114" s="394"/>
      <c r="N114" s="394"/>
      <c r="O114" s="394"/>
      <c r="P114" s="394"/>
      <c r="Q114" s="394"/>
      <c r="R114" s="719"/>
      <c r="S114" s="394"/>
      <c r="T114" s="634" t="b">
        <v>0</v>
      </c>
      <c r="U114" s="1012"/>
      <c r="V114" s="1012"/>
      <c r="W114" s="1012"/>
      <c r="X114" s="1405"/>
      <c r="Y114" s="1012"/>
      <c r="Z114" s="1405"/>
      <c r="AA114" s="394"/>
      <c r="AB114" s="210" t="s">
        <v>1697</v>
      </c>
      <c r="AC114" s="519" t="s">
        <v>598</v>
      </c>
      <c r="AD114" s="394"/>
      <c r="AE114" s="394"/>
      <c r="AF114" s="394"/>
      <c r="AG114" s="394"/>
      <c r="AH114" s="394"/>
      <c r="AI114" s="394"/>
      <c r="AJ114" s="394"/>
      <c r="AK114" s="394"/>
      <c r="AL114" s="394"/>
      <c r="AM114" s="394"/>
      <c r="AN114" s="394"/>
      <c r="AO114" s="394"/>
      <c r="AP114" s="394"/>
      <c r="AQ114" s="394"/>
      <c r="AR114" s="394"/>
      <c r="AS114" s="394"/>
      <c r="AT114" s="394"/>
      <c r="AU114" s="394"/>
      <c r="AV114" s="394"/>
      <c r="AW114" s="394"/>
      <c r="AX114" s="394"/>
      <c r="AY114" s="394"/>
      <c r="AZ114" s="394"/>
      <c r="BA114" s="394"/>
      <c r="BB114" s="394"/>
      <c r="BC114" s="394"/>
      <c r="BD114" s="394"/>
      <c r="BE114" s="394"/>
      <c r="BF114" s="394"/>
      <c r="BG114" s="394"/>
      <c r="BH114" s="394"/>
      <c r="BI114" s="394"/>
      <c r="BJ114" s="394"/>
      <c r="BK114" s="394"/>
      <c r="BL114" s="394"/>
      <c r="BM114" s="394"/>
      <c r="BN114" s="394"/>
      <c r="BO114" s="394"/>
      <c r="BP114" s="394"/>
      <c r="BQ114" s="394"/>
      <c r="BR114" s="394"/>
      <c r="BS114" s="394"/>
      <c r="BT114" s="394"/>
      <c r="BU114" s="394"/>
      <c r="BV114" s="394"/>
      <c r="BW114" s="394"/>
      <c r="BX114" s="394"/>
      <c r="BY114" s="394"/>
      <c r="BZ114" s="394"/>
      <c r="CA114" s="394"/>
      <c r="CB114" s="394"/>
      <c r="CC114" s="394"/>
      <c r="CD114" s="394"/>
      <c r="CE114" s="394"/>
      <c r="CF114" s="394"/>
      <c r="CG114" s="394"/>
      <c r="CH114" s="394"/>
      <c r="CI114" s="394"/>
      <c r="CJ114" s="394"/>
      <c r="CK114" s="394"/>
      <c r="CL114" s="394"/>
      <c r="CM114" s="394"/>
      <c r="CN114" s="394"/>
      <c r="CO114" s="394"/>
      <c r="CP114" s="394"/>
      <c r="CQ114" s="394"/>
      <c r="CR114" s="394"/>
      <c r="CS114" s="394"/>
      <c r="CT114" s="394"/>
      <c r="CU114" s="394"/>
      <c r="CV114" s="394"/>
      <c r="CW114" s="394"/>
      <c r="CX114" s="394"/>
      <c r="CY114" s="394"/>
      <c r="CZ114" s="394"/>
      <c r="DA114" s="394"/>
      <c r="DB114" s="394"/>
      <c r="DC114" s="394"/>
      <c r="DD114" s="394"/>
      <c r="DE114" s="394"/>
      <c r="DF114" s="394"/>
      <c r="DG114" s="394"/>
      <c r="DH114" s="394"/>
      <c r="DI114" s="394"/>
      <c r="DJ114" s="394"/>
      <c r="DK114" s="394"/>
      <c r="DL114" s="394"/>
      <c r="DM114" s="394"/>
      <c r="DN114" s="394"/>
      <c r="DO114" s="394"/>
      <c r="DP114" s="394"/>
      <c r="DQ114" s="394"/>
      <c r="DR114" s="394"/>
      <c r="DS114" s="394"/>
      <c r="DT114" s="394"/>
      <c r="DU114" s="394"/>
      <c r="DV114" s="394"/>
      <c r="DW114" s="394"/>
      <c r="DX114" s="394"/>
      <c r="DY114" s="394"/>
      <c r="DZ114" s="394"/>
      <c r="EA114" s="394"/>
      <c r="EB114" s="394"/>
      <c r="EC114" s="394"/>
      <c r="ED114" s="394"/>
      <c r="EE114" s="394"/>
      <c r="EF114" s="394"/>
      <c r="EG114" s="394"/>
      <c r="EH114" s="394"/>
      <c r="EI114" s="394"/>
      <c r="EJ114" s="394"/>
      <c r="EK114" s="394"/>
      <c r="EL114" s="394"/>
      <c r="EM114" s="394"/>
      <c r="EN114" s="394"/>
      <c r="EO114" s="394"/>
      <c r="EP114" s="394"/>
      <c r="EQ114" s="394"/>
      <c r="ER114" s="394"/>
      <c r="ES114" s="394"/>
      <c r="ET114" s="394"/>
      <c r="EU114" s="394"/>
      <c r="EV114" s="394"/>
      <c r="EW114" s="394"/>
      <c r="EX114" s="394"/>
      <c r="EY114" s="394"/>
      <c r="EZ114" s="394"/>
      <c r="FA114" s="394"/>
      <c r="FB114" s="394"/>
      <c r="FC114" s="394"/>
      <c r="FD114" s="394"/>
      <c r="FE114" s="394"/>
      <c r="FF114" s="394"/>
      <c r="FG114" s="394"/>
      <c r="FH114" s="394"/>
      <c r="FI114" s="394"/>
      <c r="FJ114" s="394"/>
      <c r="FK114" s="394"/>
      <c r="FL114" s="394"/>
      <c r="FM114" s="394"/>
      <c r="FN114" s="394"/>
      <c r="FO114" s="394"/>
      <c r="FP114" s="394"/>
      <c r="FQ114" s="394"/>
      <c r="FR114" s="394"/>
      <c r="FS114" s="394"/>
      <c r="FT114" s="394"/>
      <c r="FU114" s="394"/>
      <c r="FV114" s="394"/>
      <c r="FW114" s="394"/>
      <c r="FX114" s="394"/>
      <c r="FY114" s="394"/>
      <c r="FZ114" s="930"/>
      <c r="GA114" s="930"/>
      <c r="GB114" s="930"/>
      <c r="GC114" s="930"/>
      <c r="GD114" s="930"/>
    </row>
    <row r="115" spans="1:186" s="1057" customFormat="1" ht="30" hidden="1" customHeight="1">
      <c r="A115" s="1012"/>
      <c r="B115" s="749" t="b">
        <f t="shared" si="27"/>
        <v>0</v>
      </c>
      <c r="C115" s="1012"/>
      <c r="D115" s="1012"/>
      <c r="E115" s="623">
        <v>31.5</v>
      </c>
      <c r="F115" s="714" t="str">
        <f t="shared" ca="1" si="24"/>
        <v>1</v>
      </c>
      <c r="G115" s="394"/>
      <c r="H115" s="150" t="s">
        <v>1699</v>
      </c>
      <c r="I115" s="150" t="s">
        <v>1671</v>
      </c>
      <c r="J115" s="394"/>
      <c r="K115" s="394"/>
      <c r="L115" s="394"/>
      <c r="M115" s="394"/>
      <c r="N115" s="394"/>
      <c r="O115" s="394"/>
      <c r="P115" s="394"/>
      <c r="Q115" s="394"/>
      <c r="R115" s="719"/>
      <c r="S115" s="394"/>
      <c r="T115" s="634" t="b">
        <v>0</v>
      </c>
      <c r="U115" s="1012"/>
      <c r="V115" s="1012"/>
      <c r="W115" s="1012"/>
      <c r="X115" s="1405"/>
      <c r="Y115" s="1012"/>
      <c r="Z115" s="1405"/>
      <c r="AA115" s="394"/>
      <c r="AB115" s="210" t="s">
        <v>1700</v>
      </c>
      <c r="AC115" s="413" t="s">
        <v>1701</v>
      </c>
      <c r="AD115" s="394"/>
      <c r="AE115" s="394"/>
      <c r="AF115" s="394"/>
      <c r="AG115" s="394"/>
      <c r="AH115" s="394"/>
      <c r="AI115" s="394"/>
      <c r="AJ115" s="394"/>
      <c r="AK115" s="394"/>
      <c r="AL115" s="394"/>
      <c r="AM115" s="394"/>
      <c r="AN115" s="394"/>
      <c r="AO115" s="394"/>
      <c r="AP115" s="394"/>
      <c r="AQ115" s="394"/>
      <c r="AR115" s="394"/>
      <c r="AS115" s="394"/>
      <c r="AT115" s="394"/>
      <c r="AU115" s="394"/>
      <c r="AV115" s="394"/>
      <c r="AW115" s="394"/>
      <c r="AX115" s="394"/>
      <c r="AY115" s="394"/>
      <c r="AZ115" s="394"/>
      <c r="BA115" s="394"/>
      <c r="BB115" s="394"/>
      <c r="BC115" s="394"/>
      <c r="BD115" s="394"/>
      <c r="BE115" s="394"/>
      <c r="BF115" s="394"/>
      <c r="BG115" s="394"/>
      <c r="BH115" s="394"/>
      <c r="BI115" s="394"/>
      <c r="BJ115" s="394"/>
      <c r="BK115" s="394"/>
      <c r="BL115" s="394"/>
      <c r="BM115" s="394"/>
      <c r="BN115" s="394"/>
      <c r="BO115" s="394"/>
      <c r="BP115" s="394"/>
      <c r="BQ115" s="394"/>
      <c r="BR115" s="394"/>
      <c r="BS115" s="394"/>
      <c r="BT115" s="394"/>
      <c r="BU115" s="394"/>
      <c r="BV115" s="394"/>
      <c r="BW115" s="394"/>
      <c r="BX115" s="394"/>
      <c r="BY115" s="394"/>
      <c r="BZ115" s="394"/>
      <c r="CA115" s="394"/>
      <c r="CB115" s="394"/>
      <c r="CC115" s="394"/>
      <c r="CD115" s="394"/>
      <c r="CE115" s="394"/>
      <c r="CF115" s="394"/>
      <c r="CG115" s="394"/>
      <c r="CH115" s="394"/>
      <c r="CI115" s="394"/>
      <c r="CJ115" s="394"/>
      <c r="CK115" s="394"/>
      <c r="CL115" s="394"/>
      <c r="CM115" s="394"/>
      <c r="CN115" s="394"/>
      <c r="CO115" s="394"/>
      <c r="CP115" s="394"/>
      <c r="CQ115" s="394"/>
      <c r="CR115" s="394"/>
      <c r="CS115" s="394"/>
      <c r="CT115" s="394"/>
      <c r="CU115" s="394"/>
      <c r="CV115" s="394"/>
      <c r="CW115" s="394"/>
      <c r="CX115" s="394"/>
      <c r="CY115" s="394"/>
      <c r="CZ115" s="394"/>
      <c r="DA115" s="394"/>
      <c r="DB115" s="394"/>
      <c r="DC115" s="394"/>
      <c r="DD115" s="394"/>
      <c r="DE115" s="394"/>
      <c r="DF115" s="394"/>
      <c r="DG115" s="394"/>
      <c r="DH115" s="394"/>
      <c r="DI115" s="394"/>
      <c r="DJ115" s="394"/>
      <c r="DK115" s="394"/>
      <c r="DL115" s="394"/>
      <c r="DM115" s="394"/>
      <c r="DN115" s="394"/>
      <c r="DO115" s="394"/>
      <c r="DP115" s="394"/>
      <c r="DQ115" s="394"/>
      <c r="DR115" s="394"/>
      <c r="DS115" s="394"/>
      <c r="DT115" s="394"/>
      <c r="DU115" s="394"/>
      <c r="DV115" s="394"/>
      <c r="DW115" s="394"/>
      <c r="DX115" s="394"/>
      <c r="DY115" s="394"/>
      <c r="DZ115" s="394"/>
      <c r="EA115" s="394"/>
      <c r="EB115" s="394"/>
      <c r="EC115" s="394"/>
      <c r="ED115" s="394"/>
      <c r="EE115" s="394"/>
      <c r="EF115" s="394"/>
      <c r="EG115" s="394"/>
      <c r="EH115" s="394"/>
      <c r="EI115" s="394"/>
      <c r="EJ115" s="394"/>
      <c r="EK115" s="394"/>
      <c r="EL115" s="394"/>
      <c r="EM115" s="394"/>
      <c r="EN115" s="394"/>
      <c r="EO115" s="394"/>
      <c r="EP115" s="394"/>
      <c r="EQ115" s="394"/>
      <c r="ER115" s="394"/>
      <c r="ES115" s="394"/>
      <c r="ET115" s="394"/>
      <c r="EU115" s="394"/>
      <c r="EV115" s="394"/>
      <c r="EW115" s="394"/>
      <c r="EX115" s="394"/>
      <c r="EY115" s="394"/>
      <c r="EZ115" s="394"/>
      <c r="FA115" s="394"/>
      <c r="FB115" s="394"/>
      <c r="FC115" s="394"/>
      <c r="FD115" s="394"/>
      <c r="FE115" s="394"/>
      <c r="FF115" s="394"/>
      <c r="FG115" s="394"/>
      <c r="FH115" s="394"/>
      <c r="FI115" s="394"/>
      <c r="FJ115" s="394"/>
      <c r="FK115" s="394"/>
      <c r="FL115" s="394"/>
      <c r="FM115" s="394"/>
      <c r="FN115" s="394"/>
      <c r="FO115" s="394"/>
      <c r="FP115" s="394"/>
      <c r="FQ115" s="394"/>
      <c r="FR115" s="394"/>
      <c r="FS115" s="394"/>
      <c r="FT115" s="394"/>
      <c r="FU115" s="394"/>
      <c r="FV115" s="394"/>
      <c r="FW115" s="394"/>
      <c r="FX115" s="394"/>
      <c r="FY115" s="394"/>
      <c r="FZ115" s="930"/>
      <c r="GA115" s="930"/>
      <c r="GB115" s="930"/>
      <c r="GC115" s="930"/>
      <c r="GD115" s="930"/>
    </row>
    <row r="116" spans="1:186" s="1057" customFormat="1" ht="15" hidden="1" customHeight="1">
      <c r="A116" s="1012"/>
      <c r="B116" s="749" t="b">
        <f t="shared" si="27"/>
        <v>0</v>
      </c>
      <c r="C116" s="1012"/>
      <c r="D116" s="1012"/>
      <c r="E116" s="623">
        <v>15.8</v>
      </c>
      <c r="F116" s="714" t="str">
        <f t="shared" ca="1" si="24"/>
        <v>1</v>
      </c>
      <c r="G116" s="394"/>
      <c r="H116" s="150" t="s">
        <v>1703</v>
      </c>
      <c r="I116" s="150" t="s">
        <v>1671</v>
      </c>
      <c r="J116" s="394"/>
      <c r="K116" s="394"/>
      <c r="L116" s="394"/>
      <c r="M116" s="394"/>
      <c r="N116" s="394"/>
      <c r="O116" s="394"/>
      <c r="P116" s="394"/>
      <c r="Q116" s="394"/>
      <c r="R116" s="719"/>
      <c r="S116" s="394"/>
      <c r="T116" s="634" t="b">
        <v>0</v>
      </c>
      <c r="U116" s="1012"/>
      <c r="V116" s="1012"/>
      <c r="W116" s="1012"/>
      <c r="X116" s="1405"/>
      <c r="Y116" s="1012"/>
      <c r="Z116" s="1405"/>
      <c r="AA116" s="394"/>
      <c r="AB116" s="210" t="s">
        <v>1704</v>
      </c>
      <c r="AC116" s="507" t="s">
        <v>804</v>
      </c>
      <c r="AD116" s="394"/>
      <c r="AE116" s="394"/>
      <c r="AF116" s="394"/>
      <c r="AG116" s="394"/>
      <c r="AH116" s="394"/>
      <c r="AI116" s="394"/>
      <c r="AJ116" s="394"/>
      <c r="AK116" s="394"/>
      <c r="AL116" s="394"/>
      <c r="AM116" s="394"/>
      <c r="AN116" s="394"/>
      <c r="AO116" s="394"/>
      <c r="AP116" s="394"/>
      <c r="AQ116" s="394"/>
      <c r="AR116" s="394"/>
      <c r="AS116" s="394"/>
      <c r="AT116" s="394"/>
      <c r="AU116" s="394"/>
      <c r="AV116" s="394"/>
      <c r="AW116" s="394"/>
      <c r="AX116" s="394"/>
      <c r="AY116" s="394"/>
      <c r="AZ116" s="394"/>
      <c r="BA116" s="394"/>
      <c r="BB116" s="394"/>
      <c r="BC116" s="394"/>
      <c r="BD116" s="394"/>
      <c r="BE116" s="394"/>
      <c r="BF116" s="394"/>
      <c r="BG116" s="394"/>
      <c r="BH116" s="394"/>
      <c r="BI116" s="394"/>
      <c r="BJ116" s="394"/>
      <c r="BK116" s="394"/>
      <c r="BL116" s="394"/>
      <c r="BM116" s="394"/>
      <c r="BN116" s="394"/>
      <c r="BO116" s="394"/>
      <c r="BP116" s="394"/>
      <c r="BQ116" s="394"/>
      <c r="BR116" s="394"/>
      <c r="BS116" s="394"/>
      <c r="BT116" s="394"/>
      <c r="BU116" s="394"/>
      <c r="BV116" s="394"/>
      <c r="BW116" s="394"/>
      <c r="BX116" s="394"/>
      <c r="BY116" s="394"/>
      <c r="BZ116" s="394"/>
      <c r="CA116" s="394"/>
      <c r="CB116" s="394"/>
      <c r="CC116" s="394"/>
      <c r="CD116" s="394"/>
      <c r="CE116" s="394"/>
      <c r="CF116" s="394"/>
      <c r="CG116" s="394"/>
      <c r="CH116" s="394"/>
      <c r="CI116" s="394"/>
      <c r="CJ116" s="394"/>
      <c r="CK116" s="394"/>
      <c r="CL116" s="394"/>
      <c r="CM116" s="394"/>
      <c r="CN116" s="394"/>
      <c r="CO116" s="394"/>
      <c r="CP116" s="394"/>
      <c r="CQ116" s="394"/>
      <c r="CR116" s="394"/>
      <c r="CS116" s="394"/>
      <c r="CT116" s="394"/>
      <c r="CU116" s="394"/>
      <c r="CV116" s="394"/>
      <c r="CW116" s="394"/>
      <c r="CX116" s="394"/>
      <c r="CY116" s="394"/>
      <c r="CZ116" s="394"/>
      <c r="DA116" s="394"/>
      <c r="DB116" s="394"/>
      <c r="DC116" s="394"/>
      <c r="DD116" s="394"/>
      <c r="DE116" s="394"/>
      <c r="DF116" s="394"/>
      <c r="DG116" s="394"/>
      <c r="DH116" s="394"/>
      <c r="DI116" s="394"/>
      <c r="DJ116" s="394"/>
      <c r="DK116" s="394"/>
      <c r="DL116" s="394"/>
      <c r="DM116" s="394"/>
      <c r="DN116" s="394"/>
      <c r="DO116" s="394"/>
      <c r="DP116" s="394"/>
      <c r="DQ116" s="394"/>
      <c r="DR116" s="394"/>
      <c r="DS116" s="394"/>
      <c r="DT116" s="394"/>
      <c r="DU116" s="394"/>
      <c r="DV116" s="394"/>
      <c r="DW116" s="394"/>
      <c r="DX116" s="394"/>
      <c r="DY116" s="394"/>
      <c r="DZ116" s="394"/>
      <c r="EA116" s="394"/>
      <c r="EB116" s="394"/>
      <c r="EC116" s="394"/>
      <c r="ED116" s="394"/>
      <c r="EE116" s="394"/>
      <c r="EF116" s="394"/>
      <c r="EG116" s="394"/>
      <c r="EH116" s="394"/>
      <c r="EI116" s="394"/>
      <c r="EJ116" s="394"/>
      <c r="EK116" s="394"/>
      <c r="EL116" s="394"/>
      <c r="EM116" s="394"/>
      <c r="EN116" s="394"/>
      <c r="EO116" s="394"/>
      <c r="EP116" s="394"/>
      <c r="EQ116" s="394"/>
      <c r="ER116" s="394"/>
      <c r="ES116" s="394"/>
      <c r="ET116" s="394"/>
      <c r="EU116" s="394"/>
      <c r="EV116" s="394"/>
      <c r="EW116" s="394"/>
      <c r="EX116" s="394"/>
      <c r="EY116" s="394"/>
      <c r="EZ116" s="394"/>
      <c r="FA116" s="394"/>
      <c r="FB116" s="394"/>
      <c r="FC116" s="394"/>
      <c r="FD116" s="394"/>
      <c r="FE116" s="394"/>
      <c r="FF116" s="394"/>
      <c r="FG116" s="394"/>
      <c r="FH116" s="394"/>
      <c r="FI116" s="394"/>
      <c r="FJ116" s="394"/>
      <c r="FK116" s="394"/>
      <c r="FL116" s="394"/>
      <c r="FM116" s="394"/>
      <c r="FN116" s="394"/>
      <c r="FO116" s="394"/>
      <c r="FP116" s="394"/>
      <c r="FQ116" s="394"/>
      <c r="FR116" s="394"/>
      <c r="FS116" s="394"/>
      <c r="FT116" s="394"/>
      <c r="FU116" s="394"/>
      <c r="FV116" s="394"/>
      <c r="FW116" s="394"/>
      <c r="FX116" s="394"/>
      <c r="FY116" s="394"/>
      <c r="FZ116" s="930"/>
      <c r="GA116" s="930"/>
      <c r="GB116" s="930"/>
      <c r="GC116" s="930"/>
      <c r="GD116" s="930"/>
    </row>
    <row r="117" spans="1:186" s="1057" customFormat="1" ht="15.75" hidden="1" customHeight="1">
      <c r="A117" s="1012"/>
      <c r="B117" s="749" t="b">
        <v>0</v>
      </c>
      <c r="C117" s="1012"/>
      <c r="D117" s="1012"/>
      <c r="E117" s="623">
        <v>0</v>
      </c>
      <c r="F117" s="714" t="str">
        <f t="shared" ca="1" si="24"/>
        <v>1</v>
      </c>
      <c r="G117" s="394"/>
      <c r="H117" s="150" t="str">
        <f ca="1">F117&amp;"pIns2"</f>
        <v>1pIns2</v>
      </c>
      <c r="I117" s="394"/>
      <c r="J117" s="394"/>
      <c r="K117" s="394"/>
      <c r="L117" s="394"/>
      <c r="M117" s="394"/>
      <c r="N117" s="394"/>
      <c r="O117" s="394"/>
      <c r="P117" s="394"/>
      <c r="Q117" s="394"/>
      <c r="R117" s="719"/>
      <c r="S117" s="394"/>
      <c r="T117" s="634" t="b">
        <v>0</v>
      </c>
      <c r="U117" s="1012"/>
      <c r="V117" s="1012"/>
      <c r="W117" s="1012"/>
      <c r="X117" s="1405"/>
      <c r="Y117" s="1012"/>
      <c r="Z117" s="1405"/>
      <c r="AA117" s="394"/>
      <c r="AB117" s="696" t="s">
        <v>172</v>
      </c>
      <c r="AC117" s="262"/>
      <c r="AD117" s="442"/>
      <c r="AE117" s="442"/>
      <c r="AF117" s="442"/>
      <c r="AG117" s="442"/>
      <c r="AH117" s="442"/>
      <c r="AI117" s="442"/>
      <c r="AJ117" s="442"/>
      <c r="AK117" s="442"/>
      <c r="AL117" s="442"/>
      <c r="AM117" s="442"/>
      <c r="AN117" s="442"/>
      <c r="AO117" s="442"/>
      <c r="AP117" s="442"/>
      <c r="AQ117" s="442"/>
      <c r="AR117" s="442"/>
      <c r="AS117" s="442"/>
      <c r="AT117" s="442"/>
      <c r="AU117" s="442"/>
      <c r="AV117" s="442"/>
      <c r="AW117" s="442"/>
      <c r="AX117" s="442"/>
      <c r="AY117" s="442"/>
      <c r="AZ117" s="442"/>
      <c r="BA117" s="442"/>
      <c r="BB117" s="442"/>
      <c r="BC117" s="442"/>
      <c r="BD117" s="442"/>
      <c r="BE117" s="442"/>
      <c r="BF117" s="442"/>
      <c r="BG117" s="442"/>
      <c r="BH117" s="442"/>
      <c r="BI117" s="442"/>
      <c r="BJ117" s="442"/>
      <c r="BK117" s="442"/>
      <c r="BL117" s="442"/>
      <c r="BM117" s="442"/>
      <c r="BN117" s="442"/>
      <c r="BO117" s="442"/>
      <c r="BP117" s="442"/>
      <c r="BQ117" s="442"/>
      <c r="BR117" s="442"/>
      <c r="BS117" s="442"/>
      <c r="BT117" s="442"/>
      <c r="BU117" s="442"/>
      <c r="BV117" s="442"/>
      <c r="BW117" s="442"/>
      <c r="BX117" s="442"/>
      <c r="BY117" s="442"/>
      <c r="BZ117" s="442"/>
      <c r="CA117" s="442"/>
      <c r="CB117" s="442"/>
      <c r="CC117" s="442"/>
      <c r="CD117" s="442"/>
      <c r="CE117" s="442"/>
      <c r="CF117" s="442"/>
      <c r="CG117" s="442"/>
      <c r="CH117" s="442"/>
      <c r="CI117" s="442"/>
      <c r="CJ117" s="442"/>
      <c r="CK117" s="442"/>
      <c r="CL117" s="442"/>
      <c r="CM117" s="442"/>
      <c r="CN117" s="442"/>
      <c r="CO117" s="442"/>
      <c r="CP117" s="442"/>
      <c r="CQ117" s="442"/>
      <c r="CR117" s="442"/>
      <c r="CS117" s="442"/>
      <c r="CT117" s="442"/>
      <c r="CU117" s="442"/>
      <c r="CV117" s="442"/>
      <c r="CW117" s="442"/>
      <c r="CX117" s="442"/>
      <c r="CY117" s="442"/>
      <c r="CZ117" s="442"/>
      <c r="DA117" s="442"/>
      <c r="DB117" s="442"/>
      <c r="DC117" s="442"/>
      <c r="DD117" s="442"/>
      <c r="DE117" s="442"/>
      <c r="DF117" s="442"/>
      <c r="DG117" s="442"/>
      <c r="DH117" s="442"/>
      <c r="DI117" s="442"/>
      <c r="DJ117" s="442"/>
      <c r="DK117" s="442"/>
      <c r="DL117" s="442"/>
      <c r="DM117" s="442"/>
      <c r="DN117" s="442"/>
      <c r="DO117" s="442"/>
      <c r="DP117" s="442"/>
      <c r="DQ117" s="442"/>
      <c r="DR117" s="442"/>
      <c r="DS117" s="442"/>
      <c r="DT117" s="442"/>
      <c r="DU117" s="442"/>
      <c r="DV117" s="442"/>
      <c r="DW117" s="442"/>
      <c r="DX117" s="442"/>
      <c r="DY117" s="442"/>
      <c r="DZ117" s="442"/>
      <c r="EA117" s="442"/>
      <c r="EB117" s="442"/>
      <c r="EC117" s="442"/>
      <c r="ED117" s="442"/>
      <c r="EE117" s="442"/>
      <c r="EF117" s="442"/>
      <c r="EG117" s="442"/>
      <c r="EH117" s="442"/>
      <c r="EI117" s="442"/>
      <c r="EJ117" s="442"/>
      <c r="EK117" s="442"/>
      <c r="EL117" s="442"/>
      <c r="EM117" s="442"/>
      <c r="EN117" s="442"/>
      <c r="EO117" s="442"/>
      <c r="EP117" s="442"/>
      <c r="EQ117" s="442"/>
      <c r="ER117" s="442"/>
      <c r="ES117" s="442"/>
      <c r="ET117" s="442"/>
      <c r="EU117" s="442"/>
      <c r="EV117" s="442"/>
      <c r="EW117" s="442"/>
      <c r="EX117" s="442"/>
      <c r="EY117" s="442"/>
      <c r="EZ117" s="442"/>
      <c r="FA117" s="442"/>
      <c r="FB117" s="442"/>
      <c r="FC117" s="442"/>
      <c r="FD117" s="442"/>
      <c r="FE117" s="442"/>
      <c r="FF117" s="442"/>
      <c r="FG117" s="442"/>
      <c r="FH117" s="442"/>
      <c r="FI117" s="442"/>
      <c r="FJ117" s="442"/>
      <c r="FK117" s="442"/>
      <c r="FL117" s="442"/>
      <c r="FM117" s="442"/>
      <c r="FN117" s="442"/>
      <c r="FO117" s="442"/>
      <c r="FP117" s="442"/>
      <c r="FQ117" s="442"/>
      <c r="FR117" s="442"/>
      <c r="FS117" s="442"/>
      <c r="FT117" s="442"/>
      <c r="FU117" s="442"/>
      <c r="FV117" s="442"/>
      <c r="FW117" s="832"/>
      <c r="FX117" s="394"/>
      <c r="FY117" s="394"/>
      <c r="FZ117" s="930"/>
      <c r="GA117" s="930"/>
      <c r="GB117" s="930"/>
      <c r="GC117" s="930"/>
      <c r="GD117" s="930"/>
    </row>
    <row r="118" spans="1:186" ht="15.4" customHeight="1">
      <c r="E118" s="623">
        <v>15.8</v>
      </c>
      <c r="Q118" s="394"/>
      <c r="U118" s="116" t="s">
        <v>172</v>
      </c>
      <c r="V118" s="109" t="s">
        <v>1709</v>
      </c>
      <c r="W118" s="116"/>
      <c r="AB118" s="290"/>
      <c r="AC118" s="291"/>
      <c r="AD118" s="151"/>
      <c r="AE118" s="151"/>
      <c r="AF118" s="151"/>
      <c r="AG118" s="151"/>
      <c r="AH118" s="151"/>
      <c r="AI118" s="151"/>
      <c r="AJ118" s="151"/>
      <c r="AK118" s="151"/>
      <c r="AL118" s="151"/>
      <c r="AM118" s="151"/>
      <c r="AN118" s="151"/>
      <c r="AO118" s="151"/>
      <c r="AP118" s="151"/>
      <c r="AQ118" s="151"/>
      <c r="AR118" s="151"/>
      <c r="AS118" s="151"/>
      <c r="AT118" s="151"/>
      <c r="AU118" s="151"/>
      <c r="AV118" s="151"/>
      <c r="AW118" s="151"/>
      <c r="AX118" s="151"/>
      <c r="AY118" s="151"/>
      <c r="AZ118" s="151"/>
      <c r="BA118" s="151"/>
      <c r="BB118" s="151"/>
      <c r="BC118" s="151"/>
      <c r="BD118" s="151"/>
      <c r="BE118" s="151"/>
      <c r="BF118" s="151"/>
      <c r="BG118" s="151"/>
      <c r="BH118" s="151"/>
      <c r="BI118" s="151"/>
      <c r="BJ118" s="151"/>
      <c r="BK118" s="151"/>
      <c r="BL118" s="151"/>
      <c r="BM118" s="151"/>
      <c r="BN118" s="151"/>
      <c r="BO118" s="151"/>
      <c r="BP118" s="151"/>
      <c r="BQ118" s="151"/>
      <c r="BR118" s="151"/>
      <c r="BS118" s="151"/>
      <c r="BT118" s="151"/>
      <c r="BU118" s="151"/>
      <c r="BV118" s="151"/>
      <c r="BW118" s="151"/>
      <c r="BX118" s="151"/>
      <c r="BY118" s="151"/>
      <c r="BZ118" s="151"/>
      <c r="CA118" s="151"/>
      <c r="CB118" s="151"/>
      <c r="CC118" s="151"/>
      <c r="CD118" s="151"/>
      <c r="CE118" s="151"/>
      <c r="CF118" s="151"/>
      <c r="CG118" s="151"/>
      <c r="CH118" s="151"/>
      <c r="CI118" s="151"/>
      <c r="CJ118" s="151"/>
      <c r="CK118" s="151"/>
      <c r="CL118" s="151"/>
      <c r="CM118" s="151"/>
      <c r="CN118" s="151"/>
      <c r="CO118" s="151"/>
      <c r="CP118" s="151"/>
      <c r="CQ118" s="151"/>
      <c r="CR118" s="151"/>
      <c r="CS118" s="151"/>
      <c r="CT118" s="151"/>
      <c r="CU118" s="151"/>
      <c r="CV118" s="151"/>
      <c r="CW118" s="151"/>
      <c r="CX118" s="151"/>
      <c r="CY118" s="151"/>
      <c r="CZ118" s="151"/>
      <c r="DA118" s="151"/>
      <c r="DB118" s="151"/>
      <c r="DC118" s="151"/>
      <c r="DD118" s="151"/>
      <c r="DE118" s="151"/>
      <c r="DF118" s="151"/>
      <c r="DG118" s="151"/>
      <c r="DH118" s="151"/>
      <c r="DI118" s="151"/>
      <c r="DJ118" s="151"/>
      <c r="DK118" s="151"/>
      <c r="DL118" s="151"/>
      <c r="DM118" s="151"/>
      <c r="DN118" s="151"/>
      <c r="DO118" s="151"/>
      <c r="DP118" s="151"/>
      <c r="DQ118" s="151"/>
      <c r="DR118" s="151"/>
      <c r="DS118" s="151"/>
      <c r="DT118" s="151"/>
      <c r="DU118" s="151"/>
      <c r="DV118" s="151"/>
      <c r="DW118" s="151"/>
      <c r="DX118" s="151"/>
      <c r="DY118" s="151"/>
      <c r="DZ118" s="151"/>
      <c r="EA118" s="151"/>
      <c r="EB118" s="151"/>
      <c r="EC118" s="151"/>
      <c r="ED118" s="151"/>
      <c r="EE118" s="151"/>
      <c r="EF118" s="151"/>
      <c r="EG118" s="151"/>
      <c r="EH118" s="151"/>
      <c r="EI118" s="151"/>
      <c r="EJ118" s="151"/>
      <c r="EK118" s="151"/>
      <c r="EL118" s="151"/>
      <c r="EM118" s="151"/>
      <c r="EN118" s="151"/>
      <c r="EO118" s="151"/>
      <c r="EP118" s="151"/>
      <c r="EQ118" s="151"/>
      <c r="ER118" s="151"/>
      <c r="ES118" s="151"/>
      <c r="ET118" s="151"/>
      <c r="EU118" s="151"/>
      <c r="EV118" s="151"/>
      <c r="EW118" s="151"/>
      <c r="EX118" s="151"/>
      <c r="EY118" s="151"/>
      <c r="EZ118" s="151"/>
      <c r="FA118" s="151"/>
      <c r="FB118" s="151"/>
      <c r="FC118" s="151"/>
      <c r="FD118" s="151"/>
      <c r="FE118" s="151"/>
      <c r="FF118" s="151"/>
      <c r="FG118" s="151"/>
      <c r="FH118" s="151"/>
      <c r="FI118" s="151"/>
      <c r="FJ118" s="151"/>
      <c r="FK118" s="151"/>
      <c r="FL118" s="151"/>
      <c r="FM118" s="151"/>
      <c r="FN118" s="151"/>
      <c r="FO118" s="151"/>
      <c r="FP118" s="151"/>
      <c r="FQ118" s="151"/>
      <c r="FR118" s="151"/>
      <c r="FS118" s="151"/>
      <c r="FT118" s="151"/>
      <c r="FU118" s="151"/>
      <c r="FV118" s="151"/>
      <c r="FW118" s="151"/>
      <c r="GA118" s="930"/>
      <c r="GB118" s="930"/>
      <c r="GC118" s="930"/>
      <c r="GD118" s="930"/>
    </row>
    <row r="119" spans="1:186" ht="15.75" hidden="1" customHeight="1">
      <c r="E119" s="623">
        <v>0</v>
      </c>
      <c r="Q119" s="394"/>
      <c r="W119" s="116"/>
      <c r="GA119" s="930"/>
      <c r="GB119" s="930"/>
      <c r="GC119" s="930"/>
      <c r="GD119" s="930"/>
    </row>
    <row r="120" spans="1:186" ht="15.4" customHeight="1">
      <c r="E120" s="623">
        <v>15.8</v>
      </c>
      <c r="Q120" s="394"/>
      <c r="AB120" s="1476" t="s">
        <v>557</v>
      </c>
      <c r="AC120" s="1476"/>
      <c r="AD120" s="1476"/>
      <c r="AE120" s="1476"/>
      <c r="AF120" s="1476"/>
      <c r="AG120" s="1476"/>
      <c r="AH120" s="1476"/>
      <c r="AI120" s="1476"/>
      <c r="AJ120" s="1476"/>
      <c r="AK120" s="1476"/>
      <c r="AL120" s="1476"/>
      <c r="AM120" s="1476"/>
      <c r="AN120" s="1476"/>
      <c r="AO120" s="1476"/>
      <c r="AP120" s="1476"/>
      <c r="AQ120" s="1476"/>
      <c r="AR120" s="1476"/>
      <c r="AS120" s="1476"/>
      <c r="AT120" s="1476"/>
      <c r="AU120" s="1476"/>
      <c r="AV120" s="1476"/>
      <c r="AW120" s="1476"/>
      <c r="AX120" s="1476"/>
      <c r="AY120" s="1476"/>
      <c r="AZ120" s="1476"/>
      <c r="BA120" s="1476"/>
      <c r="BB120" s="1476"/>
      <c r="BC120" s="1476"/>
      <c r="BD120" s="1476"/>
      <c r="BE120" s="1476"/>
      <c r="BF120" s="1476"/>
      <c r="BG120" s="1476"/>
      <c r="GA120" s="930"/>
      <c r="GB120" s="930"/>
      <c r="GC120" s="930"/>
      <c r="GD120" s="930"/>
    </row>
    <row r="121" spans="1:186" ht="13.5" customHeight="1">
      <c r="E121" s="623">
        <v>13.8</v>
      </c>
      <c r="Q121" s="394"/>
      <c r="AA121" s="713"/>
      <c r="AB121" s="1542"/>
      <c r="AC121" s="1542"/>
      <c r="AD121" s="1542"/>
      <c r="AE121" s="1542"/>
      <c r="AF121" s="1542"/>
      <c r="AG121" s="1543"/>
      <c r="AH121" s="1543"/>
      <c r="AI121" s="1543"/>
      <c r="AJ121" s="1543"/>
      <c r="AK121" s="1543"/>
      <c r="AL121" s="1543"/>
      <c r="AM121" s="1543"/>
      <c r="AN121" s="1543"/>
      <c r="AO121" s="1543"/>
      <c r="AP121" s="1543"/>
      <c r="AQ121" s="1543"/>
      <c r="AR121" s="1543"/>
      <c r="AS121" s="1543"/>
      <c r="AT121" s="1543"/>
      <c r="AU121" s="1543"/>
      <c r="AV121" s="1543"/>
      <c r="AW121" s="1543"/>
      <c r="AX121" s="1543"/>
      <c r="AY121" s="1543"/>
      <c r="AZ121" s="1543"/>
      <c r="BA121" s="1543"/>
      <c r="BB121" s="1543"/>
      <c r="BC121" s="1543"/>
      <c r="BD121" s="1543"/>
      <c r="BE121" s="1543"/>
      <c r="BF121" s="1543"/>
      <c r="BG121" s="1543"/>
      <c r="GA121" s="930"/>
      <c r="GB121" s="930"/>
      <c r="GC121" s="930"/>
      <c r="GD121" s="930"/>
    </row>
    <row r="122" spans="1:186" ht="13.5" hidden="1" customHeight="1">
      <c r="E122" s="623">
        <v>13.8</v>
      </c>
      <c r="Q122" s="394"/>
      <c r="T122" s="634" t="b">
        <f>ROW(W122)&gt;ROW(W$122)</f>
        <v>0</v>
      </c>
      <c r="W122" s="113" t="s">
        <v>170</v>
      </c>
      <c r="AA122" s="709" t="s">
        <v>157</v>
      </c>
      <c r="AB122" s="1543"/>
      <c r="AC122" s="1543"/>
      <c r="AD122" s="1543"/>
      <c r="AE122" s="1543"/>
      <c r="AF122" s="1543"/>
      <c r="AG122" s="1543"/>
      <c r="AH122" s="1543"/>
      <c r="AI122" s="1543"/>
      <c r="AJ122" s="1543"/>
      <c r="AK122" s="1543"/>
      <c r="AL122" s="1543"/>
      <c r="AM122" s="1543"/>
      <c r="AN122" s="1543"/>
      <c r="AO122" s="1543"/>
      <c r="AP122" s="1543"/>
      <c r="AQ122" s="1543"/>
      <c r="AR122" s="1543"/>
      <c r="AS122" s="1543"/>
      <c r="AT122" s="1543"/>
      <c r="AU122" s="1543"/>
      <c r="AV122" s="1543"/>
      <c r="AW122" s="1543"/>
      <c r="AX122" s="1543"/>
      <c r="AY122" s="1543"/>
      <c r="AZ122" s="1543"/>
      <c r="BA122" s="1543"/>
      <c r="BB122" s="1543"/>
      <c r="BC122" s="1543"/>
      <c r="BD122" s="1543"/>
      <c r="BE122" s="1543"/>
      <c r="BF122" s="1543"/>
      <c r="BG122" s="1543"/>
      <c r="GA122" s="930"/>
      <c r="GB122" s="930"/>
      <c r="GC122" s="930"/>
      <c r="GD122" s="930"/>
    </row>
    <row r="123" spans="1:186" ht="14.65" customHeight="1">
      <c r="E123" s="623">
        <v>15</v>
      </c>
      <c r="Q123" s="394"/>
      <c r="W123" s="109" t="s">
        <v>171</v>
      </c>
      <c r="AB123" s="1420" t="s">
        <v>558</v>
      </c>
      <c r="AC123" s="1421"/>
      <c r="AD123" s="299"/>
      <c r="AE123" s="299"/>
      <c r="AF123" s="299"/>
      <c r="AG123" s="299"/>
      <c r="AH123" s="299"/>
      <c r="AI123" s="299"/>
      <c r="AJ123" s="299"/>
      <c r="AK123" s="299"/>
      <c r="AL123" s="299"/>
      <c r="AM123" s="299"/>
      <c r="AN123" s="299"/>
      <c r="AO123" s="299"/>
      <c r="AP123" s="299"/>
      <c r="AQ123" s="299"/>
      <c r="AR123" s="299"/>
      <c r="AS123" s="299"/>
      <c r="AT123" s="299"/>
      <c r="AU123" s="299"/>
      <c r="AV123" s="299"/>
      <c r="AW123" s="299"/>
      <c r="AX123" s="299"/>
      <c r="AY123" s="299"/>
      <c r="AZ123" s="299"/>
      <c r="BA123" s="299"/>
      <c r="BB123" s="299"/>
      <c r="BC123" s="299"/>
      <c r="BD123" s="299"/>
      <c r="BE123" s="299"/>
      <c r="BF123" s="299"/>
      <c r="BG123" s="271"/>
      <c r="GA123" s="930"/>
      <c r="GB123" s="930"/>
      <c r="GC123" s="930"/>
      <c r="GD123" s="930"/>
    </row>
    <row r="124" spans="1:186" ht="11.25" customHeight="1">
      <c r="Q124" s="394"/>
      <c r="FX124" s="150"/>
      <c r="GA124" s="930"/>
      <c r="GB124" s="930"/>
      <c r="GC124" s="930"/>
      <c r="GD124" s="930"/>
    </row>
  </sheetData>
  <sheetProtection formatColumns="0" formatRows="0" insertRows="0" deleteColumns="0" deleteRows="0" sort="0" autoFilter="0"/>
  <mergeCells count="70">
    <mergeCell ref="Z74:Z117"/>
    <mergeCell ref="X74:X117"/>
    <mergeCell ref="AB74:AC74"/>
    <mergeCell ref="AB75:AC75"/>
    <mergeCell ref="AB76:AC76"/>
    <mergeCell ref="AB77:AC77"/>
    <mergeCell ref="Z28:Z73"/>
    <mergeCell ref="X28:X73"/>
    <mergeCell ref="AB28:AC28"/>
    <mergeCell ref="AB29:AC29"/>
    <mergeCell ref="AB30:AC30"/>
    <mergeCell ref="AB31:AC31"/>
    <mergeCell ref="Y45:Y46"/>
    <mergeCell ref="AA45:AA46"/>
    <mergeCell ref="AB123:AC123"/>
    <mergeCell ref="AB121:BG121"/>
    <mergeCell ref="AB120:BG120"/>
    <mergeCell ref="AB122:BG122"/>
    <mergeCell ref="BH25:BJ25"/>
    <mergeCell ref="AJ25:AL25"/>
    <mergeCell ref="AB25:AB26"/>
    <mergeCell ref="AC25:AC26"/>
    <mergeCell ref="AD25:AF25"/>
    <mergeCell ref="BE25:BG25"/>
    <mergeCell ref="AG25:AI25"/>
    <mergeCell ref="AY25:BA25"/>
    <mergeCell ref="BB25:BD25"/>
    <mergeCell ref="AM25:AO25"/>
    <mergeCell ref="AP25:AR25"/>
    <mergeCell ref="AS25:AU25"/>
    <mergeCell ref="AV25:AX25"/>
    <mergeCell ref="BK25:BM25"/>
    <mergeCell ref="BN25:BP25"/>
    <mergeCell ref="BQ25:BS25"/>
    <mergeCell ref="BT25:BV25"/>
    <mergeCell ref="BW25:BY25"/>
    <mergeCell ref="BZ25:CB25"/>
    <mergeCell ref="CC25:CE25"/>
    <mergeCell ref="CF25:CH25"/>
    <mergeCell ref="CI25:CK25"/>
    <mergeCell ref="CL25:CN25"/>
    <mergeCell ref="CO25:CQ25"/>
    <mergeCell ref="CR25:CT25"/>
    <mergeCell ref="CU25:CW25"/>
    <mergeCell ref="CX25:CZ25"/>
    <mergeCell ref="DA25:DC25"/>
    <mergeCell ref="DD25:DF25"/>
    <mergeCell ref="DG25:DI25"/>
    <mergeCell ref="DJ25:DL25"/>
    <mergeCell ref="DM25:DO25"/>
    <mergeCell ref="DP25:DR25"/>
    <mergeCell ref="DS25:DU25"/>
    <mergeCell ref="DV25:DX25"/>
    <mergeCell ref="DY25:EA25"/>
    <mergeCell ref="EB25:ED25"/>
    <mergeCell ref="EE25:EG25"/>
    <mergeCell ref="EH25:EJ25"/>
    <mergeCell ref="EK25:EM25"/>
    <mergeCell ref="EN25:EP25"/>
    <mergeCell ref="EQ25:ES25"/>
    <mergeCell ref="ET25:EV25"/>
    <mergeCell ref="FL25:FN25"/>
    <mergeCell ref="FO25:FQ25"/>
    <mergeCell ref="FR25:FT25"/>
    <mergeCell ref="FU25:FW25"/>
    <mergeCell ref="EW25:EY25"/>
    <mergeCell ref="EZ25:FB25"/>
    <mergeCell ref="FC25:FE25"/>
    <mergeCell ref="FF25:FH25"/>
    <mergeCell ref="FI25:FK25"/>
  </mergeCells>
  <dataValidations count="1">
    <dataValidation type="decimal" allowBlank="1" showErrorMessage="1" errorTitle="Ошибка" error="Допускается ввод только неотрицательных чисел!" sqref="FI65:FJ66 BT65:BU66 CF65:CG66 CR65:CS66 DD65:DE66 DP65:DQ66 EB65:EC66 EN65:EO66 EQ65:ER66 FL65:FM66 ET65:EU66 FU50:FV51 BW65:BX66 CI65:CJ66 CU65:CV66 DG65:DH66 DS65:DT66 EE65:EF66 BK65:BL66 AD62:AE63 BN65:BO66 BZ65:CA66 CL65:CM66 CX65:CY66 DJ65:DK66 DV65:DW66 EH65:EI66 AD71:AE72 EW65:EX66 FI50:FJ51 FO65:FP66 BQ65:BR66 CC65:CD66 CO65:CP66 DA65:DB66 DM65:DN66 DY65:DZ66 EK65:EL66 AY62:AZ63 AV62:AW63 AS62:AT63 AP62:AQ63 AM62:AN63 AJ62:AK63 AG62:AH63 FL50:FM51 EZ65:FA66 AV71:AW72 AS71:AT72 AP71:AQ72 AM71:AN72 AJ71:AK72 AG71:AH72 FC65:FD66 AD65:AE66 FO50:FP51 FR65:FS66 AY71:AZ72 AV65:AW66 AS65:AT66 AP65:AQ66 AM65:AN66 AJ65:AK66 AG65:AH66 FF65:FG66 AG68:AH69 AJ68:AK69 AM68:AN69 AP68:AQ69 AS68:AT69 AV68:AW69 AY65:AZ66 FR50:FS51 AD68:AE69 BB62:BC63 BB71:BC72 AY68:AZ69 BB65:BC66 BB68:BC69 BH71:BI72 BH62:BI63 BK71:BL72 BH56:BI57 BH68:BI69 BH53:BI54 BH59:BI60 BH50:BI51 BH65:BI66 BK62:BL63 BN62:BO63 BQ62:BR63 BT62:BU63 BW62:BX63 BZ62:CA63 CC62:CD63 CF62:CG63 CI62:CJ63 CL62:CM63 CO62:CP63 CR62:CS63 CU62:CV63 CX62:CY63 DA62:DB63 DD62:DE63 DG62:DH63 DJ62:DK63 DM62:DN63 DP62:DQ63 DS62:DT63 DV62:DW63 DY62:DZ63 EB62:EC63 EE62:EF63 EH62:EI63 EK62:EL63 EN62:EO63 EQ62:ER63 ET62:EU63 EW62:EX63 EZ62:FA63 FC62:FD63 FF62:FG63 FI62:FJ63 FL62:FM63 FO62:FP63 FR62:FS63 FU62:FV63 BN71:BO72 BQ71:BR72 BT71:BU72 BW71:BX72 BZ71:CA72 CC71:CD72 CF71:CG72 CI71:CJ72 CL71:CM72 CO71:CP72 CR71:CS72 CU71:CV72 CX71:CY72 DA71:DB72 DD71:DE72 DG71:DH72 DJ71:DK72 DM71:DN72 DP71:DQ72 DS71:DT72 DV71:DW72 DY71:DZ72 EB71:EC72 EE71:EF72 EH71:EI72 EK71:EL72 EN71:EO72 EQ71:ER72 ET71:EU72 EW71:EX72 EZ71:FA72 FC71:FD72 FF71:FG72 FI71:FJ72 FL71:FM72 FO71:FP72 FR71:FS72 FU71:FV72 FU65:FV66 BK56:BL57 BN56:BO57 BQ56:BR57 BT56:BU57 BW56:BX57 BZ56:CA57 CC56:CD57 CF56:CG57 CI56:CJ57 CL56:CM57 CO56:CP57 CR56:CS57 CU56:CV57 CX56:CY57 DA56:DB57 DD56:DE57 DG56:DH57 DJ56:DK57 DM56:DN57 DP56:DQ57 DS56:DT57 DV56:DW57 DY56:DZ57 EB56:EC57 EE56:EF57 EH56:EI57 EK56:EL57 EN56:EO57 EQ56:ER57 ET56:EU57 EW56:EX57 EZ56:FA57 FC56:FD57 FF56:FG57 FI56:FJ57 FL56:FM57 FO56:FP57 FR56:FS57 FU56:FV57 BK68:BL69 BN68:BO69 BQ68:BR69 BT68:BU69 BW68:BX69 BZ68:CA69 CC68:CD69 CF68:CG69 CI68:CJ69 CL68:CM69 CO68:CP69 CR68:CS69 CU68:CV69 CX68:CY69 DA68:DB69 DD68:DE69 DG68:DH69 DJ68:DK69 DM68:DN69 DP68:DQ69 DS68:DT69 DV68:DW69 DY68:DZ69 EB68:EC69 EE68:EF69 EH68:EI69 EK68:EL69 EN68:EO69 EQ68:ER69 ET68:EU69 EW68:EX69 EZ68:FA69 FC68:FD69 FF68:FG69 FI68:FJ69 FL68:FM69 FO68:FP69 FR68:FS69 FU68:FV69 BK53:BL54 BN53:BO54 BQ53:BR54 BT53:BU54 BW53:BX54 BZ53:CA54 CC53:CD54 CF53:CG54 CI53:CJ54 CL53:CM54 CO53:CP54 CR53:CS54 CU53:CV54 CX53:CY54 DA53:DB54 DD53:DE54 DG53:DH54 DJ53:DK54 DM53:DN54 DP53:DQ54 DS53:DT54 DV53:DW54 DY53:DZ54 EB53:EC54 EE53:EF54 EH53:EI54 EK53:EL54 EN53:EO54 EQ53:ER54 ET53:EU54 EW53:EX54 EZ53:FA54 FC53:FD54 FF53:FG54 FI53:FJ54 FL53:FM54 FO53:FP54 FR53:FS54 FU53:FV54 BK59:BL60 BN59:BO60 BQ59:BR60 BT59:BU60 BW59:BX60 BZ59:CA60 CC59:CD60 CF59:CG60 CI59:CJ60 CL59:CM60 CO59:CP60 CR59:CS60 CU59:CV60 CX59:CY60 DA59:DB60 DD59:DE60 DG59:DH60 DJ59:DK60 DM59:DN60 DP59:DQ60 DS59:DT60 DV59:DW60 DY59:DZ60 EB59:EC60 EE59:EF60 EH59:EI60 EK59:EL60 EN59:EO60 EQ59:ER60 ET59:EU60 EW59:EX60 EZ59:FA60 FC59:FD60 FF59:FG60 FI59:FJ60 FL59:FM60 FO59:FP60 FR59:FS60 FU59:FV60 BK50:BL51 BN50:BO51 BQ50:BR51 BT50:BU51 BW50:BX51 BZ50:CA51 CC50:CD51 CF50:CG51 CI50:CJ51 CL50:CM51 CO50:CP51 CR50:CS51 CU50:CV51 CX50:CY51 DA50:DB51 DD50:DE51 DG50:DH51 DJ50:DK51 DM50:DN51 DP50:DQ51 DS50:DT51 DV50:DW51 DY50:DZ51 EB50:EC51 EE50:EF51 EH50:EI51 EK50:EL51 EN50:EO51 EQ50:ER51 ET50:EU51 EW50:EX51 EZ50:FA51 FC50:FD51 FF50:FG51 BE62:BF63 BE71:BF72 BE65:BF66 BE68:BF69 BH94 BI94 BK94 BL94 BN94 BO94 BQ94 BR94 BT94 BU94 BW94 BX94 BZ94 CA94 CC94 CD94 CF94 CG94 CI94 CJ94 CL94 CM94 CO94 CP94 CR94 CS94 CU94 CV94 CX94 CY94 DA94 DB94 DD94 DE94 DG94 DH94 DJ94 DK94 DM94 DN94 DP94 DQ94 DS94 DT94 DV94 DW94 DY94 DZ94 EB94 EC94 EE94 EF94 EH94 EI94 EK94 EL94 EN94 EO94 EQ94 ER94 ET94 EU94 EW94 EX94 EZ94 FA94 FC94 FD94 FF94 FG94 FI94 FJ94 FL94 FM94 FO94 FP94 FR94 FS94 FU94 FV94 BH95 BI95 BK95 BL95 BN95 BO95 BQ95 BR95 BT95 BU95 BW95 BX95 BZ95 CA95 CC95 CD95 CF95 CG95 CI95 CJ95 CL95 CM95 CO95 CP95 CR95 CS95 CU95 CV95 CX95 CY95 DA95 DB95 DD95 DE95 DG95 DH95 DJ95 DK95 DM95 DN95 DP95 DQ95 DS95 DT95 DV95 DW95 DY95 DZ95 EB95 EC95 EE95 EF95 EH95 EI95 EK95 EL95 EN95 EO95 EQ95 ER95 ET95 EU95 EW95 EX95 EZ95 FA95 FC95 FD95 FF95 FG95 FI95 FJ95 FL95 FM95 FO95 FP95 FR95 FS95 FU95 FV95 BH97 BI97 BK97 BL97 BN97 BO97 BQ97 BR97 BT97 BU97 BW97 BX97 BZ97 CA97 CC97 CD97 CF97 CG97 CI97 CJ97 CL97 CM97 CO97 CP97 CR97 CS97 CU97 CV97 CX97 CY97 DA97 DB97 DD97 DE97 DG97 DH97 DJ97 DK97 DM97 DN97 DP97 DQ97 DS97 DT97 DV97 DW97 DY97 DZ97 EB97 EC97 EE97 EF97 EH97 EI97 EK97 EL97 EN97 EO97 EQ97 ER97 ET97 EU97 EW97 EX97 EZ97 FA97 FC97 FD97 FF97 FG97 FI97 FJ97 FL97 FM97 FO97 FP97 FR97 FS97 FU97 FV97 BH98 BI98 BK98 BL98 BN98 BO98 BQ98 BR98 BT98 BU98 BW98 BX98 BZ98 CA98 CC98 CD98 CF98 CG98 CI98 CJ98 CL98 CM98 CO98 CP98 CR98 CS98 CU98 CV98 CX98 CY98 DA98 DB98 DD98 DE98 DG98 DH98 DJ98 DK98 DM98 DN98 DP98 DQ98 DS98 DT98 DV98 DW98 DY98 DZ98 EB98 EC98 EE98 EF98 EH98 EI98 EK98 EL98 EN98 EO98 EQ98 ER98 ET98 EU98 EW98 EX98 EZ98 FA98 FC98 FD98 FF98 FG98 FI98 FJ98 FL98 FM98 FO98 FP98 FR98 FS98 FU98 FV98 BH100 BI100 BK100 BL100 BN100 BO100 BQ100 BR100 BT100 BU100 BW100 BX100 BZ100 CA100 CC100 CD100 CF100 CG100 CI100 CJ100 CL100 CM100 CO100 CP100 CR100 CS100 CU100 CV100 CX100 CY100 DA100 DB100 DD100 DE100 DG100 DH100 DJ100 DK100 DM100 DN100 DP100 DQ100 DS100 DT100 DV100 DW100 DY100 DZ100 EB100 EC100 EE100 EF100 EH100 EI100 EK100 EL100 EN100 EO100 EQ100 ER100 ET100 EU100 EW100 EX100 EZ100 FA100 FC100 FD100 FF100 FG100 FI100 FJ100 FL100 FM100 FO100 FP100 FR100 FS100 FU100 FV100 BH101 BI101 BK101 BL101 BN101 BO101 BQ101 BR101 BT101 BU101 BW101 BX101 BZ101 CA101 CC101 CD101 CF101 CG101 CI101 CJ101 CL101 CM101 CO101 CP101 CR101 CS101 CU101 CV101 CX101 CY101 DA101 DB101 DD101 DE101 DG101 DH101 DJ101 DK101 DM101 DN101 DP101 DQ101 DS101 DT101 DV101 DW101 DY101 DZ101 EB101 EC101 EE101 EF101 EH101 EI101 EK101 EL101 EN101 EO101 EQ101 ER101 ET101 EU101 EW101 EX101 EZ101 FA101 FC101 FD101 FF101 FG101 FI101 FJ101 FL101 FM101 FO101 FP101 FR101 FS101 FU101 FV101 BH103 BI103 BK103 BL103 BN103 BO103 BQ103 BR103 BT103 BU103 BW103 BX103 BZ103 CA103 CC103 CD103 CF103 CG103 CI103 CJ103 CL103 CM103 CO103 CP103 CR103 CS103 CU103 CV103 CX103 CY103 DA103 DB103 DD103 DE103 DG103 DH103 DJ103 DK103 DM103 DN103 DP103 DQ103 DS103 DT103 DV103 DW103 DY103 DZ103 EB103 EC103 EE103 EF103 EH103 EI103 EK103 EL103 EN103 EO103 EQ103 ER103 ET103 EU103 EW103 EX103 EZ103 FA103 FC103 FD103 FF103 FG103 FI103 FJ103 FL103 FM103 FO103 FP103 FR103 FS103 FU103 FV103 BH104 BI104 BK104 BL104 BN104 BO104 BQ104 BR104 BT104 BU104 BW104 BX104 BZ104 CA104 CC104 CD104 CF104 CG104 CI104 CJ104 CL104 CM104 CO104 CP104 CR104 CS104 CU104 CV104 CX104 CY104 DA104 DB104 DD104 DE104 DG104 DH104 DJ104 DK104 DM104 DN104 DP104 DQ104 DS104 DT104 DV104 DW104 DY104 DZ104 EB104 EC104 EE104 EF104 EH104 EI104 EK104 EL104 EN104 EO104 EQ104 ER104 ET104 EU104 EW104 EX104 EZ104 FA104 FC104 FD104 FF104 FG104 FI104 FJ104 FL104 FM104 FO104 FP104 FR104 FS104 FU104 FV104 AD106 AE106 AG106 AH106 AJ106 AK106 AM106 AN106 AP106 AQ106 AS106 AT106 AV106 AW106 AY106 AZ106 BB106 BC106 BE106 BF106 BH106 BI106 BK106 BL106 BN106 BO106 BQ106 BR106 BT106 BU106 BW106 BX106 BZ106 CA106 CC106 CD106 CF106 CG106 CI106 CJ106 CL106 CM106 CO106 CP106 CR106 CS106 CU106 CV106 CX106 CY106 DA106 DB106 DD106 DE106 DG106 DH106 DJ106 DK106 DM106 DN106 DP106 DQ106 DS106 DT106 DV106 DW106 DY106 DZ106 EB106 EC106 EE106 EF106 EH106 EI106 EK106 EL106 EN106 EO106 EQ106 ER106 ET106 EU106 EW106 EX106 EZ106 FA106 FC106 FD106 FF106 FG106 FI106 FJ106 FL106 FM106 FO106 FP106 FR106 FS106 FU106 FV106 AD107 AE107 AG107 AH107 AJ107 AK107 AM107 AN107 AP107 AQ107 AS107 AT107 AV107 AW107 AY107 AZ107 BB107 BC107 BE107 BF107 BH107 BI107 BK107 BL107 BN107 BO107 BQ107 BR107 BT107 BU107 BW107 BX107 BZ107 CA107 CC107 CD107 CF107 CG107 CI107 CJ107 CL107 CM107 CO107 CP107 CR107 CS107 CU107 CV107 CX107 CY107 DA107 DB107 DD107 DE107 DG107 DH107 DJ107 DK107 DM107 DN107 DP107 DQ107 DS107 DT107 DV107 DW107 DY107 DZ107 EB107 EC107 EE107 EF107 EH107 EI107 EK107 EL107 EN107 EO107 EQ107 ER107 ET107 EU107 EW107 EX107 EZ107 FA107 FC107 FD107 FF107 FG107 FI107 FJ107 FL107 FM107 FO107 FP107 FR107 FS107 FU107 FV107 AD109 AE109 AG109 AH109 AJ109 AK109 AM109 AN109 AP109 AQ109 AS109 AT109 AV109 AW109 AY109 AZ109 BB109 BC109 BE109 BF109 BH109 BI109 BK109 BL109 BN109 BO109 BQ109 BR109 BT109 BU109 BW109 BX109 BZ109 CA109 CC109 CD109 CF109 CG109 CI109 CJ109 CL109 CM109 CO109 CP109 CR109 CS109 CU109 CV109 CX109 CY109 DA109 DB109 DD109 DE109 DG109 DH109 DJ109 DK109 DM109 DN109 DP109 DQ109 DS109 DT109 DV109 DW109 DY109 DZ109 EB109 EC109 EE109 EF109 EH109 EI109 EK109 EL109 EN109 EO109 EQ109 ER109 ET109 EU109 EW109 EX109 EZ109 FA109 FC109 FD109 FF109 FG109 FI109 FJ109 FL109 FM109 FO109 FP109 FR109 FS109 FU109 FV109 AD110 AE110 AG110 AH110 AJ110 AK110 AM110 AN110 AP110 AQ110 AS110 AT110 AV110 AW110 AY110 AZ110 BB110 BC110 BE110 BF110 BH110 BI110 BK110 BL110 BN110 BO110 BQ110 BR110 BT110 BU110 BW110 BX110 BZ110 CA110 CC110 CD110 CF110 CG110 CI110 CJ110 CL110 CM110 CO110 CP110 CR110 CS110 CU110 CV110 CX110 CY110 DA110 DB110 DD110 DE110 DG110 DH110 DJ110 DK110 DM110 DN110 DP110 DQ110 DS110 DT110 DV110 DW110 DY110 DZ110 EB110 EC110 EE110 EF110 EH110 EI110 EK110 EL110 EN110 EO110 EQ110 ER110 ET110 EU110 EW110 EX110 EZ110 FA110 FC110 FD110 FF110 FG110 FI110 FJ110 FL110 FM110 FO110 FP110 FR110 FS110 FU110 FV110 AD112 AE112 AG112 AH112 AJ112 AK112 AM112 AN112 AP112 AQ112 AS112 AT112 AV112 AW112 AY112 AZ112 BB112 BC112 BE112 BF112 BH112 BI112 BK112 BL112 BN112 BO112 BQ112 BR112 BT112 BU112 BW112 BX112 BZ112 CA112 CC112 CD112 CF112 CG112 CI112 CJ112 CL112 CM112 CO112 CP112 CR112 CS112 CU112 CV112 CX112 CY112 DA112 DB112 DD112 DE112 DG112 DH112 DJ112 DK112 DM112 DN112 DP112 DQ112 DS112 DT112 DV112 DW112 DY112 DZ112 EB112 EC112 EE112 EF112 EH112 EI112 EK112 EL112 EN112 EO112 EQ112 ER112 ET112 EU112 EW112 EX112 EZ112 FA112 FC112 FD112 FF112 FG112 FI112 FJ112 FL112 FM112 FO112 FP112 FR112 FS112 FU112 FV112 AD113 AE113 AG113 AH113 AJ113 AK113 AM113 AN113 AP113 AQ113 AS113 AT113 AV113 AW113 AY113 AZ113 BB113 BC113 BE113 BF113 BH113 BI113 BK113 BL113 BN113 BO113 BQ113 BR113 BT113 BU113 BW113 BX113 BZ113 CA113 CC113 CD113 CF113 CG113 CI113 CJ113 CL113 CM113 CO113 CP113 CR113 CS113 CU113 CV113 CX113 CY113 DA113 DB113 DD113 DE113 DG113 DH113 DJ113 DK113 DM113 DN113 DP113 DQ113 DS113 DT113 DV113 DW113 DY113 DZ113 EB113 EC113 EE113 EF113 EH113 EI113 EK113 EL113 EN113 EO113 EQ113 ER113 ET113 EU113 EW113 EX113 EZ113 FA113 FC113 FD113 FF113 FG113 FI113 FJ113 FL113 FM113 FO113 FP113 FR113 FS113 FU113 FV113 AD115 AE115 AG115 AH115 AJ115 AK115 AM115 AN115 AP115 AQ115 AS115 AT115 AV115 AW115 AY115 AZ115 BB115 BC115 BE115 BF115 BH115 BI115 BK115 BL115 BN115 BO115 BQ115 BR115 BT115 BU115 BW115 BX115 BZ115 CA115 CC115 CD115 CF115 CG115 CI115 CJ115 CL115 CM115 CO115 CP115 CR115 CS115 CU115 CV115 CX115 CY115 DA115 DB115 DD115 DE115 DG115 DH115 DJ115 DK115 DM115 DN115 DP115 DQ115 DS115 DT115 DV115 DW115 DY115 DZ115 EB115 EC115 EE115 EF115 EH115 EI115 EK115 EL115 EN115 EO115 EQ115 ER115 ET115 EU115 EW115 EX115 EZ115 FA115 FC115 FD115 FF115 FG115 FI115 FJ115 FL115 FM115 FO115 FP115 FR115 FS115 FU115 FV115 AD116 AE116 AG116 AH116 AJ116 AK116 AM116 AN116 AP116 AQ116 AS116 AT116 AV116 AW116 AY116 AZ116 BB116 BC116 BE116 BF116 BH116 BI116 BK116 BL116 BN116 BO116 BQ116 BR116 BT116 BU116 BW116 BX116 BZ116 CA116 CC116 CD116 CF116 CG116 CI116 CJ116 CL116 CM116 CO116 CP116 CR116 CS116 CU116 CV116 CX116 CY116 DA116 DB116 DD116 DE116 DG116 DH116 DJ116 DK116 DM116 DN116 DP116 DQ116 DS116 DT116 DV116 DW116 DY116 DZ116 EB116 EC116 EE116 EF116 EH116 EI116 EK116 EL116 EN116 EO116 EQ116 ER116 ET116 EU116 EW116 EX116 EZ116 FA116 FC116 FD116 FF116 FG116 FI116 FJ116 FL116 FM116 FO116 FP116 FR116 FS116 FU116 FV116">
      <formula1>0</formula1>
      <formula2>9.99999999999999E+23</formula2>
    </dataValidation>
  </dataValidations>
  <printOptions horizontalCentered="1"/>
  <pageMargins left="0.35" right="0.35" top="0.4" bottom="0.4" header="0.08" footer="0.08"/>
  <pageSetup paperSize="9" scale="60" firstPageNumber="16" orientation="landscape" useFirstPageNumber="1"/>
  <headerFooter>
    <oddHeader>&amp;L&amp;C&amp;R</oddHeader>
    <oddFooter>&amp;L&amp;C&amp;R</oddFooter>
    <evenHeader>&amp;L&amp;C&amp;R</evenHeader>
    <evenFooter>&amp;L&amp;C&amp;R</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sheetPr>
  <dimension ref="A1:AN136"/>
  <sheetViews>
    <sheetView showGridLines="0" workbookViewId="0">
      <pane xSplit="29" ySplit="28" topLeftCell="AD80" activePane="bottomRight" state="frozen"/>
      <selection pane="topRight" activeCell="AD1" sqref="AD1"/>
      <selection pane="bottomLeft" activeCell="A29" sqref="A29"/>
      <selection pane="bottomRight" activeCell="AA21" sqref="AA21"/>
    </sheetView>
  </sheetViews>
  <sheetFormatPr defaultColWidth="9.140625" defaultRowHeight="11.25" customHeight="1"/>
  <cols>
    <col min="1" max="1" width="3.5703125" style="1012" hidden="1" customWidth="1"/>
    <col min="2" max="2" width="8.5703125" style="718" hidden="1" customWidth="1"/>
    <col min="3" max="4" width="3.5703125" style="1012" hidden="1" customWidth="1"/>
    <col min="5" max="5" width="8.42578125" style="717" hidden="1" customWidth="1"/>
    <col min="6" max="6" width="3.5703125" style="1012" hidden="1" customWidth="1"/>
    <col min="7" max="7" width="3.7109375" style="394" hidden="1" customWidth="1"/>
    <col min="8" max="8" width="5.5703125" style="1012" hidden="1" customWidth="1"/>
    <col min="9" max="14" width="3.5703125" style="1012" hidden="1" customWidth="1"/>
    <col min="15" max="15" width="4.42578125" style="1012" hidden="1" customWidth="1"/>
    <col min="16" max="16" width="9.28515625" style="1012" hidden="1" customWidth="1"/>
    <col min="17" max="18" width="3.5703125" style="714" hidden="1" customWidth="1"/>
    <col min="19" max="19" width="3.5703125" style="1012" hidden="1" customWidth="1"/>
    <col min="20" max="20" width="7.85546875" style="1012" hidden="1" customWidth="1"/>
    <col min="21" max="21" width="6" style="1012" hidden="1" customWidth="1"/>
    <col min="22" max="23" width="6.28515625" style="1012" hidden="1" customWidth="1"/>
    <col min="24" max="25" width="5.7109375" style="1012" hidden="1" customWidth="1"/>
    <col min="26" max="26" width="5.42578125" style="1012" hidden="1" customWidth="1"/>
    <col min="27" max="27" width="3" style="394" customWidth="1"/>
    <col min="28" max="28" width="14.7109375" style="254" customWidth="1"/>
    <col min="29" max="31" width="20.5703125" style="394" customWidth="1"/>
    <col min="32" max="34" width="24" style="394" customWidth="1"/>
    <col min="35" max="35" width="20.5703125" style="394" customWidth="1"/>
    <col min="36" max="36" width="21.140625" style="418" hidden="1" customWidth="1"/>
    <col min="37" max="37" width="3" style="394" customWidth="1"/>
    <col min="38" max="39" width="9.140625" style="394" hidden="1"/>
    <col min="40" max="40" width="9.140625" style="928" hidden="1"/>
  </cols>
  <sheetData>
    <row r="1" spans="1:40" s="1012" customFormat="1" ht="12" hidden="1" customHeight="1">
      <c r="B1" s="614"/>
      <c r="E1" s="614"/>
      <c r="F1" s="634" t="s">
        <v>77</v>
      </c>
      <c r="G1" s="150"/>
      <c r="Q1" s="714"/>
      <c r="R1" s="714"/>
      <c r="T1" s="634" t="s">
        <v>78</v>
      </c>
      <c r="U1" s="634" t="s">
        <v>83</v>
      </c>
      <c r="V1" s="634" t="s">
        <v>79</v>
      </c>
      <c r="W1" s="634" t="s">
        <v>80</v>
      </c>
      <c r="X1" s="634" t="s">
        <v>81</v>
      </c>
      <c r="Y1" s="645" t="s">
        <v>274</v>
      </c>
      <c r="Z1" s="634" t="s">
        <v>85</v>
      </c>
      <c r="AA1" s="645" t="s">
        <v>82</v>
      </c>
      <c r="AB1" s="645" t="s">
        <v>84</v>
      </c>
      <c r="AJ1" s="739"/>
      <c r="AN1" s="891" t="s">
        <v>327</v>
      </c>
    </row>
    <row r="2" spans="1:40" s="718" customFormat="1" ht="12" hidden="1" customHeight="1">
      <c r="B2" s="703" t="s">
        <v>15</v>
      </c>
      <c r="G2" s="721"/>
      <c r="AB2" s="618"/>
      <c r="AJ2" s="727"/>
      <c r="AN2" s="878"/>
    </row>
    <row r="3" spans="1:40" s="1012" customFormat="1" ht="12" hidden="1" customHeight="1">
      <c r="B3" s="614"/>
      <c r="E3" s="614"/>
      <c r="G3" s="150"/>
      <c r="Q3" s="714"/>
      <c r="R3" s="714"/>
      <c r="AB3" s="109"/>
      <c r="AJ3" s="739"/>
      <c r="AN3" s="891"/>
    </row>
    <row r="4" spans="1:40" s="1012" customFormat="1" ht="12" hidden="1" customHeight="1">
      <c r="B4" s="614"/>
      <c r="E4" s="614"/>
      <c r="G4" s="150"/>
      <c r="Q4" s="714"/>
      <c r="R4" s="714"/>
      <c r="AB4" s="109"/>
      <c r="AJ4" s="739"/>
      <c r="AN4" s="891"/>
    </row>
    <row r="5" spans="1:40" s="717" customFormat="1" ht="12" hidden="1" customHeight="1">
      <c r="A5" s="614"/>
      <c r="B5" s="614"/>
      <c r="C5" s="614"/>
      <c r="D5" s="614"/>
      <c r="E5" s="623" t="s">
        <v>16</v>
      </c>
      <c r="G5" s="722"/>
      <c r="AA5" s="623">
        <v>3</v>
      </c>
      <c r="AB5" s="629">
        <v>14.75</v>
      </c>
      <c r="AC5" s="623">
        <v>20.5</v>
      </c>
      <c r="AD5" s="623">
        <v>20.5</v>
      </c>
      <c r="AE5" s="623">
        <v>20.5</v>
      </c>
      <c r="AF5" s="623">
        <v>24</v>
      </c>
      <c r="AG5" s="623">
        <v>24</v>
      </c>
      <c r="AH5" s="623">
        <v>24</v>
      </c>
      <c r="AI5" s="623">
        <v>20.5</v>
      </c>
      <c r="AJ5" s="728">
        <v>0</v>
      </c>
      <c r="AK5" s="623">
        <v>3</v>
      </c>
      <c r="AN5" s="878"/>
    </row>
    <row r="6" spans="1:40" s="1012" customFormat="1" ht="12" hidden="1" customHeight="1">
      <c r="B6" s="614"/>
      <c r="E6" s="623"/>
      <c r="G6" s="150"/>
      <c r="Q6" s="714"/>
      <c r="R6" s="714"/>
      <c r="AB6" s="109"/>
      <c r="AC6" s="113" t="s">
        <v>1022</v>
      </c>
      <c r="AD6" s="113" t="s">
        <v>1710</v>
      </c>
      <c r="AE6" s="113" t="s">
        <v>334</v>
      </c>
      <c r="AJ6" s="739"/>
      <c r="AN6" s="891"/>
    </row>
    <row r="7" spans="1:40" ht="12" hidden="1" customHeight="1">
      <c r="F7" s="150"/>
      <c r="H7" s="150"/>
      <c r="I7" s="150"/>
      <c r="J7" s="150"/>
      <c r="K7" s="150"/>
      <c r="L7" s="150"/>
      <c r="M7" s="150"/>
      <c r="N7" s="150"/>
      <c r="O7" s="150"/>
      <c r="P7" s="150"/>
      <c r="Q7" s="566"/>
      <c r="R7" s="566"/>
      <c r="S7" s="150"/>
      <c r="T7" s="150"/>
      <c r="U7" s="150"/>
      <c r="V7" s="150"/>
      <c r="W7" s="150"/>
      <c r="X7" s="150"/>
      <c r="Y7" s="150"/>
      <c r="Z7" s="150"/>
      <c r="AB7" s="152"/>
    </row>
    <row r="8" spans="1:40" ht="12" hidden="1" customHeight="1">
      <c r="F8" s="150"/>
      <c r="H8" s="150"/>
      <c r="I8" s="150"/>
      <c r="J8" s="150"/>
      <c r="K8" s="150"/>
      <c r="L8" s="150"/>
      <c r="M8" s="150"/>
      <c r="N8" s="150"/>
      <c r="O8" s="150"/>
      <c r="P8" s="150"/>
      <c r="Q8" s="566"/>
      <c r="R8" s="566"/>
      <c r="S8" s="150"/>
      <c r="T8" s="150"/>
      <c r="U8" s="150"/>
      <c r="V8" s="150"/>
      <c r="W8" s="150"/>
      <c r="X8" s="150"/>
      <c r="Y8" s="150"/>
      <c r="Z8" s="150"/>
      <c r="AB8" s="152"/>
    </row>
    <row r="9" spans="1:40" s="928" customFormat="1" ht="12" hidden="1" customHeight="1">
      <c r="A9" s="890" t="s">
        <v>275</v>
      </c>
      <c r="B9" s="878"/>
      <c r="E9" s="878"/>
      <c r="Q9" s="892"/>
      <c r="R9" s="892"/>
      <c r="AC9" s="891" t="s">
        <v>1711</v>
      </c>
      <c r="AD9" s="891" t="s">
        <v>1712</v>
      </c>
      <c r="AE9" s="891" t="s">
        <v>1713</v>
      </c>
      <c r="AF9" s="891" t="s">
        <v>1714</v>
      </c>
      <c r="AG9" s="891" t="s">
        <v>1715</v>
      </c>
      <c r="AH9" s="891" t="s">
        <v>1716</v>
      </c>
      <c r="AI9" s="891" t="s">
        <v>1717</v>
      </c>
      <c r="AJ9" s="891" t="s">
        <v>1718</v>
      </c>
      <c r="AK9" s="959"/>
    </row>
    <row r="10" spans="1:40" s="1012" customFormat="1" ht="12" hidden="1" customHeight="1">
      <c r="B10" s="614"/>
      <c r="E10" s="623"/>
      <c r="G10" s="150"/>
      <c r="Q10" s="714"/>
      <c r="R10" s="714"/>
      <c r="AB10" s="109"/>
      <c r="AJ10" s="739"/>
      <c r="AN10" s="891"/>
    </row>
    <row r="11" spans="1:40" s="1012" customFormat="1" ht="12" hidden="1" customHeight="1">
      <c r="B11" s="614"/>
      <c r="E11" s="623"/>
      <c r="G11" s="150"/>
      <c r="Q11" s="714"/>
      <c r="R11" s="714"/>
      <c r="AB11" s="109"/>
      <c r="AJ11" s="739" t="s">
        <v>146</v>
      </c>
      <c r="AN11" s="891"/>
    </row>
    <row r="12" spans="1:40" s="1012" customFormat="1" ht="12" hidden="1" customHeight="1">
      <c r="B12" s="614"/>
      <c r="E12" s="623"/>
      <c r="G12" s="150"/>
      <c r="Q12" s="714"/>
      <c r="R12" s="714"/>
      <c r="AB12" s="109"/>
      <c r="AJ12" s="739"/>
      <c r="AN12" s="891"/>
    </row>
    <row r="13" spans="1:40" s="1012" customFormat="1" ht="12" hidden="1" customHeight="1">
      <c r="B13" s="614"/>
      <c r="E13" s="623"/>
      <c r="G13" s="150"/>
      <c r="Q13" s="714"/>
      <c r="R13" s="714"/>
      <c r="AB13" s="109"/>
      <c r="AJ13" s="739"/>
      <c r="AN13" s="891"/>
    </row>
    <row r="14" spans="1:40" s="1012" customFormat="1" ht="12" hidden="1" customHeight="1">
      <c r="B14" s="614"/>
      <c r="E14" s="623"/>
      <c r="G14" s="150"/>
      <c r="Q14" s="714"/>
      <c r="R14" s="714"/>
      <c r="AB14" s="109"/>
      <c r="AJ14" s="739"/>
      <c r="AN14" s="891"/>
    </row>
    <row r="15" spans="1:40" s="1012" customFormat="1" ht="12" hidden="1" customHeight="1">
      <c r="B15" s="614"/>
      <c r="E15" s="623"/>
      <c r="G15" s="150"/>
      <c r="Q15" s="714"/>
      <c r="R15" s="714"/>
      <c r="AB15" s="109"/>
      <c r="AJ15" s="739"/>
      <c r="AN15" s="891"/>
    </row>
    <row r="16" spans="1:40" s="1012" customFormat="1" ht="12" hidden="1" customHeight="1">
      <c r="B16" s="614"/>
      <c r="E16" s="623"/>
      <c r="G16" s="150"/>
      <c r="Q16" s="714"/>
      <c r="R16" s="714"/>
      <c r="AB16" s="109"/>
      <c r="AJ16" s="739"/>
      <c r="AN16" s="891"/>
    </row>
    <row r="17" spans="1:40" s="1012" customFormat="1" ht="12" hidden="1" customHeight="1">
      <c r="B17" s="614"/>
      <c r="E17" s="623"/>
      <c r="G17" s="150"/>
      <c r="Q17" s="714"/>
      <c r="R17" s="714"/>
      <c r="AB17" s="109"/>
      <c r="AJ17" s="739"/>
      <c r="AN17" s="891"/>
    </row>
    <row r="18" spans="1:40" s="1012" customFormat="1" ht="12" hidden="1" customHeight="1">
      <c r="B18" s="614"/>
      <c r="E18" s="623"/>
      <c r="G18" s="150"/>
      <c r="Q18" s="714"/>
      <c r="R18" s="714"/>
      <c r="AB18" s="109"/>
      <c r="AJ18" s="739"/>
      <c r="AN18" s="891"/>
    </row>
    <row r="19" spans="1:40" s="1012" customFormat="1" ht="12" hidden="1" customHeight="1">
      <c r="B19" s="614"/>
      <c r="E19" s="623"/>
      <c r="G19" s="150"/>
      <c r="Q19" s="714"/>
      <c r="R19" s="714"/>
      <c r="AB19" s="109"/>
      <c r="AJ19" s="739"/>
      <c r="AN19" s="891"/>
    </row>
    <row r="20" spans="1:40" s="1012" customFormat="1" ht="12" hidden="1" customHeight="1">
      <c r="B20" s="614"/>
      <c r="E20" s="623"/>
      <c r="G20" s="150"/>
      <c r="Q20" s="714"/>
      <c r="R20" s="714"/>
      <c r="AB20" s="109"/>
      <c r="AJ20" s="739"/>
      <c r="AN20" s="891"/>
    </row>
    <row r="21" spans="1:40" ht="14.65" customHeight="1">
      <c r="E21" s="623">
        <v>15</v>
      </c>
      <c r="AA21" s="646"/>
      <c r="AB21" s="729" t="str">
        <f>tpl_title</f>
        <v>Кемеровская область / 2026 / АО "СУЭК-Кузбасс" (ИНН:4212024138, КПП:421201001) / ДПР: 2024-2028</v>
      </c>
    </row>
    <row r="22" spans="1:40" s="750" customFormat="1" ht="23.45" customHeight="1">
      <c r="A22" s="116"/>
      <c r="B22" s="614"/>
      <c r="C22" s="116"/>
      <c r="D22" s="116"/>
      <c r="E22" s="623">
        <v>24</v>
      </c>
      <c r="F22" s="116"/>
      <c r="H22" s="116"/>
      <c r="I22" s="116"/>
      <c r="J22" s="116"/>
      <c r="K22" s="116"/>
      <c r="L22" s="116"/>
      <c r="M22" s="116"/>
      <c r="N22" s="116"/>
      <c r="O22" s="116"/>
      <c r="P22" s="116"/>
      <c r="Q22" s="714"/>
      <c r="R22" s="714"/>
      <c r="S22" s="116"/>
      <c r="T22" s="116"/>
      <c r="U22" s="116"/>
      <c r="V22" s="116"/>
      <c r="W22" s="116"/>
      <c r="X22" s="116"/>
      <c r="Y22" s="116"/>
      <c r="Z22" s="116"/>
      <c r="AB22" s="306" t="s">
        <v>73</v>
      </c>
      <c r="AC22" s="209"/>
      <c r="AD22" s="209"/>
      <c r="AE22" s="209"/>
      <c r="AF22" s="209"/>
      <c r="AG22" s="209"/>
      <c r="AH22" s="209"/>
      <c r="AI22" s="209"/>
      <c r="AJ22" s="419"/>
      <c r="AN22" s="901"/>
    </row>
    <row r="23" spans="1:40" ht="11.1" customHeight="1">
      <c r="E23" s="623">
        <v>11.4</v>
      </c>
      <c r="AB23" s="152"/>
      <c r="AC23" s="152"/>
    </row>
    <row r="24" spans="1:40" ht="20.25" hidden="1" customHeight="1">
      <c r="E24" s="623">
        <v>0</v>
      </c>
      <c r="AB24" s="1549"/>
      <c r="AC24" s="1549"/>
      <c r="AD24" s="1549"/>
      <c r="AE24" s="1549"/>
      <c r="AF24" s="152"/>
      <c r="AG24" s="152"/>
      <c r="AH24" s="152"/>
      <c r="AI24" s="152"/>
      <c r="AJ24" s="420"/>
    </row>
    <row r="25" spans="1:40" ht="11.1" customHeight="1">
      <c r="E25" s="623">
        <v>11.4</v>
      </c>
      <c r="AB25" s="152"/>
      <c r="AC25" s="152"/>
    </row>
    <row r="26" spans="1:40" s="152" customFormat="1" ht="21.95" customHeight="1">
      <c r="A26" s="109"/>
      <c r="B26" s="618"/>
      <c r="C26" s="109"/>
      <c r="D26" s="109"/>
      <c r="E26" s="629">
        <v>22.5</v>
      </c>
      <c r="F26" s="109"/>
      <c r="H26" s="109"/>
      <c r="I26" s="109"/>
      <c r="J26" s="109"/>
      <c r="K26" s="109"/>
      <c r="L26" s="109"/>
      <c r="M26" s="109"/>
      <c r="N26" s="109"/>
      <c r="O26" s="109"/>
      <c r="P26" s="109"/>
      <c r="Q26" s="740"/>
      <c r="R26" s="740"/>
      <c r="S26" s="109"/>
      <c r="T26" s="109"/>
      <c r="U26" s="109"/>
      <c r="V26" s="109"/>
      <c r="W26" s="109"/>
      <c r="X26" s="109"/>
      <c r="Y26" s="109"/>
      <c r="Z26" s="109"/>
      <c r="AB26" s="1417" t="s">
        <v>566</v>
      </c>
      <c r="AC26" s="1408" t="s">
        <v>1719</v>
      </c>
      <c r="AD26" s="1408" t="s">
        <v>1720</v>
      </c>
      <c r="AE26" s="1408" t="s">
        <v>1721</v>
      </c>
      <c r="AF26" s="1551" t="s">
        <v>1722</v>
      </c>
      <c r="AG26" s="1552"/>
      <c r="AH26" s="1553"/>
      <c r="AI26" s="1408" t="s">
        <v>1723</v>
      </c>
      <c r="AJ26" s="523"/>
      <c r="AN26" s="891"/>
    </row>
    <row r="27" spans="1:40" s="152" customFormat="1" ht="81.2" customHeight="1">
      <c r="A27" s="109"/>
      <c r="B27" s="618"/>
      <c r="C27" s="109"/>
      <c r="D27" s="109"/>
      <c r="E27" s="629">
        <v>83.3</v>
      </c>
      <c r="F27" s="109"/>
      <c r="H27" s="109"/>
      <c r="I27" s="109"/>
      <c r="J27" s="109"/>
      <c r="K27" s="109"/>
      <c r="L27" s="109"/>
      <c r="M27" s="109"/>
      <c r="N27" s="109"/>
      <c r="O27" s="109"/>
      <c r="P27" s="109"/>
      <c r="Q27" s="740"/>
      <c r="R27" s="740"/>
      <c r="S27" s="109"/>
      <c r="T27" s="109"/>
      <c r="U27" s="109"/>
      <c r="V27" s="109"/>
      <c r="W27" s="109"/>
      <c r="X27" s="109"/>
      <c r="Y27" s="109"/>
      <c r="Z27" s="109"/>
      <c r="AB27" s="1417"/>
      <c r="AC27" s="1408"/>
      <c r="AD27" s="1408"/>
      <c r="AE27" s="1408"/>
      <c r="AF27" s="435" t="s">
        <v>1724</v>
      </c>
      <c r="AG27" s="435" t="s">
        <v>1725</v>
      </c>
      <c r="AH27" s="435" t="s">
        <v>1726</v>
      </c>
      <c r="AI27" s="1408"/>
      <c r="AJ27" s="522"/>
      <c r="AN27" s="891"/>
    </row>
    <row r="28" spans="1:40" s="152" customFormat="1" ht="19.5" hidden="1" customHeight="1">
      <c r="A28" s="109"/>
      <c r="B28" s="618"/>
      <c r="C28" s="109"/>
      <c r="D28" s="109"/>
      <c r="E28" s="629">
        <v>0</v>
      </c>
      <c r="F28" s="109"/>
      <c r="H28" s="109"/>
      <c r="I28" s="109"/>
      <c r="J28" s="109"/>
      <c r="K28" s="109"/>
      <c r="L28" s="109"/>
      <c r="M28" s="109"/>
      <c r="N28" s="109"/>
      <c r="O28" s="109"/>
      <c r="P28" s="109"/>
      <c r="Q28" s="740"/>
      <c r="R28" s="740"/>
      <c r="S28" s="109"/>
      <c r="T28" s="109"/>
      <c r="U28" s="109"/>
      <c r="V28" s="109"/>
      <c r="W28" s="109"/>
      <c r="X28" s="109"/>
      <c r="Y28" s="109"/>
      <c r="Z28" s="109"/>
      <c r="AB28" s="548"/>
      <c r="AC28" s="413"/>
      <c r="AD28" s="413"/>
      <c r="AE28" s="413"/>
      <c r="AF28" s="474"/>
      <c r="AG28" s="474"/>
      <c r="AH28" s="474"/>
      <c r="AI28" s="413"/>
      <c r="AJ28" s="522"/>
      <c r="AN28" s="891"/>
    </row>
    <row r="29" spans="1:40" s="157" customFormat="1" ht="16.7" hidden="1" customHeight="1">
      <c r="E29" s="623">
        <v>17.100000000000001</v>
      </c>
      <c r="F29" s="714">
        <f>X29</f>
        <v>0</v>
      </c>
      <c r="T29" s="634" t="b">
        <f>X29&gt;0</f>
        <v>0</v>
      </c>
      <c r="V29" s="113" t="s">
        <v>228</v>
      </c>
      <c r="X29" s="1405">
        <v>0</v>
      </c>
      <c r="Z29" s="1403"/>
      <c r="AB29" s="247" t="str">
        <f>INDEX('Общие сведения'!$AG$169:$AG$202,MATCH($F29,'Общие сведения'!$Z$169:$Z$202,0))</f>
        <v>Тариф 0 (Теплоснабжение) - Тарифы на теплоноситель</v>
      </c>
      <c r="AC29" s="248"/>
      <c r="AD29" s="248"/>
      <c r="AE29" s="248"/>
      <c r="AF29" s="248"/>
      <c r="AG29" s="248"/>
      <c r="AH29" s="248"/>
      <c r="AI29" s="248"/>
      <c r="AJ29" s="421"/>
      <c r="AN29" s="883"/>
    </row>
    <row r="30" spans="1:40" s="167" customFormat="1" ht="16.7" hidden="1" customHeight="1">
      <c r="B30" s="741" t="b">
        <f t="shared" ref="B30:B61" si="0">H30&lt;first_year+PERIOD_LENGTH</f>
        <v>1</v>
      </c>
      <c r="E30" s="623">
        <v>17.100000000000001</v>
      </c>
      <c r="F30" s="734">
        <f t="shared" ref="F30:F61" si="1">F29</f>
        <v>0</v>
      </c>
      <c r="G30" s="130" t="s">
        <v>1429</v>
      </c>
      <c r="H30" s="165">
        <f>first_year</f>
        <v>2024</v>
      </c>
      <c r="T30" s="634" t="b">
        <f t="shared" ref="T30:T61" si="2">T29</f>
        <v>0</v>
      </c>
      <c r="X30" s="1547"/>
      <c r="Z30" s="1547"/>
      <c r="AB30" s="255" t="str">
        <f t="shared" ref="AB30:AB61" si="3">H30&amp;" год"</f>
        <v>2024 год</v>
      </c>
      <c r="AC30" s="89" t="str">
        <f>IF(god=first_year,SUMIFS('Калькуляция (5.9)'!AT$26:AT$115,'Калькуляция (5.9)'!$F$26:$F$115,$F30,'Калькуляция (5.9)'!$G$26:$G$115,$G30),"")</f>
        <v/>
      </c>
      <c r="AD30" s="16"/>
      <c r="AE30" s="90"/>
      <c r="AF30" s="90"/>
      <c r="AG30" s="90"/>
      <c r="AH30" s="90"/>
      <c r="AI30" s="90"/>
      <c r="AJ30" s="91"/>
      <c r="AN30" s="943">
        <f t="shared" ref="AN30:AN61" si="4">H30</f>
        <v>2024</v>
      </c>
    </row>
    <row r="31" spans="1:40" s="167" customFormat="1" ht="16.7" hidden="1" customHeight="1">
      <c r="B31" s="741" t="b">
        <f t="shared" si="0"/>
        <v>1</v>
      </c>
      <c r="E31" s="623">
        <v>17.100000000000001</v>
      </c>
      <c r="F31" s="734">
        <f t="shared" si="1"/>
        <v>0</v>
      </c>
      <c r="H31" s="165">
        <f>first_year+1</f>
        <v>2025</v>
      </c>
      <c r="T31" s="634" t="b">
        <f t="shared" si="2"/>
        <v>0</v>
      </c>
      <c r="X31" s="1547"/>
      <c r="Z31" s="1547"/>
      <c r="AB31" s="255" t="str">
        <f t="shared" si="3"/>
        <v>2025 год</v>
      </c>
      <c r="AC31" s="370"/>
      <c r="AD31" s="92">
        <f>IFERROR(SUMIFS(INDEX('Операционные (5.2)'!$AT$26:$BC$45,,MATCH($H31,'Операционные (5.2)'!$AT$6:$BC$6,0)),'Операционные (5.2)'!$F$26:$F$45,$F31,'Операционные (5.2)'!$G$26:$G$45,"ИОР"),0)</f>
        <v>0</v>
      </c>
      <c r="AE31" s="90"/>
      <c r="AF31" s="90"/>
      <c r="AG31" s="90"/>
      <c r="AH31" s="90"/>
      <c r="AI31" s="90"/>
      <c r="AJ31" s="91"/>
      <c r="AN31" s="943">
        <f t="shared" si="4"/>
        <v>2025</v>
      </c>
    </row>
    <row r="32" spans="1:40" s="167" customFormat="1" ht="16.7" hidden="1" customHeight="1">
      <c r="B32" s="741" t="b">
        <f t="shared" si="0"/>
        <v>1</v>
      </c>
      <c r="E32" s="623">
        <v>17.100000000000001</v>
      </c>
      <c r="F32" s="734">
        <f t="shared" si="1"/>
        <v>0</v>
      </c>
      <c r="H32" s="165">
        <f>first_year+2</f>
        <v>2026</v>
      </c>
      <c r="T32" s="634" t="b">
        <f t="shared" si="2"/>
        <v>0</v>
      </c>
      <c r="X32" s="1547"/>
      <c r="Z32" s="1547"/>
      <c r="AB32" s="255" t="str">
        <f t="shared" si="3"/>
        <v>2026 год</v>
      </c>
      <c r="AC32" s="370"/>
      <c r="AD32" s="92">
        <f ca="1">IFERROR(SUMIFS(INDEX('Операционные (5.2)'!$AT$26:$BC$45,,MATCH($H32,'Операционные (5.2)'!$AT$6:$BC$6,0)),'Операционные (5.2)'!$F$26:$F$45,$F32,'Операционные (5.2)'!$G$26:$G$45,"ИОР"),0)</f>
        <v>1</v>
      </c>
      <c r="AE32" s="90"/>
      <c r="AF32" s="90"/>
      <c r="AG32" s="90"/>
      <c r="AH32" s="90"/>
      <c r="AI32" s="90"/>
      <c r="AJ32" s="91"/>
      <c r="AN32" s="943">
        <f t="shared" si="4"/>
        <v>2026</v>
      </c>
    </row>
    <row r="33" spans="2:40" s="167" customFormat="1" ht="16.7" hidden="1" customHeight="1">
      <c r="B33" s="741" t="b">
        <f t="shared" si="0"/>
        <v>1</v>
      </c>
      <c r="E33" s="623">
        <v>17.100000000000001</v>
      </c>
      <c r="F33" s="734">
        <f t="shared" si="1"/>
        <v>0</v>
      </c>
      <c r="H33" s="165">
        <f>first_year+3</f>
        <v>2027</v>
      </c>
      <c r="T33" s="634" t="b">
        <f t="shared" si="2"/>
        <v>0</v>
      </c>
      <c r="X33" s="1547"/>
      <c r="Z33" s="1547"/>
      <c r="AB33" s="255" t="str">
        <f t="shared" si="3"/>
        <v>2027 год</v>
      </c>
      <c r="AC33" s="370"/>
      <c r="AD33" s="16">
        <f ca="1">IFERROR(SUMIFS(INDEX('Операционные (5.2)'!$AT$26:$BC$45,,MATCH($H33,'Операционные (5.2)'!$AT$6:$BC$6,0)),'Операционные (5.2)'!$F$26:$F$45,$F33,'Операционные (5.2)'!$G$26:$G$45,"ИОР"),0)</f>
        <v>1</v>
      </c>
      <c r="AE33" s="90"/>
      <c r="AF33" s="90"/>
      <c r="AG33" s="90"/>
      <c r="AH33" s="90"/>
      <c r="AI33" s="90"/>
      <c r="AJ33" s="91"/>
      <c r="AN33" s="943">
        <f t="shared" si="4"/>
        <v>2027</v>
      </c>
    </row>
    <row r="34" spans="2:40" s="167" customFormat="1" ht="16.7" hidden="1" customHeight="1">
      <c r="B34" s="741" t="b">
        <f t="shared" si="0"/>
        <v>1</v>
      </c>
      <c r="E34" s="623">
        <v>17.100000000000001</v>
      </c>
      <c r="F34" s="734">
        <f t="shared" si="1"/>
        <v>0</v>
      </c>
      <c r="H34" s="165">
        <f>first_year+4</f>
        <v>2028</v>
      </c>
      <c r="T34" s="634" t="b">
        <f t="shared" si="2"/>
        <v>0</v>
      </c>
      <c r="X34" s="1547"/>
      <c r="Z34" s="1547"/>
      <c r="AB34" s="255" t="str">
        <f t="shared" si="3"/>
        <v>2028 год</v>
      </c>
      <c r="AC34" s="370"/>
      <c r="AD34" s="16">
        <f ca="1">IFERROR(SUMIFS(INDEX('Операционные (5.2)'!$AT$26:$BC$45,,MATCH($H34,'Операционные (5.2)'!$AT$6:$BC$6,0)),'Операционные (5.2)'!$F$26:$F$45,$F34,'Операционные (5.2)'!$G$26:$G$45,"ИОР"),0)</f>
        <v>1</v>
      </c>
      <c r="AE34" s="90"/>
      <c r="AF34" s="90"/>
      <c r="AG34" s="90"/>
      <c r="AH34" s="90"/>
      <c r="AI34" s="90"/>
      <c r="AJ34" s="91"/>
      <c r="AN34" s="943">
        <f t="shared" si="4"/>
        <v>2028</v>
      </c>
    </row>
    <row r="35" spans="2:40" s="167" customFormat="1" ht="16.7" hidden="1" customHeight="1">
      <c r="B35" s="741" t="b">
        <f t="shared" si="0"/>
        <v>0</v>
      </c>
      <c r="E35" s="623">
        <v>17.100000000000001</v>
      </c>
      <c r="F35" s="734">
        <f t="shared" si="1"/>
        <v>0</v>
      </c>
      <c r="H35" s="165">
        <f>first_year+5</f>
        <v>2029</v>
      </c>
      <c r="T35" s="634" t="b">
        <f t="shared" si="2"/>
        <v>0</v>
      </c>
      <c r="X35" s="1547"/>
      <c r="Z35" s="1547"/>
      <c r="AB35" s="255" t="str">
        <f t="shared" si="3"/>
        <v>2029 год</v>
      </c>
      <c r="AC35" s="370"/>
      <c r="AD35" s="16">
        <f ca="1">IFERROR(SUMIFS(INDEX('Операционные (5.2)'!$AT$26:$BC$45,,MATCH($H35,'Операционные (5.2)'!$AT$6:$BC$6,0)),'Операционные (5.2)'!$F$26:$F$45,$F35,'Операционные (5.2)'!$G$26:$G$45,"ИОР"),0)</f>
        <v>1</v>
      </c>
      <c r="AE35" s="90"/>
      <c r="AF35" s="90"/>
      <c r="AG35" s="90"/>
      <c r="AH35" s="90"/>
      <c r="AI35" s="90"/>
      <c r="AJ35" s="91">
        <f>IFERROR(SUMIFS(INDEX('Баланс ТН'!$AE$26:$BB$100,,MATCH($H35&amp;"Принято органом регулирования",'Баланс ТН'!$AE$8:$BB$8,0)),'Баланс ТН'!$Q$26:$Q$100,$F35,'Баланс ТН'!$AC$26:$AC$100,"Уровень потерь воды"),0)</f>
        <v>0</v>
      </c>
      <c r="AN35" s="943">
        <f t="shared" si="4"/>
        <v>2029</v>
      </c>
    </row>
    <row r="36" spans="2:40" s="167" customFormat="1" ht="16.7" hidden="1" customHeight="1">
      <c r="B36" s="741" t="b">
        <f t="shared" si="0"/>
        <v>0</v>
      </c>
      <c r="E36" s="623">
        <v>17.100000000000001</v>
      </c>
      <c r="F36" s="734">
        <f t="shared" si="1"/>
        <v>0</v>
      </c>
      <c r="H36" s="165">
        <f>first_year+6</f>
        <v>2030</v>
      </c>
      <c r="T36" s="634" t="b">
        <f t="shared" si="2"/>
        <v>0</v>
      </c>
      <c r="X36" s="1547"/>
      <c r="Z36" s="1547"/>
      <c r="AB36" s="255" t="str">
        <f t="shared" si="3"/>
        <v>2030 год</v>
      </c>
      <c r="AC36" s="370"/>
      <c r="AD36" s="16">
        <f ca="1">IFERROR(SUMIFS(INDEX('Операционные (5.2)'!$AT$26:$BC$45,,MATCH($H36,'Операционные (5.2)'!$AT$6:$BC$6,0)),'Операционные (5.2)'!$F$26:$F$45,$F36,'Операционные (5.2)'!$G$26:$G$45,"ИОР"),0)</f>
        <v>1</v>
      </c>
      <c r="AE36" s="90"/>
      <c r="AF36" s="90"/>
      <c r="AG36" s="90"/>
      <c r="AH36" s="90"/>
      <c r="AI36" s="90"/>
      <c r="AJ36" s="91">
        <f>IFERROR(SUMIFS(INDEX('Баланс ТН'!$AE$26:$BB$100,,MATCH($H36&amp;"Принято органом регулирования",'Баланс ТН'!$AE$8:$BB$8,0)),'Баланс ТН'!$Q$26:$Q$100,$F36,'Баланс ТН'!$AC$26:$AC$100,"Уровень потерь воды"),0)</f>
        <v>0</v>
      </c>
      <c r="AN36" s="943">
        <f t="shared" si="4"/>
        <v>2030</v>
      </c>
    </row>
    <row r="37" spans="2:40" s="167" customFormat="1" ht="16.7" hidden="1" customHeight="1">
      <c r="B37" s="741" t="b">
        <f t="shared" si="0"/>
        <v>0</v>
      </c>
      <c r="E37" s="623">
        <v>17.100000000000001</v>
      </c>
      <c r="F37" s="734">
        <f t="shared" si="1"/>
        <v>0</v>
      </c>
      <c r="H37" s="165">
        <f>first_year+7</f>
        <v>2031</v>
      </c>
      <c r="T37" s="634" t="b">
        <f t="shared" si="2"/>
        <v>0</v>
      </c>
      <c r="X37" s="1547"/>
      <c r="Z37" s="1547"/>
      <c r="AB37" s="255" t="str">
        <f t="shared" si="3"/>
        <v>2031 год</v>
      </c>
      <c r="AC37" s="370"/>
      <c r="AD37" s="16">
        <f ca="1">IFERROR(SUMIFS(INDEX('Операционные (5.2)'!$AT$26:$BC$45,,MATCH($H37,'Операционные (5.2)'!$AT$6:$BC$6,0)),'Операционные (5.2)'!$F$26:$F$45,$F37,'Операционные (5.2)'!$G$26:$G$45,"ИОР"),0)</f>
        <v>1</v>
      </c>
      <c r="AE37" s="90"/>
      <c r="AF37" s="90"/>
      <c r="AG37" s="90"/>
      <c r="AH37" s="90"/>
      <c r="AI37" s="90"/>
      <c r="AJ37" s="91">
        <f>IFERROR(SUMIFS(INDEX('Баланс ТН'!$AE$26:$BB$100,,MATCH($H37&amp;"Принято органом регулирования",'Баланс ТН'!$AE$8:$BB$8,0)),'Баланс ТН'!$Q$26:$Q$100,$F37,'Баланс ТН'!$AC$26:$AC$100,"Уровень потерь воды"),0)</f>
        <v>0</v>
      </c>
      <c r="AN37" s="943">
        <f t="shared" si="4"/>
        <v>2031</v>
      </c>
    </row>
    <row r="38" spans="2:40" s="167" customFormat="1" ht="16.7" hidden="1" customHeight="1">
      <c r="B38" s="741" t="b">
        <f t="shared" si="0"/>
        <v>0</v>
      </c>
      <c r="E38" s="623">
        <v>17.100000000000001</v>
      </c>
      <c r="F38" s="734">
        <f t="shared" si="1"/>
        <v>0</v>
      </c>
      <c r="H38" s="165">
        <f>first_year+8</f>
        <v>2032</v>
      </c>
      <c r="T38" s="634" t="b">
        <f t="shared" si="2"/>
        <v>0</v>
      </c>
      <c r="X38" s="1547"/>
      <c r="Z38" s="1547"/>
      <c r="AB38" s="255" t="str">
        <f t="shared" si="3"/>
        <v>2032 год</v>
      </c>
      <c r="AC38" s="370"/>
      <c r="AD38" s="16">
        <f ca="1">IFERROR(SUMIFS(INDEX('Операционные (5.2)'!$AT$26:$BC$45,,MATCH($H38,'Операционные (5.2)'!$AT$6:$BC$6,0)),'Операционные (5.2)'!$F$26:$F$45,$F38,'Операционные (5.2)'!$G$26:$G$45,"ИОР"),0)</f>
        <v>1</v>
      </c>
      <c r="AE38" s="90"/>
      <c r="AF38" s="90"/>
      <c r="AG38" s="90"/>
      <c r="AH38" s="90"/>
      <c r="AI38" s="90"/>
      <c r="AJ38" s="91">
        <f>IFERROR(SUMIFS(INDEX('Баланс ТН'!$AE$26:$BB$100,,MATCH($H38&amp;"Принято органом регулирования",'Баланс ТН'!$AE$8:$BB$8,0)),'Баланс ТН'!$Q$26:$Q$100,$F38,'Баланс ТН'!$AC$26:$AC$100,"Уровень потерь воды"),0)</f>
        <v>0</v>
      </c>
      <c r="AN38" s="943">
        <f t="shared" si="4"/>
        <v>2032</v>
      </c>
    </row>
    <row r="39" spans="2:40" s="167" customFormat="1" ht="16.7" hidden="1" customHeight="1">
      <c r="B39" s="741" t="b">
        <f t="shared" si="0"/>
        <v>0</v>
      </c>
      <c r="E39" s="623">
        <v>17.100000000000001</v>
      </c>
      <c r="F39" s="734">
        <f t="shared" si="1"/>
        <v>0</v>
      </c>
      <c r="H39" s="165">
        <f>first_year+9</f>
        <v>2033</v>
      </c>
      <c r="T39" s="634" t="b">
        <f t="shared" si="2"/>
        <v>0</v>
      </c>
      <c r="X39" s="1547"/>
      <c r="Z39" s="1547"/>
      <c r="AB39" s="255" t="str">
        <f t="shared" si="3"/>
        <v>2033 год</v>
      </c>
      <c r="AC39" s="370"/>
      <c r="AD39" s="16">
        <f ca="1">IFERROR(SUMIFS(INDEX('Операционные (5.2)'!$AT$26:$BC$45,,MATCH($H39,'Операционные (5.2)'!$AT$6:$BC$6,0)),'Операционные (5.2)'!$F$26:$F$45,$F39,'Операционные (5.2)'!$G$26:$G$45,"ИОР"),0)</f>
        <v>1</v>
      </c>
      <c r="AE39" s="90"/>
      <c r="AF39" s="90"/>
      <c r="AG39" s="90"/>
      <c r="AH39" s="90"/>
      <c r="AI39" s="90"/>
      <c r="AJ39" s="91">
        <f>IFERROR(SUMIFS(INDEX('Баланс ТН'!$AE$26:$BB$100,,MATCH($H39&amp;"Принято органом регулирования",'Баланс ТН'!$AE$8:$BB$8,0)),'Баланс ТН'!$Q$26:$Q$100,$F39,'Баланс ТН'!$AC$26:$AC$100,"Уровень потерь воды"),0)</f>
        <v>0</v>
      </c>
      <c r="AN39" s="943">
        <f t="shared" si="4"/>
        <v>2033</v>
      </c>
    </row>
    <row r="40" spans="2:40" s="167" customFormat="1" ht="16.7" hidden="1" customHeight="1">
      <c r="B40" s="741" t="b">
        <f t="shared" si="0"/>
        <v>0</v>
      </c>
      <c r="E40" s="623">
        <v>17.100000000000001</v>
      </c>
      <c r="F40" s="734">
        <f t="shared" si="1"/>
        <v>0</v>
      </c>
      <c r="H40" s="165">
        <f>first_year+10</f>
        <v>2034</v>
      </c>
      <c r="T40" s="634" t="b">
        <f t="shared" si="2"/>
        <v>0</v>
      </c>
      <c r="X40" s="1547"/>
      <c r="Z40" s="1547"/>
      <c r="AB40" s="255" t="str">
        <f t="shared" si="3"/>
        <v>2034 год</v>
      </c>
      <c r="AC40" s="370"/>
      <c r="AD40" s="90"/>
      <c r="AE40" s="90"/>
      <c r="AF40" s="90"/>
      <c r="AG40" s="90"/>
      <c r="AH40" s="90"/>
      <c r="AI40" s="90"/>
      <c r="AJ40" s="91"/>
      <c r="AN40" s="943">
        <f t="shared" si="4"/>
        <v>2034</v>
      </c>
    </row>
    <row r="41" spans="2:40" s="167" customFormat="1" ht="16.7" hidden="1" customHeight="1">
      <c r="B41" s="741" t="b">
        <f t="shared" si="0"/>
        <v>0</v>
      </c>
      <c r="E41" s="623">
        <v>17.100000000000001</v>
      </c>
      <c r="F41" s="734">
        <f t="shared" si="1"/>
        <v>0</v>
      </c>
      <c r="H41" s="165">
        <f>first_year+11</f>
        <v>2035</v>
      </c>
      <c r="T41" s="634" t="b">
        <f t="shared" si="2"/>
        <v>0</v>
      </c>
      <c r="X41" s="1547"/>
      <c r="Z41" s="1547"/>
      <c r="AB41" s="255" t="str">
        <f t="shared" si="3"/>
        <v>2035 год</v>
      </c>
      <c r="AC41" s="370"/>
      <c r="AD41" s="90"/>
      <c r="AE41" s="90"/>
      <c r="AF41" s="90"/>
      <c r="AG41" s="90"/>
      <c r="AH41" s="90"/>
      <c r="AI41" s="90"/>
      <c r="AJ41" s="91"/>
      <c r="AN41" s="943">
        <f t="shared" si="4"/>
        <v>2035</v>
      </c>
    </row>
    <row r="42" spans="2:40" s="167" customFormat="1" ht="16.7" hidden="1" customHeight="1">
      <c r="B42" s="741" t="b">
        <f t="shared" si="0"/>
        <v>0</v>
      </c>
      <c r="E42" s="623">
        <v>17.100000000000001</v>
      </c>
      <c r="F42" s="734">
        <f t="shared" si="1"/>
        <v>0</v>
      </c>
      <c r="H42" s="165">
        <f>first_year+12</f>
        <v>2036</v>
      </c>
      <c r="T42" s="634" t="b">
        <f t="shared" si="2"/>
        <v>0</v>
      </c>
      <c r="X42" s="1547"/>
      <c r="Z42" s="1547"/>
      <c r="AB42" s="255" t="str">
        <f t="shared" si="3"/>
        <v>2036 год</v>
      </c>
      <c r="AC42" s="370"/>
      <c r="AD42" s="90"/>
      <c r="AE42" s="90"/>
      <c r="AF42" s="90"/>
      <c r="AG42" s="90"/>
      <c r="AH42" s="90"/>
      <c r="AI42" s="90"/>
      <c r="AJ42" s="91"/>
      <c r="AN42" s="943">
        <f t="shared" si="4"/>
        <v>2036</v>
      </c>
    </row>
    <row r="43" spans="2:40" s="167" customFormat="1" ht="16.7" hidden="1" customHeight="1">
      <c r="B43" s="741" t="b">
        <f t="shared" si="0"/>
        <v>0</v>
      </c>
      <c r="E43" s="623">
        <v>17.100000000000001</v>
      </c>
      <c r="F43" s="734">
        <f t="shared" si="1"/>
        <v>0</v>
      </c>
      <c r="H43" s="165">
        <f>first_year+13</f>
        <v>2037</v>
      </c>
      <c r="T43" s="634" t="b">
        <f t="shared" si="2"/>
        <v>0</v>
      </c>
      <c r="X43" s="1547"/>
      <c r="Z43" s="1547"/>
      <c r="AB43" s="255" t="str">
        <f t="shared" si="3"/>
        <v>2037 год</v>
      </c>
      <c r="AC43" s="370"/>
      <c r="AD43" s="90"/>
      <c r="AE43" s="90"/>
      <c r="AF43" s="90"/>
      <c r="AG43" s="90"/>
      <c r="AH43" s="90"/>
      <c r="AI43" s="90"/>
      <c r="AJ43" s="91"/>
      <c r="AN43" s="943">
        <f t="shared" si="4"/>
        <v>2037</v>
      </c>
    </row>
    <row r="44" spans="2:40" s="167" customFormat="1" ht="16.7" hidden="1" customHeight="1">
      <c r="B44" s="741" t="b">
        <f t="shared" si="0"/>
        <v>0</v>
      </c>
      <c r="E44" s="623">
        <v>17.100000000000001</v>
      </c>
      <c r="F44" s="734">
        <f t="shared" si="1"/>
        <v>0</v>
      </c>
      <c r="H44" s="165">
        <f>first_year+14</f>
        <v>2038</v>
      </c>
      <c r="T44" s="634" t="b">
        <f t="shared" si="2"/>
        <v>0</v>
      </c>
      <c r="X44" s="1547"/>
      <c r="Z44" s="1547"/>
      <c r="AB44" s="255" t="str">
        <f t="shared" si="3"/>
        <v>2038 год</v>
      </c>
      <c r="AC44" s="370"/>
      <c r="AD44" s="90"/>
      <c r="AE44" s="90"/>
      <c r="AF44" s="90"/>
      <c r="AG44" s="90"/>
      <c r="AH44" s="90"/>
      <c r="AI44" s="90"/>
      <c r="AJ44" s="91"/>
      <c r="AN44" s="943">
        <f t="shared" si="4"/>
        <v>2038</v>
      </c>
    </row>
    <row r="45" spans="2:40" s="167" customFormat="1" ht="16.7" hidden="1" customHeight="1">
      <c r="B45" s="741" t="b">
        <f t="shared" si="0"/>
        <v>0</v>
      </c>
      <c r="E45" s="623">
        <v>17.100000000000001</v>
      </c>
      <c r="F45" s="734">
        <f t="shared" si="1"/>
        <v>0</v>
      </c>
      <c r="H45" s="165">
        <f>first_year+15</f>
        <v>2039</v>
      </c>
      <c r="T45" s="634" t="b">
        <f t="shared" si="2"/>
        <v>0</v>
      </c>
      <c r="X45" s="1547"/>
      <c r="Z45" s="1547"/>
      <c r="AB45" s="255" t="str">
        <f t="shared" si="3"/>
        <v>2039 год</v>
      </c>
      <c r="AC45" s="370"/>
      <c r="AD45" s="90"/>
      <c r="AE45" s="90"/>
      <c r="AF45" s="90"/>
      <c r="AG45" s="90"/>
      <c r="AH45" s="90"/>
      <c r="AI45" s="90"/>
      <c r="AJ45" s="91"/>
      <c r="AN45" s="943">
        <f t="shared" si="4"/>
        <v>2039</v>
      </c>
    </row>
    <row r="46" spans="2:40" s="167" customFormat="1" ht="16.7" hidden="1" customHeight="1">
      <c r="B46" s="741" t="b">
        <f t="shared" si="0"/>
        <v>0</v>
      </c>
      <c r="E46" s="623">
        <v>17.100000000000001</v>
      </c>
      <c r="F46" s="734">
        <f t="shared" si="1"/>
        <v>0</v>
      </c>
      <c r="H46" s="165">
        <f>first_year+16</f>
        <v>2040</v>
      </c>
      <c r="T46" s="634" t="b">
        <f t="shared" si="2"/>
        <v>0</v>
      </c>
      <c r="X46" s="1547"/>
      <c r="Z46" s="1547"/>
      <c r="AB46" s="255" t="str">
        <f t="shared" si="3"/>
        <v>2040 год</v>
      </c>
      <c r="AC46" s="370"/>
      <c r="AD46" s="90"/>
      <c r="AE46" s="90"/>
      <c r="AF46" s="90"/>
      <c r="AG46" s="90"/>
      <c r="AH46" s="90"/>
      <c r="AI46" s="90"/>
      <c r="AJ46" s="91"/>
      <c r="AN46" s="943">
        <f t="shared" si="4"/>
        <v>2040</v>
      </c>
    </row>
    <row r="47" spans="2:40" s="167" customFormat="1" ht="16.7" hidden="1" customHeight="1">
      <c r="B47" s="741" t="b">
        <f t="shared" si="0"/>
        <v>0</v>
      </c>
      <c r="E47" s="623">
        <v>17.100000000000001</v>
      </c>
      <c r="F47" s="734">
        <f t="shared" si="1"/>
        <v>0</v>
      </c>
      <c r="H47" s="165">
        <f>first_year+17</f>
        <v>2041</v>
      </c>
      <c r="T47" s="634" t="b">
        <f t="shared" si="2"/>
        <v>0</v>
      </c>
      <c r="X47" s="1547"/>
      <c r="Z47" s="1547"/>
      <c r="AB47" s="255" t="str">
        <f t="shared" si="3"/>
        <v>2041 год</v>
      </c>
      <c r="AC47" s="370"/>
      <c r="AD47" s="90"/>
      <c r="AE47" s="90"/>
      <c r="AF47" s="90"/>
      <c r="AG47" s="90"/>
      <c r="AH47" s="90"/>
      <c r="AI47" s="90"/>
      <c r="AJ47" s="91"/>
      <c r="AN47" s="943">
        <f t="shared" si="4"/>
        <v>2041</v>
      </c>
    </row>
    <row r="48" spans="2:40" s="167" customFormat="1" ht="16.7" hidden="1" customHeight="1">
      <c r="B48" s="741" t="b">
        <f t="shared" si="0"/>
        <v>0</v>
      </c>
      <c r="E48" s="623">
        <v>17.100000000000001</v>
      </c>
      <c r="F48" s="734">
        <f t="shared" si="1"/>
        <v>0</v>
      </c>
      <c r="H48" s="165">
        <f>first_year+18</f>
        <v>2042</v>
      </c>
      <c r="T48" s="634" t="b">
        <f t="shared" si="2"/>
        <v>0</v>
      </c>
      <c r="X48" s="1547"/>
      <c r="Z48" s="1547"/>
      <c r="AB48" s="255" t="str">
        <f t="shared" si="3"/>
        <v>2042 год</v>
      </c>
      <c r="AC48" s="370"/>
      <c r="AD48" s="90"/>
      <c r="AE48" s="90"/>
      <c r="AF48" s="90"/>
      <c r="AG48" s="90"/>
      <c r="AH48" s="90"/>
      <c r="AI48" s="90"/>
      <c r="AJ48" s="91"/>
      <c r="AN48" s="943">
        <f t="shared" si="4"/>
        <v>2042</v>
      </c>
    </row>
    <row r="49" spans="2:40" s="167" customFormat="1" ht="16.7" hidden="1" customHeight="1">
      <c r="B49" s="741" t="b">
        <f t="shared" si="0"/>
        <v>0</v>
      </c>
      <c r="E49" s="623">
        <v>17.100000000000001</v>
      </c>
      <c r="F49" s="734">
        <f t="shared" si="1"/>
        <v>0</v>
      </c>
      <c r="H49" s="165">
        <f>first_year+19</f>
        <v>2043</v>
      </c>
      <c r="T49" s="634" t="b">
        <f t="shared" si="2"/>
        <v>0</v>
      </c>
      <c r="X49" s="1547"/>
      <c r="Z49" s="1547"/>
      <c r="AB49" s="255" t="str">
        <f t="shared" si="3"/>
        <v>2043 год</v>
      </c>
      <c r="AC49" s="370"/>
      <c r="AD49" s="90"/>
      <c r="AE49" s="90"/>
      <c r="AF49" s="90"/>
      <c r="AG49" s="90"/>
      <c r="AH49" s="90"/>
      <c r="AI49" s="90"/>
      <c r="AJ49" s="91"/>
      <c r="AN49" s="943">
        <f t="shared" si="4"/>
        <v>2043</v>
      </c>
    </row>
    <row r="50" spans="2:40" s="167" customFormat="1" ht="16.7" hidden="1" customHeight="1">
      <c r="B50" s="741" t="b">
        <f t="shared" si="0"/>
        <v>0</v>
      </c>
      <c r="E50" s="623">
        <v>17.100000000000001</v>
      </c>
      <c r="F50" s="734">
        <f t="shared" si="1"/>
        <v>0</v>
      </c>
      <c r="H50" s="165">
        <f>first_year+20</f>
        <v>2044</v>
      </c>
      <c r="T50" s="634" t="b">
        <f t="shared" si="2"/>
        <v>0</v>
      </c>
      <c r="X50" s="1547"/>
      <c r="Z50" s="1547"/>
      <c r="AB50" s="255" t="str">
        <f t="shared" si="3"/>
        <v>2044 год</v>
      </c>
      <c r="AC50" s="370"/>
      <c r="AD50" s="90"/>
      <c r="AE50" s="90"/>
      <c r="AF50" s="90"/>
      <c r="AG50" s="90"/>
      <c r="AH50" s="90"/>
      <c r="AI50" s="90"/>
      <c r="AJ50" s="91"/>
      <c r="AN50" s="943">
        <f t="shared" si="4"/>
        <v>2044</v>
      </c>
    </row>
    <row r="51" spans="2:40" s="167" customFormat="1" ht="16.7" hidden="1" customHeight="1">
      <c r="B51" s="741" t="b">
        <f t="shared" si="0"/>
        <v>0</v>
      </c>
      <c r="E51" s="623">
        <v>17.100000000000001</v>
      </c>
      <c r="F51" s="734">
        <f t="shared" si="1"/>
        <v>0</v>
      </c>
      <c r="H51" s="165">
        <f>first_year+21</f>
        <v>2045</v>
      </c>
      <c r="T51" s="634" t="b">
        <f t="shared" si="2"/>
        <v>0</v>
      </c>
      <c r="X51" s="1547"/>
      <c r="Z51" s="1547"/>
      <c r="AB51" s="255" t="str">
        <f t="shared" si="3"/>
        <v>2045 год</v>
      </c>
      <c r="AC51" s="370"/>
      <c r="AD51" s="90"/>
      <c r="AE51" s="90"/>
      <c r="AF51" s="90"/>
      <c r="AG51" s="90"/>
      <c r="AH51" s="90"/>
      <c r="AI51" s="90"/>
      <c r="AJ51" s="91"/>
      <c r="AN51" s="943">
        <f t="shared" si="4"/>
        <v>2045</v>
      </c>
    </row>
    <row r="52" spans="2:40" s="167" customFormat="1" ht="16.7" hidden="1" customHeight="1">
      <c r="B52" s="741" t="b">
        <f t="shared" si="0"/>
        <v>0</v>
      </c>
      <c r="E52" s="623">
        <v>17.100000000000001</v>
      </c>
      <c r="F52" s="734">
        <f t="shared" si="1"/>
        <v>0</v>
      </c>
      <c r="H52" s="165">
        <f>first_year+22</f>
        <v>2046</v>
      </c>
      <c r="T52" s="634" t="b">
        <f t="shared" si="2"/>
        <v>0</v>
      </c>
      <c r="X52" s="1547"/>
      <c r="Z52" s="1547"/>
      <c r="AB52" s="255" t="str">
        <f t="shared" si="3"/>
        <v>2046 год</v>
      </c>
      <c r="AC52" s="370"/>
      <c r="AD52" s="90"/>
      <c r="AE52" s="90"/>
      <c r="AF52" s="90"/>
      <c r="AG52" s="90"/>
      <c r="AH52" s="90"/>
      <c r="AI52" s="90"/>
      <c r="AJ52" s="91"/>
      <c r="AN52" s="943">
        <f t="shared" si="4"/>
        <v>2046</v>
      </c>
    </row>
    <row r="53" spans="2:40" s="167" customFormat="1" ht="16.7" hidden="1" customHeight="1">
      <c r="B53" s="741" t="b">
        <f t="shared" si="0"/>
        <v>0</v>
      </c>
      <c r="E53" s="623">
        <v>17.100000000000001</v>
      </c>
      <c r="F53" s="734">
        <f t="shared" si="1"/>
        <v>0</v>
      </c>
      <c r="H53" s="165">
        <f>first_year+23</f>
        <v>2047</v>
      </c>
      <c r="T53" s="634" t="b">
        <f t="shared" si="2"/>
        <v>0</v>
      </c>
      <c r="X53" s="1547"/>
      <c r="Z53" s="1547"/>
      <c r="AB53" s="255" t="str">
        <f t="shared" si="3"/>
        <v>2047 год</v>
      </c>
      <c r="AC53" s="370"/>
      <c r="AD53" s="90"/>
      <c r="AE53" s="90"/>
      <c r="AF53" s="90"/>
      <c r="AG53" s="90"/>
      <c r="AH53" s="90"/>
      <c r="AI53" s="90"/>
      <c r="AJ53" s="91"/>
      <c r="AN53" s="943">
        <f t="shared" si="4"/>
        <v>2047</v>
      </c>
    </row>
    <row r="54" spans="2:40" s="167" customFormat="1" ht="16.7" hidden="1" customHeight="1">
      <c r="B54" s="741" t="b">
        <f t="shared" si="0"/>
        <v>0</v>
      </c>
      <c r="E54" s="623">
        <v>17.100000000000001</v>
      </c>
      <c r="F54" s="734">
        <f t="shared" si="1"/>
        <v>0</v>
      </c>
      <c r="H54" s="165">
        <f>first_year+24</f>
        <v>2048</v>
      </c>
      <c r="T54" s="634" t="b">
        <f t="shared" si="2"/>
        <v>0</v>
      </c>
      <c r="X54" s="1547"/>
      <c r="Z54" s="1547"/>
      <c r="AB54" s="255" t="str">
        <f t="shared" si="3"/>
        <v>2048 год</v>
      </c>
      <c r="AC54" s="370"/>
      <c r="AD54" s="90"/>
      <c r="AE54" s="90"/>
      <c r="AF54" s="90"/>
      <c r="AG54" s="90"/>
      <c r="AH54" s="90"/>
      <c r="AI54" s="90"/>
      <c r="AJ54" s="91"/>
      <c r="AN54" s="943">
        <f t="shared" si="4"/>
        <v>2048</v>
      </c>
    </row>
    <row r="55" spans="2:40" s="167" customFormat="1" ht="16.7" hidden="1" customHeight="1">
      <c r="B55" s="741" t="b">
        <f t="shared" si="0"/>
        <v>0</v>
      </c>
      <c r="E55" s="623">
        <v>17.100000000000001</v>
      </c>
      <c r="F55" s="734">
        <f t="shared" si="1"/>
        <v>0</v>
      </c>
      <c r="H55" s="165">
        <f>first_year+25</f>
        <v>2049</v>
      </c>
      <c r="T55" s="634" t="b">
        <f t="shared" si="2"/>
        <v>0</v>
      </c>
      <c r="X55" s="1547"/>
      <c r="Z55" s="1547"/>
      <c r="AB55" s="255" t="str">
        <f t="shared" si="3"/>
        <v>2049 год</v>
      </c>
      <c r="AC55" s="370"/>
      <c r="AD55" s="90"/>
      <c r="AE55" s="90"/>
      <c r="AF55" s="90"/>
      <c r="AG55" s="90"/>
      <c r="AH55" s="90"/>
      <c r="AI55" s="90"/>
      <c r="AJ55" s="91"/>
      <c r="AN55" s="943">
        <f t="shared" si="4"/>
        <v>2049</v>
      </c>
    </row>
    <row r="56" spans="2:40" s="167" customFormat="1" ht="16.7" hidden="1" customHeight="1">
      <c r="B56" s="741" t="b">
        <f t="shared" si="0"/>
        <v>0</v>
      </c>
      <c r="E56" s="623">
        <v>17.100000000000001</v>
      </c>
      <c r="F56" s="734">
        <f t="shared" si="1"/>
        <v>0</v>
      </c>
      <c r="H56" s="165">
        <f>first_year+26</f>
        <v>2050</v>
      </c>
      <c r="T56" s="634" t="b">
        <f t="shared" si="2"/>
        <v>0</v>
      </c>
      <c r="X56" s="1547"/>
      <c r="Z56" s="1547"/>
      <c r="AB56" s="255" t="str">
        <f t="shared" si="3"/>
        <v>2050 год</v>
      </c>
      <c r="AC56" s="370"/>
      <c r="AD56" s="90"/>
      <c r="AE56" s="90"/>
      <c r="AF56" s="90"/>
      <c r="AG56" s="90"/>
      <c r="AH56" s="90"/>
      <c r="AI56" s="90"/>
      <c r="AJ56" s="91"/>
      <c r="AN56" s="943">
        <f t="shared" si="4"/>
        <v>2050</v>
      </c>
    </row>
    <row r="57" spans="2:40" s="167" customFormat="1" ht="16.7" hidden="1" customHeight="1">
      <c r="B57" s="741" t="b">
        <f t="shared" si="0"/>
        <v>0</v>
      </c>
      <c r="E57" s="623">
        <v>17.100000000000001</v>
      </c>
      <c r="F57" s="734">
        <f t="shared" si="1"/>
        <v>0</v>
      </c>
      <c r="H57" s="165">
        <f>first_year+27</f>
        <v>2051</v>
      </c>
      <c r="T57" s="634" t="b">
        <f t="shared" si="2"/>
        <v>0</v>
      </c>
      <c r="X57" s="1547"/>
      <c r="Z57" s="1547"/>
      <c r="AB57" s="255" t="str">
        <f t="shared" si="3"/>
        <v>2051 год</v>
      </c>
      <c r="AC57" s="370"/>
      <c r="AD57" s="90"/>
      <c r="AE57" s="90"/>
      <c r="AF57" s="90"/>
      <c r="AG57" s="90"/>
      <c r="AH57" s="90"/>
      <c r="AI57" s="90"/>
      <c r="AJ57" s="91"/>
      <c r="AN57" s="943">
        <f t="shared" si="4"/>
        <v>2051</v>
      </c>
    </row>
    <row r="58" spans="2:40" s="167" customFormat="1" ht="16.7" hidden="1" customHeight="1">
      <c r="B58" s="741" t="b">
        <f t="shared" si="0"/>
        <v>0</v>
      </c>
      <c r="E58" s="623">
        <v>17.100000000000001</v>
      </c>
      <c r="F58" s="734">
        <f t="shared" si="1"/>
        <v>0</v>
      </c>
      <c r="H58" s="165">
        <f>first_year+28</f>
        <v>2052</v>
      </c>
      <c r="T58" s="634" t="b">
        <f t="shared" si="2"/>
        <v>0</v>
      </c>
      <c r="X58" s="1547"/>
      <c r="Z58" s="1547"/>
      <c r="AB58" s="255" t="str">
        <f t="shared" si="3"/>
        <v>2052 год</v>
      </c>
      <c r="AC58" s="370"/>
      <c r="AD58" s="90"/>
      <c r="AE58" s="90"/>
      <c r="AF58" s="90"/>
      <c r="AG58" s="90"/>
      <c r="AH58" s="90"/>
      <c r="AI58" s="90"/>
      <c r="AJ58" s="91"/>
      <c r="AN58" s="943">
        <f t="shared" si="4"/>
        <v>2052</v>
      </c>
    </row>
    <row r="59" spans="2:40" s="167" customFormat="1" ht="16.7" hidden="1" customHeight="1">
      <c r="B59" s="741" t="b">
        <f t="shared" si="0"/>
        <v>0</v>
      </c>
      <c r="E59" s="623">
        <v>17.100000000000001</v>
      </c>
      <c r="F59" s="734">
        <f t="shared" si="1"/>
        <v>0</v>
      </c>
      <c r="H59" s="165">
        <f>first_year+29</f>
        <v>2053</v>
      </c>
      <c r="T59" s="634" t="b">
        <f t="shared" si="2"/>
        <v>0</v>
      </c>
      <c r="X59" s="1547"/>
      <c r="Z59" s="1547"/>
      <c r="AB59" s="255" t="str">
        <f t="shared" si="3"/>
        <v>2053 год</v>
      </c>
      <c r="AC59" s="370"/>
      <c r="AD59" s="90"/>
      <c r="AE59" s="90"/>
      <c r="AF59" s="90"/>
      <c r="AG59" s="90"/>
      <c r="AH59" s="90"/>
      <c r="AI59" s="90"/>
      <c r="AJ59" s="91"/>
      <c r="AN59" s="943">
        <f t="shared" si="4"/>
        <v>2053</v>
      </c>
    </row>
    <row r="60" spans="2:40" s="167" customFormat="1" ht="16.7" hidden="1" customHeight="1">
      <c r="B60" s="741" t="b">
        <f t="shared" si="0"/>
        <v>0</v>
      </c>
      <c r="E60" s="623">
        <v>17.100000000000001</v>
      </c>
      <c r="F60" s="734">
        <f t="shared" si="1"/>
        <v>0</v>
      </c>
      <c r="H60" s="165">
        <f>first_year+30</f>
        <v>2054</v>
      </c>
      <c r="T60" s="634" t="b">
        <f t="shared" si="2"/>
        <v>0</v>
      </c>
      <c r="X60" s="1547"/>
      <c r="Z60" s="1547"/>
      <c r="AB60" s="255" t="str">
        <f t="shared" si="3"/>
        <v>2054 год</v>
      </c>
      <c r="AC60" s="370"/>
      <c r="AD60" s="90"/>
      <c r="AE60" s="90"/>
      <c r="AF60" s="90"/>
      <c r="AG60" s="90"/>
      <c r="AH60" s="90"/>
      <c r="AI60" s="90"/>
      <c r="AJ60" s="91"/>
      <c r="AN60" s="943">
        <f t="shared" si="4"/>
        <v>2054</v>
      </c>
    </row>
    <row r="61" spans="2:40" s="167" customFormat="1" ht="16.7" hidden="1" customHeight="1">
      <c r="B61" s="741" t="b">
        <f t="shared" si="0"/>
        <v>0</v>
      </c>
      <c r="E61" s="623">
        <v>17.100000000000001</v>
      </c>
      <c r="F61" s="734">
        <f t="shared" si="1"/>
        <v>0</v>
      </c>
      <c r="H61" s="165">
        <f>first_year+31</f>
        <v>2055</v>
      </c>
      <c r="T61" s="634" t="b">
        <f t="shared" si="2"/>
        <v>0</v>
      </c>
      <c r="X61" s="1547"/>
      <c r="Z61" s="1547"/>
      <c r="AB61" s="255" t="str">
        <f t="shared" si="3"/>
        <v>2055 год</v>
      </c>
      <c r="AC61" s="370"/>
      <c r="AD61" s="90"/>
      <c r="AE61" s="90"/>
      <c r="AF61" s="90"/>
      <c r="AG61" s="90"/>
      <c r="AH61" s="90"/>
      <c r="AI61" s="90"/>
      <c r="AJ61" s="91"/>
      <c r="AN61" s="943">
        <f t="shared" si="4"/>
        <v>2055</v>
      </c>
    </row>
    <row r="62" spans="2:40" s="167" customFormat="1" ht="16.7" hidden="1" customHeight="1">
      <c r="B62" s="741" t="b">
        <f t="shared" ref="B62:B79" si="5">H62&lt;first_year+PERIOD_LENGTH</f>
        <v>0</v>
      </c>
      <c r="E62" s="623">
        <v>17.100000000000001</v>
      </c>
      <c r="F62" s="734">
        <f t="shared" ref="F62:F79" si="6">F61</f>
        <v>0</v>
      </c>
      <c r="H62" s="165">
        <f>first_year+32</f>
        <v>2056</v>
      </c>
      <c r="T62" s="634" t="b">
        <f t="shared" ref="T62:T79" si="7">T61</f>
        <v>0</v>
      </c>
      <c r="X62" s="1547"/>
      <c r="Z62" s="1547"/>
      <c r="AB62" s="255" t="str">
        <f t="shared" ref="AB62:AB79" si="8">H62&amp;" год"</f>
        <v>2056 год</v>
      </c>
      <c r="AC62" s="370"/>
      <c r="AD62" s="90"/>
      <c r="AE62" s="90"/>
      <c r="AF62" s="90"/>
      <c r="AG62" s="90"/>
      <c r="AH62" s="90"/>
      <c r="AI62" s="90"/>
      <c r="AJ62" s="91"/>
      <c r="AN62" s="943">
        <f t="shared" ref="AN62:AN79" si="9">H62</f>
        <v>2056</v>
      </c>
    </row>
    <row r="63" spans="2:40" s="167" customFormat="1" ht="16.7" hidden="1" customHeight="1">
      <c r="B63" s="741" t="b">
        <f t="shared" si="5"/>
        <v>0</v>
      </c>
      <c r="E63" s="623">
        <v>17.100000000000001</v>
      </c>
      <c r="F63" s="734">
        <f t="shared" si="6"/>
        <v>0</v>
      </c>
      <c r="H63" s="165">
        <f>first_year+33</f>
        <v>2057</v>
      </c>
      <c r="T63" s="634" t="b">
        <f t="shared" si="7"/>
        <v>0</v>
      </c>
      <c r="X63" s="1547"/>
      <c r="Z63" s="1547"/>
      <c r="AB63" s="255" t="str">
        <f t="shared" si="8"/>
        <v>2057 год</v>
      </c>
      <c r="AC63" s="370"/>
      <c r="AD63" s="90"/>
      <c r="AE63" s="90"/>
      <c r="AF63" s="90"/>
      <c r="AG63" s="90"/>
      <c r="AH63" s="90"/>
      <c r="AI63" s="90"/>
      <c r="AJ63" s="91"/>
      <c r="AN63" s="943">
        <f t="shared" si="9"/>
        <v>2057</v>
      </c>
    </row>
    <row r="64" spans="2:40" s="167" customFormat="1" ht="16.7" hidden="1" customHeight="1">
      <c r="B64" s="741" t="b">
        <f t="shared" si="5"/>
        <v>0</v>
      </c>
      <c r="E64" s="623">
        <v>17.100000000000001</v>
      </c>
      <c r="F64" s="734">
        <f t="shared" si="6"/>
        <v>0</v>
      </c>
      <c r="H64" s="165">
        <f>first_year+34</f>
        <v>2058</v>
      </c>
      <c r="T64" s="634" t="b">
        <f t="shared" si="7"/>
        <v>0</v>
      </c>
      <c r="X64" s="1547"/>
      <c r="Z64" s="1547"/>
      <c r="AB64" s="255" t="str">
        <f t="shared" si="8"/>
        <v>2058 год</v>
      </c>
      <c r="AC64" s="370"/>
      <c r="AD64" s="90"/>
      <c r="AE64" s="90"/>
      <c r="AF64" s="90"/>
      <c r="AG64" s="90"/>
      <c r="AH64" s="90"/>
      <c r="AI64" s="90"/>
      <c r="AJ64" s="91"/>
      <c r="AN64" s="943">
        <f t="shared" si="9"/>
        <v>2058</v>
      </c>
    </row>
    <row r="65" spans="1:40" s="167" customFormat="1" ht="16.7" hidden="1" customHeight="1">
      <c r="B65" s="741" t="b">
        <f t="shared" si="5"/>
        <v>0</v>
      </c>
      <c r="E65" s="623">
        <v>17.100000000000001</v>
      </c>
      <c r="F65" s="734">
        <f t="shared" si="6"/>
        <v>0</v>
      </c>
      <c r="H65" s="165">
        <f>first_year+35</f>
        <v>2059</v>
      </c>
      <c r="T65" s="634" t="b">
        <f t="shared" si="7"/>
        <v>0</v>
      </c>
      <c r="X65" s="1547"/>
      <c r="Z65" s="1547"/>
      <c r="AB65" s="255" t="str">
        <f t="shared" si="8"/>
        <v>2059 год</v>
      </c>
      <c r="AC65" s="370"/>
      <c r="AD65" s="90"/>
      <c r="AE65" s="90"/>
      <c r="AF65" s="90"/>
      <c r="AG65" s="90"/>
      <c r="AH65" s="90"/>
      <c r="AI65" s="90"/>
      <c r="AJ65" s="91"/>
      <c r="AN65" s="943">
        <f t="shared" si="9"/>
        <v>2059</v>
      </c>
    </row>
    <row r="66" spans="1:40" s="167" customFormat="1" ht="16.7" hidden="1" customHeight="1">
      <c r="B66" s="741" t="b">
        <f t="shared" si="5"/>
        <v>0</v>
      </c>
      <c r="E66" s="623">
        <v>17.100000000000001</v>
      </c>
      <c r="F66" s="734">
        <f t="shared" si="6"/>
        <v>0</v>
      </c>
      <c r="H66" s="165">
        <f>first_year+36</f>
        <v>2060</v>
      </c>
      <c r="T66" s="634" t="b">
        <f t="shared" si="7"/>
        <v>0</v>
      </c>
      <c r="X66" s="1547"/>
      <c r="Z66" s="1547"/>
      <c r="AB66" s="255" t="str">
        <f t="shared" si="8"/>
        <v>2060 год</v>
      </c>
      <c r="AC66" s="370"/>
      <c r="AD66" s="90"/>
      <c r="AE66" s="90"/>
      <c r="AF66" s="90"/>
      <c r="AG66" s="90"/>
      <c r="AH66" s="90"/>
      <c r="AI66" s="90"/>
      <c r="AJ66" s="91"/>
      <c r="AN66" s="943">
        <f t="shared" si="9"/>
        <v>2060</v>
      </c>
    </row>
    <row r="67" spans="1:40" s="167" customFormat="1" ht="16.7" hidden="1" customHeight="1">
      <c r="B67" s="741" t="b">
        <f t="shared" si="5"/>
        <v>0</v>
      </c>
      <c r="E67" s="623">
        <v>17.100000000000001</v>
      </c>
      <c r="F67" s="734">
        <f t="shared" si="6"/>
        <v>0</v>
      </c>
      <c r="H67" s="165">
        <f>first_year+37</f>
        <v>2061</v>
      </c>
      <c r="T67" s="634" t="b">
        <f t="shared" si="7"/>
        <v>0</v>
      </c>
      <c r="X67" s="1547"/>
      <c r="Z67" s="1547"/>
      <c r="AB67" s="255" t="str">
        <f t="shared" si="8"/>
        <v>2061 год</v>
      </c>
      <c r="AC67" s="370"/>
      <c r="AD67" s="90"/>
      <c r="AE67" s="90"/>
      <c r="AF67" s="90"/>
      <c r="AG67" s="90"/>
      <c r="AH67" s="90"/>
      <c r="AI67" s="90"/>
      <c r="AJ67" s="91"/>
      <c r="AN67" s="943">
        <f t="shared" si="9"/>
        <v>2061</v>
      </c>
    </row>
    <row r="68" spans="1:40" s="167" customFormat="1" ht="16.7" hidden="1" customHeight="1">
      <c r="B68" s="741" t="b">
        <f t="shared" si="5"/>
        <v>0</v>
      </c>
      <c r="E68" s="623">
        <v>17.100000000000001</v>
      </c>
      <c r="F68" s="734">
        <f t="shared" si="6"/>
        <v>0</v>
      </c>
      <c r="H68" s="165">
        <f>first_year+38</f>
        <v>2062</v>
      </c>
      <c r="T68" s="634" t="b">
        <f t="shared" si="7"/>
        <v>0</v>
      </c>
      <c r="X68" s="1547"/>
      <c r="Z68" s="1547"/>
      <c r="AB68" s="255" t="str">
        <f t="shared" si="8"/>
        <v>2062 год</v>
      </c>
      <c r="AC68" s="370"/>
      <c r="AD68" s="90"/>
      <c r="AE68" s="90"/>
      <c r="AF68" s="90"/>
      <c r="AG68" s="90"/>
      <c r="AH68" s="90"/>
      <c r="AI68" s="90"/>
      <c r="AJ68" s="91"/>
      <c r="AN68" s="943">
        <f t="shared" si="9"/>
        <v>2062</v>
      </c>
    </row>
    <row r="69" spans="1:40" s="167" customFormat="1" ht="16.7" hidden="1" customHeight="1">
      <c r="B69" s="741" t="b">
        <f t="shared" si="5"/>
        <v>0</v>
      </c>
      <c r="E69" s="623">
        <v>17.100000000000001</v>
      </c>
      <c r="F69" s="734">
        <f t="shared" si="6"/>
        <v>0</v>
      </c>
      <c r="H69" s="165">
        <f>first_year+39</f>
        <v>2063</v>
      </c>
      <c r="T69" s="634" t="b">
        <f t="shared" si="7"/>
        <v>0</v>
      </c>
      <c r="X69" s="1547"/>
      <c r="Z69" s="1547"/>
      <c r="AB69" s="255" t="str">
        <f t="shared" si="8"/>
        <v>2063 год</v>
      </c>
      <c r="AC69" s="370"/>
      <c r="AD69" s="90"/>
      <c r="AE69" s="90"/>
      <c r="AF69" s="90"/>
      <c r="AG69" s="90"/>
      <c r="AH69" s="90"/>
      <c r="AI69" s="90"/>
      <c r="AJ69" s="91"/>
      <c r="AN69" s="943">
        <f t="shared" si="9"/>
        <v>2063</v>
      </c>
    </row>
    <row r="70" spans="1:40" s="167" customFormat="1" ht="16.7" hidden="1" customHeight="1">
      <c r="B70" s="741" t="b">
        <f t="shared" si="5"/>
        <v>0</v>
      </c>
      <c r="E70" s="623">
        <v>17.100000000000001</v>
      </c>
      <c r="F70" s="734">
        <f t="shared" si="6"/>
        <v>0</v>
      </c>
      <c r="H70" s="165">
        <f>first_year+40</f>
        <v>2064</v>
      </c>
      <c r="T70" s="634" t="b">
        <f t="shared" si="7"/>
        <v>0</v>
      </c>
      <c r="X70" s="1547"/>
      <c r="Z70" s="1547"/>
      <c r="AB70" s="255" t="str">
        <f t="shared" si="8"/>
        <v>2064 год</v>
      </c>
      <c r="AC70" s="370"/>
      <c r="AD70" s="90"/>
      <c r="AE70" s="90"/>
      <c r="AF70" s="90"/>
      <c r="AG70" s="90"/>
      <c r="AH70" s="90"/>
      <c r="AI70" s="90"/>
      <c r="AJ70" s="91"/>
      <c r="AN70" s="943">
        <f t="shared" si="9"/>
        <v>2064</v>
      </c>
    </row>
    <row r="71" spans="1:40" s="167" customFormat="1" ht="16.7" hidden="1" customHeight="1">
      <c r="B71" s="741" t="b">
        <f t="shared" si="5"/>
        <v>0</v>
      </c>
      <c r="E71" s="623">
        <v>17.100000000000001</v>
      </c>
      <c r="F71" s="734">
        <f t="shared" si="6"/>
        <v>0</v>
      </c>
      <c r="H71" s="165">
        <f>first_year+41</f>
        <v>2065</v>
      </c>
      <c r="T71" s="634" t="b">
        <f t="shared" si="7"/>
        <v>0</v>
      </c>
      <c r="X71" s="1547"/>
      <c r="Z71" s="1547"/>
      <c r="AB71" s="255" t="str">
        <f t="shared" si="8"/>
        <v>2065 год</v>
      </c>
      <c r="AC71" s="370"/>
      <c r="AD71" s="90"/>
      <c r="AE71" s="90"/>
      <c r="AF71" s="90"/>
      <c r="AG71" s="90"/>
      <c r="AH71" s="90"/>
      <c r="AI71" s="90"/>
      <c r="AJ71" s="91"/>
      <c r="AN71" s="943">
        <f t="shared" si="9"/>
        <v>2065</v>
      </c>
    </row>
    <row r="72" spans="1:40" s="167" customFormat="1" ht="16.7" hidden="1" customHeight="1">
      <c r="B72" s="741" t="b">
        <f t="shared" si="5"/>
        <v>0</v>
      </c>
      <c r="E72" s="623">
        <v>17.100000000000001</v>
      </c>
      <c r="F72" s="734">
        <f t="shared" si="6"/>
        <v>0</v>
      </c>
      <c r="H72" s="165">
        <f>first_year+42</f>
        <v>2066</v>
      </c>
      <c r="T72" s="634" t="b">
        <f t="shared" si="7"/>
        <v>0</v>
      </c>
      <c r="X72" s="1547"/>
      <c r="Z72" s="1547"/>
      <c r="AB72" s="255" t="str">
        <f t="shared" si="8"/>
        <v>2066 год</v>
      </c>
      <c r="AC72" s="370"/>
      <c r="AD72" s="90"/>
      <c r="AE72" s="90"/>
      <c r="AF72" s="90"/>
      <c r="AG72" s="90"/>
      <c r="AH72" s="90"/>
      <c r="AI72" s="90"/>
      <c r="AJ72" s="91"/>
      <c r="AN72" s="943">
        <f t="shared" si="9"/>
        <v>2066</v>
      </c>
    </row>
    <row r="73" spans="1:40" s="167" customFormat="1" ht="16.7" hidden="1" customHeight="1">
      <c r="B73" s="741" t="b">
        <f t="shared" si="5"/>
        <v>0</v>
      </c>
      <c r="E73" s="623">
        <v>17.100000000000001</v>
      </c>
      <c r="F73" s="734">
        <f t="shared" si="6"/>
        <v>0</v>
      </c>
      <c r="H73" s="165">
        <f>first_year+43</f>
        <v>2067</v>
      </c>
      <c r="T73" s="634" t="b">
        <f t="shared" si="7"/>
        <v>0</v>
      </c>
      <c r="X73" s="1547"/>
      <c r="Z73" s="1547"/>
      <c r="AB73" s="255" t="str">
        <f t="shared" si="8"/>
        <v>2067 год</v>
      </c>
      <c r="AC73" s="370"/>
      <c r="AD73" s="90"/>
      <c r="AE73" s="90"/>
      <c r="AF73" s="90"/>
      <c r="AG73" s="90"/>
      <c r="AH73" s="90"/>
      <c r="AI73" s="90"/>
      <c r="AJ73" s="91"/>
      <c r="AN73" s="943">
        <f t="shared" si="9"/>
        <v>2067</v>
      </c>
    </row>
    <row r="74" spans="1:40" s="167" customFormat="1" ht="16.7" hidden="1" customHeight="1">
      <c r="B74" s="741" t="b">
        <f t="shared" si="5"/>
        <v>0</v>
      </c>
      <c r="E74" s="623">
        <v>17.100000000000001</v>
      </c>
      <c r="F74" s="734">
        <f t="shared" si="6"/>
        <v>0</v>
      </c>
      <c r="H74" s="165">
        <f>first_year+44</f>
        <v>2068</v>
      </c>
      <c r="T74" s="634" t="b">
        <f t="shared" si="7"/>
        <v>0</v>
      </c>
      <c r="X74" s="1547"/>
      <c r="Z74" s="1547"/>
      <c r="AB74" s="255" t="str">
        <f t="shared" si="8"/>
        <v>2068 год</v>
      </c>
      <c r="AC74" s="370"/>
      <c r="AD74" s="90"/>
      <c r="AE74" s="90"/>
      <c r="AF74" s="90"/>
      <c r="AG74" s="90"/>
      <c r="AH74" s="90"/>
      <c r="AI74" s="90"/>
      <c r="AJ74" s="91"/>
      <c r="AN74" s="943">
        <f t="shared" si="9"/>
        <v>2068</v>
      </c>
    </row>
    <row r="75" spans="1:40" s="167" customFormat="1" ht="16.7" hidden="1" customHeight="1">
      <c r="B75" s="741" t="b">
        <f t="shared" si="5"/>
        <v>0</v>
      </c>
      <c r="E75" s="623">
        <v>17.100000000000001</v>
      </c>
      <c r="F75" s="734">
        <f t="shared" si="6"/>
        <v>0</v>
      </c>
      <c r="H75" s="165">
        <f>first_year+45</f>
        <v>2069</v>
      </c>
      <c r="T75" s="634" t="b">
        <f t="shared" si="7"/>
        <v>0</v>
      </c>
      <c r="X75" s="1547"/>
      <c r="Z75" s="1547"/>
      <c r="AB75" s="255" t="str">
        <f t="shared" si="8"/>
        <v>2069 год</v>
      </c>
      <c r="AC75" s="370"/>
      <c r="AD75" s="90"/>
      <c r="AE75" s="90"/>
      <c r="AF75" s="90"/>
      <c r="AG75" s="90"/>
      <c r="AH75" s="90"/>
      <c r="AI75" s="90"/>
      <c r="AJ75" s="91"/>
      <c r="AN75" s="943">
        <f t="shared" si="9"/>
        <v>2069</v>
      </c>
    </row>
    <row r="76" spans="1:40" s="167" customFormat="1" ht="16.7" hidden="1" customHeight="1">
      <c r="B76" s="741" t="b">
        <f t="shared" si="5"/>
        <v>0</v>
      </c>
      <c r="E76" s="623">
        <v>17.100000000000001</v>
      </c>
      <c r="F76" s="734">
        <f t="shared" si="6"/>
        <v>0</v>
      </c>
      <c r="H76" s="165">
        <f>first_year+46</f>
        <v>2070</v>
      </c>
      <c r="T76" s="634" t="b">
        <f t="shared" si="7"/>
        <v>0</v>
      </c>
      <c r="X76" s="1547"/>
      <c r="Z76" s="1547"/>
      <c r="AB76" s="255" t="str">
        <f t="shared" si="8"/>
        <v>2070 год</v>
      </c>
      <c r="AC76" s="370"/>
      <c r="AD76" s="90"/>
      <c r="AE76" s="90"/>
      <c r="AF76" s="90"/>
      <c r="AG76" s="90"/>
      <c r="AH76" s="90"/>
      <c r="AI76" s="90"/>
      <c r="AJ76" s="91"/>
      <c r="AN76" s="943">
        <f t="shared" si="9"/>
        <v>2070</v>
      </c>
    </row>
    <row r="77" spans="1:40" s="167" customFormat="1" ht="16.7" hidden="1" customHeight="1">
      <c r="B77" s="741" t="b">
        <f t="shared" si="5"/>
        <v>0</v>
      </c>
      <c r="E77" s="623">
        <v>17.100000000000001</v>
      </c>
      <c r="F77" s="734">
        <f t="shared" si="6"/>
        <v>0</v>
      </c>
      <c r="H77" s="165">
        <f>first_year+47</f>
        <v>2071</v>
      </c>
      <c r="T77" s="634" t="b">
        <f t="shared" si="7"/>
        <v>0</v>
      </c>
      <c r="X77" s="1547"/>
      <c r="Z77" s="1547"/>
      <c r="AB77" s="255" t="str">
        <f t="shared" si="8"/>
        <v>2071 год</v>
      </c>
      <c r="AC77" s="370"/>
      <c r="AD77" s="90"/>
      <c r="AE77" s="90"/>
      <c r="AF77" s="90"/>
      <c r="AG77" s="90"/>
      <c r="AH77" s="90"/>
      <c r="AI77" s="90"/>
      <c r="AJ77" s="91"/>
      <c r="AN77" s="943">
        <f t="shared" si="9"/>
        <v>2071</v>
      </c>
    </row>
    <row r="78" spans="1:40" s="167" customFormat="1" ht="16.7" hidden="1" customHeight="1">
      <c r="B78" s="741" t="b">
        <f t="shared" si="5"/>
        <v>0</v>
      </c>
      <c r="E78" s="623">
        <v>17.100000000000001</v>
      </c>
      <c r="F78" s="734">
        <f t="shared" si="6"/>
        <v>0</v>
      </c>
      <c r="H78" s="165">
        <f>first_year+48</f>
        <v>2072</v>
      </c>
      <c r="T78" s="634" t="b">
        <f t="shared" si="7"/>
        <v>0</v>
      </c>
      <c r="X78" s="1547"/>
      <c r="Z78" s="1547"/>
      <c r="AB78" s="255" t="str">
        <f t="shared" si="8"/>
        <v>2072 год</v>
      </c>
      <c r="AC78" s="370"/>
      <c r="AD78" s="90"/>
      <c r="AE78" s="90"/>
      <c r="AF78" s="90"/>
      <c r="AG78" s="90"/>
      <c r="AH78" s="90"/>
      <c r="AI78" s="90"/>
      <c r="AJ78" s="91"/>
      <c r="AN78" s="943">
        <f t="shared" si="9"/>
        <v>2072</v>
      </c>
    </row>
    <row r="79" spans="1:40" s="167" customFormat="1" ht="16.7" hidden="1" customHeight="1">
      <c r="B79" s="741" t="b">
        <f t="shared" si="5"/>
        <v>0</v>
      </c>
      <c r="E79" s="623">
        <v>17.100000000000001</v>
      </c>
      <c r="F79" s="734">
        <f t="shared" si="6"/>
        <v>0</v>
      </c>
      <c r="H79" s="165">
        <f>first_year+49</f>
        <v>2073</v>
      </c>
      <c r="T79" s="634" t="b">
        <f t="shared" si="7"/>
        <v>0</v>
      </c>
      <c r="X79" s="1547"/>
      <c r="Z79" s="1547"/>
      <c r="AB79" s="255" t="str">
        <f t="shared" si="8"/>
        <v>2073 год</v>
      </c>
      <c r="AC79" s="370"/>
      <c r="AD79" s="90"/>
      <c r="AE79" s="90"/>
      <c r="AF79" s="90"/>
      <c r="AG79" s="90"/>
      <c r="AH79" s="90"/>
      <c r="AI79" s="90"/>
      <c r="AJ79" s="91"/>
      <c r="AN79" s="943">
        <f t="shared" si="9"/>
        <v>2073</v>
      </c>
    </row>
    <row r="80" spans="1:40" s="1276" customFormat="1" ht="16.5" customHeight="1">
      <c r="A80" s="157"/>
      <c r="B80" s="157"/>
      <c r="C80" s="157"/>
      <c r="D80" s="157"/>
      <c r="E80" s="623">
        <v>17.100000000000001</v>
      </c>
      <c r="F80" s="714" t="str">
        <f>X80</f>
        <v>1</v>
      </c>
      <c r="G80" s="157"/>
      <c r="H80" s="157"/>
      <c r="I80" s="157"/>
      <c r="J80" s="157"/>
      <c r="K80" s="157"/>
      <c r="L80" s="157"/>
      <c r="M80" s="157"/>
      <c r="N80" s="157"/>
      <c r="O80" s="157"/>
      <c r="P80" s="157"/>
      <c r="Q80" s="157"/>
      <c r="R80" s="157"/>
      <c r="S80" s="157"/>
      <c r="T80" s="634" t="b">
        <f>X80&gt;0</f>
        <v>1</v>
      </c>
      <c r="U80" s="157"/>
      <c r="V80" s="113" t="str">
        <f>ТМ!$AB$74</f>
        <v>Тариф 1 (Теплоснабжение) - Тарифы на теплоноситель (Не определено)</v>
      </c>
      <c r="W80" s="157"/>
      <c r="X80" s="1405" t="s">
        <v>247</v>
      </c>
      <c r="Y80" s="157"/>
      <c r="Z80" s="1403"/>
      <c r="AA80" s="157"/>
      <c r="AB80" s="247" t="str">
        <f>IF(ISBLANK(ТМ!$AB$74),"",ТМ!$AB$74)</f>
        <v>Тариф 1 (Теплоснабжение) - Тарифы на теплоноситель (Не определено)</v>
      </c>
      <c r="AC80" s="248"/>
      <c r="AD80" s="248"/>
      <c r="AE80" s="248"/>
      <c r="AF80" s="248"/>
      <c r="AG80" s="248"/>
      <c r="AH80" s="248"/>
      <c r="AI80" s="248"/>
      <c r="AJ80" s="421"/>
      <c r="AK80" s="157"/>
      <c r="AL80" s="157"/>
      <c r="AM80" s="157"/>
      <c r="AN80" s="883"/>
    </row>
    <row r="81" spans="1:40" s="1277" customFormat="1" ht="16.5" customHeight="1">
      <c r="A81" s="167"/>
      <c r="B81" s="741" t="b">
        <f t="shared" ref="B81:B112" si="10">H81&lt;first_year+PERIOD_LENGTH</f>
        <v>1</v>
      </c>
      <c r="C81" s="167"/>
      <c r="D81" s="167"/>
      <c r="E81" s="623">
        <v>17.100000000000001</v>
      </c>
      <c r="F81" s="734" t="str">
        <f t="shared" ref="F81:F112" si="11">F80</f>
        <v>1</v>
      </c>
      <c r="G81" s="130" t="s">
        <v>1429</v>
      </c>
      <c r="H81" s="165">
        <f>first_year</f>
        <v>2024</v>
      </c>
      <c r="I81" s="167"/>
      <c r="J81" s="167"/>
      <c r="K81" s="167"/>
      <c r="L81" s="167"/>
      <c r="M81" s="167"/>
      <c r="N81" s="167"/>
      <c r="O81" s="167"/>
      <c r="P81" s="167"/>
      <c r="Q81" s="167"/>
      <c r="R81" s="167"/>
      <c r="S81" s="167"/>
      <c r="T81" s="634" t="b">
        <f t="shared" ref="T81:T112" si="12">T80</f>
        <v>1</v>
      </c>
      <c r="U81" s="167"/>
      <c r="V81" s="167"/>
      <c r="W81" s="167"/>
      <c r="X81" s="1547"/>
      <c r="Y81" s="167"/>
      <c r="Z81" s="1547"/>
      <c r="AA81" s="167"/>
      <c r="AB81" s="255" t="str">
        <f t="shared" ref="AB81:AB112" si="13">H81&amp;" год"</f>
        <v>2024 год</v>
      </c>
      <c r="AC81" s="1278" t="str">
        <f>IF(god=first_year,SUMIFS('Калькуляция (5.9)'!AT$26:AT$115,'Калькуляция (5.9)'!$F$26:$F$115,$F81,'Калькуляция (5.9)'!$G$26:$G$115,$G81),"")</f>
        <v/>
      </c>
      <c r="AD81" s="1099"/>
      <c r="AE81" s="1279"/>
      <c r="AF81" s="1279"/>
      <c r="AG81" s="1279"/>
      <c r="AH81" s="1279"/>
      <c r="AI81" s="1279"/>
      <c r="AJ81" s="91"/>
      <c r="AK81" s="167"/>
      <c r="AL81" s="167"/>
      <c r="AM81" s="167"/>
      <c r="AN81" s="943">
        <f t="shared" ref="AN81:AN112" si="14">H81</f>
        <v>2024</v>
      </c>
    </row>
    <row r="82" spans="1:40" s="1280" customFormat="1" ht="16.5" customHeight="1">
      <c r="A82" s="167"/>
      <c r="B82" s="741" t="b">
        <f t="shared" si="10"/>
        <v>1</v>
      </c>
      <c r="C82" s="167"/>
      <c r="D82" s="167"/>
      <c r="E82" s="623">
        <v>17.100000000000001</v>
      </c>
      <c r="F82" s="734" t="str">
        <f t="shared" si="11"/>
        <v>1</v>
      </c>
      <c r="G82" s="167"/>
      <c r="H82" s="165">
        <f>first_year+1</f>
        <v>2025</v>
      </c>
      <c r="I82" s="167"/>
      <c r="J82" s="167"/>
      <c r="K82" s="167"/>
      <c r="L82" s="167"/>
      <c r="M82" s="167"/>
      <c r="N82" s="167"/>
      <c r="O82" s="167"/>
      <c r="P82" s="167"/>
      <c r="Q82" s="167"/>
      <c r="R82" s="167"/>
      <c r="S82" s="167"/>
      <c r="T82" s="634" t="b">
        <f t="shared" si="12"/>
        <v>1</v>
      </c>
      <c r="U82" s="167"/>
      <c r="V82" s="167"/>
      <c r="W82" s="167"/>
      <c r="X82" s="1547"/>
      <c r="Y82" s="167"/>
      <c r="Z82" s="1547"/>
      <c r="AA82" s="167"/>
      <c r="AB82" s="255" t="str">
        <f t="shared" si="13"/>
        <v>2025 год</v>
      </c>
      <c r="AC82" s="370"/>
      <c r="AD82" s="1281">
        <f>IFERROR(SUMIFS(INDEX('Операционные (5.2)'!$AT$26:$BC$45,,MATCH($H82,'Операционные (5.2)'!$AT$6:$BC$6,0)),'Операционные (5.2)'!$F$26:$F$45,$F82,'Операционные (5.2)'!$G$26:$G$45,"ИОР"),0)</f>
        <v>0</v>
      </c>
      <c r="AE82" s="1279"/>
      <c r="AF82" s="1279"/>
      <c r="AG82" s="1279"/>
      <c r="AH82" s="1279"/>
      <c r="AI82" s="1279"/>
      <c r="AJ82" s="91"/>
      <c r="AK82" s="167"/>
      <c r="AL82" s="167"/>
      <c r="AM82" s="167"/>
      <c r="AN82" s="943">
        <f t="shared" si="14"/>
        <v>2025</v>
      </c>
    </row>
    <row r="83" spans="1:40" s="1282" customFormat="1" ht="16.5" customHeight="1">
      <c r="A83" s="167"/>
      <c r="B83" s="741" t="b">
        <f t="shared" si="10"/>
        <v>1</v>
      </c>
      <c r="C83" s="167"/>
      <c r="D83" s="167"/>
      <c r="E83" s="623">
        <v>17.100000000000001</v>
      </c>
      <c r="F83" s="734" t="str">
        <f t="shared" si="11"/>
        <v>1</v>
      </c>
      <c r="G83" s="167"/>
      <c r="H83" s="165">
        <f>first_year+2</f>
        <v>2026</v>
      </c>
      <c r="I83" s="167"/>
      <c r="J83" s="167"/>
      <c r="K83" s="167"/>
      <c r="L83" s="167"/>
      <c r="M83" s="167"/>
      <c r="N83" s="167"/>
      <c r="O83" s="167"/>
      <c r="P83" s="167"/>
      <c r="Q83" s="167"/>
      <c r="R83" s="167"/>
      <c r="S83" s="167"/>
      <c r="T83" s="634" t="b">
        <f t="shared" si="12"/>
        <v>1</v>
      </c>
      <c r="U83" s="167"/>
      <c r="V83" s="167"/>
      <c r="W83" s="167"/>
      <c r="X83" s="1547"/>
      <c r="Y83" s="167"/>
      <c r="Z83" s="1547"/>
      <c r="AA83" s="167"/>
      <c r="AB83" s="255" t="str">
        <f t="shared" si="13"/>
        <v>2026 год</v>
      </c>
      <c r="AC83" s="370"/>
      <c r="AD83" s="1281">
        <f ca="1">IFERROR(SUMIFS(INDEX('Операционные (5.2)'!$AT$26:$BC$45,,MATCH($H83,'Операционные (5.2)'!$AT$6:$BC$6,0)),'Операционные (5.2)'!$F$26:$F$45,$F83,'Операционные (5.2)'!$G$26:$G$45,"ИОР"),0)</f>
        <v>1</v>
      </c>
      <c r="AE83" s="1279"/>
      <c r="AF83" s="1279"/>
      <c r="AG83" s="1279"/>
      <c r="AH83" s="1279"/>
      <c r="AI83" s="1279"/>
      <c r="AJ83" s="91"/>
      <c r="AK83" s="167"/>
      <c r="AL83" s="167"/>
      <c r="AM83" s="167"/>
      <c r="AN83" s="943">
        <f t="shared" si="14"/>
        <v>2026</v>
      </c>
    </row>
    <row r="84" spans="1:40" s="1283" customFormat="1" ht="16.5" customHeight="1">
      <c r="A84" s="167"/>
      <c r="B84" s="741" t="b">
        <f t="shared" si="10"/>
        <v>1</v>
      </c>
      <c r="C84" s="167"/>
      <c r="D84" s="167"/>
      <c r="E84" s="623">
        <v>17.100000000000001</v>
      </c>
      <c r="F84" s="734" t="str">
        <f t="shared" si="11"/>
        <v>1</v>
      </c>
      <c r="G84" s="167"/>
      <c r="H84" s="165">
        <f>first_year+3</f>
        <v>2027</v>
      </c>
      <c r="I84" s="167"/>
      <c r="J84" s="167"/>
      <c r="K84" s="167"/>
      <c r="L84" s="167"/>
      <c r="M84" s="167"/>
      <c r="N84" s="167"/>
      <c r="O84" s="167"/>
      <c r="P84" s="167"/>
      <c r="Q84" s="167"/>
      <c r="R84" s="167"/>
      <c r="S84" s="167"/>
      <c r="T84" s="634" t="b">
        <f t="shared" si="12"/>
        <v>1</v>
      </c>
      <c r="U84" s="167"/>
      <c r="V84" s="167"/>
      <c r="W84" s="167"/>
      <c r="X84" s="1547"/>
      <c r="Y84" s="167"/>
      <c r="Z84" s="1547"/>
      <c r="AA84" s="167"/>
      <c r="AB84" s="255" t="str">
        <f t="shared" si="13"/>
        <v>2027 год</v>
      </c>
      <c r="AC84" s="370"/>
      <c r="AD84" s="1099">
        <f ca="1">IFERROR(SUMIFS(INDEX('Операционные (5.2)'!$AT$26:$BC$45,,MATCH($H84,'Операционные (5.2)'!$AT$6:$BC$6,0)),'Операционные (5.2)'!$F$26:$F$45,$F84,'Операционные (5.2)'!$G$26:$G$45,"ИОР"),0)</f>
        <v>1</v>
      </c>
      <c r="AE84" s="1279"/>
      <c r="AF84" s="1279"/>
      <c r="AG84" s="1279"/>
      <c r="AH84" s="1279"/>
      <c r="AI84" s="1279"/>
      <c r="AJ84" s="91"/>
      <c r="AK84" s="167"/>
      <c r="AL84" s="167"/>
      <c r="AM84" s="167"/>
      <c r="AN84" s="943">
        <f t="shared" si="14"/>
        <v>2027</v>
      </c>
    </row>
    <row r="85" spans="1:40" s="1284" customFormat="1" ht="16.5" customHeight="1">
      <c r="A85" s="167"/>
      <c r="B85" s="741" t="b">
        <f t="shared" si="10"/>
        <v>1</v>
      </c>
      <c r="C85" s="167"/>
      <c r="D85" s="167"/>
      <c r="E85" s="623">
        <v>17.100000000000001</v>
      </c>
      <c r="F85" s="734" t="str">
        <f t="shared" si="11"/>
        <v>1</v>
      </c>
      <c r="G85" s="167"/>
      <c r="H85" s="165">
        <f>first_year+4</f>
        <v>2028</v>
      </c>
      <c r="I85" s="167"/>
      <c r="J85" s="167"/>
      <c r="K85" s="167"/>
      <c r="L85" s="167"/>
      <c r="M85" s="167"/>
      <c r="N85" s="167"/>
      <c r="O85" s="167"/>
      <c r="P85" s="167"/>
      <c r="Q85" s="167"/>
      <c r="R85" s="167"/>
      <c r="S85" s="167"/>
      <c r="T85" s="634" t="b">
        <f t="shared" si="12"/>
        <v>1</v>
      </c>
      <c r="U85" s="167"/>
      <c r="V85" s="167"/>
      <c r="W85" s="167"/>
      <c r="X85" s="1547"/>
      <c r="Y85" s="167"/>
      <c r="Z85" s="1547"/>
      <c r="AA85" s="167"/>
      <c r="AB85" s="255" t="str">
        <f t="shared" si="13"/>
        <v>2028 год</v>
      </c>
      <c r="AC85" s="370"/>
      <c r="AD85" s="1099">
        <f ca="1">IFERROR(SUMIFS(INDEX('Операционные (5.2)'!$AT$26:$BC$45,,MATCH($H85,'Операционные (5.2)'!$AT$6:$BC$6,0)),'Операционные (5.2)'!$F$26:$F$45,$F85,'Операционные (5.2)'!$G$26:$G$45,"ИОР"),0)</f>
        <v>1</v>
      </c>
      <c r="AE85" s="1279"/>
      <c r="AF85" s="1279"/>
      <c r="AG85" s="1279"/>
      <c r="AH85" s="1279"/>
      <c r="AI85" s="1279"/>
      <c r="AJ85" s="91"/>
      <c r="AK85" s="167"/>
      <c r="AL85" s="167"/>
      <c r="AM85" s="167"/>
      <c r="AN85" s="943">
        <f t="shared" si="14"/>
        <v>2028</v>
      </c>
    </row>
    <row r="86" spans="1:40" s="1285" customFormat="1" ht="16.5" hidden="1" customHeight="1">
      <c r="A86" s="167"/>
      <c r="B86" s="741" t="b">
        <f t="shared" si="10"/>
        <v>0</v>
      </c>
      <c r="C86" s="167"/>
      <c r="D86" s="167"/>
      <c r="E86" s="623">
        <v>17.100000000000001</v>
      </c>
      <c r="F86" s="734" t="str">
        <f t="shared" si="11"/>
        <v>1</v>
      </c>
      <c r="G86" s="167"/>
      <c r="H86" s="165">
        <f>first_year+5</f>
        <v>2029</v>
      </c>
      <c r="I86" s="167"/>
      <c r="J86" s="167"/>
      <c r="K86" s="167"/>
      <c r="L86" s="167"/>
      <c r="M86" s="167"/>
      <c r="N86" s="167"/>
      <c r="O86" s="167"/>
      <c r="P86" s="167"/>
      <c r="Q86" s="167"/>
      <c r="R86" s="167"/>
      <c r="S86" s="167"/>
      <c r="T86" s="634" t="b">
        <f t="shared" si="12"/>
        <v>1</v>
      </c>
      <c r="U86" s="167"/>
      <c r="V86" s="167"/>
      <c r="W86" s="167"/>
      <c r="X86" s="1547"/>
      <c r="Y86" s="167"/>
      <c r="Z86" s="1547"/>
      <c r="AA86" s="167"/>
      <c r="AB86" s="255" t="str">
        <f t="shared" si="13"/>
        <v>2029 год</v>
      </c>
      <c r="AC86" s="370"/>
      <c r="AD86" s="16">
        <f ca="1">IFERROR(SUMIFS(INDEX('Операционные (5.2)'!$AT$26:$BC$45,,MATCH($H86,'Операционные (5.2)'!$AT$6:$BC$6,0)),'Операционные (5.2)'!$F$26:$F$45,$F86,'Операционные (5.2)'!$G$26:$G$45,"ИОР"),0)</f>
        <v>1</v>
      </c>
      <c r="AE86" s="90"/>
      <c r="AF86" s="90"/>
      <c r="AG86" s="90"/>
      <c r="AH86" s="90"/>
      <c r="AI86" s="90"/>
      <c r="AJ86" s="91">
        <f>IFERROR(SUMIFS(INDEX('Баланс ТН'!$AE$26:$BB$100,,MATCH($H86&amp;"Принято органом регулирования",'Баланс ТН'!$AE$8:$BB$8,0)),'Баланс ТН'!$Q$26:$Q$100,$F86,'Баланс ТН'!$AC$26:$AC$100,"Уровень потерь воды"),0)</f>
        <v>0</v>
      </c>
      <c r="AK86" s="167"/>
      <c r="AL86" s="167"/>
      <c r="AM86" s="167"/>
      <c r="AN86" s="943">
        <f t="shared" si="14"/>
        <v>2029</v>
      </c>
    </row>
    <row r="87" spans="1:40" s="1286" customFormat="1" ht="16.5" hidden="1" customHeight="1">
      <c r="A87" s="167"/>
      <c r="B87" s="741" t="b">
        <f t="shared" si="10"/>
        <v>0</v>
      </c>
      <c r="C87" s="167"/>
      <c r="D87" s="167"/>
      <c r="E87" s="623">
        <v>17.100000000000001</v>
      </c>
      <c r="F87" s="734" t="str">
        <f t="shared" si="11"/>
        <v>1</v>
      </c>
      <c r="G87" s="167"/>
      <c r="H87" s="165">
        <f>first_year+6</f>
        <v>2030</v>
      </c>
      <c r="I87" s="167"/>
      <c r="J87" s="167"/>
      <c r="K87" s="167"/>
      <c r="L87" s="167"/>
      <c r="M87" s="167"/>
      <c r="N87" s="167"/>
      <c r="O87" s="167"/>
      <c r="P87" s="167"/>
      <c r="Q87" s="167"/>
      <c r="R87" s="167"/>
      <c r="S87" s="167"/>
      <c r="T87" s="634" t="b">
        <f t="shared" si="12"/>
        <v>1</v>
      </c>
      <c r="U87" s="167"/>
      <c r="V87" s="167"/>
      <c r="W87" s="167"/>
      <c r="X87" s="1547"/>
      <c r="Y87" s="167"/>
      <c r="Z87" s="1547"/>
      <c r="AA87" s="167"/>
      <c r="AB87" s="255" t="str">
        <f t="shared" si="13"/>
        <v>2030 год</v>
      </c>
      <c r="AC87" s="370"/>
      <c r="AD87" s="16">
        <f ca="1">IFERROR(SUMIFS(INDEX('Операционные (5.2)'!$AT$26:$BC$45,,MATCH($H87,'Операционные (5.2)'!$AT$6:$BC$6,0)),'Операционные (5.2)'!$F$26:$F$45,$F87,'Операционные (5.2)'!$G$26:$G$45,"ИОР"),0)</f>
        <v>1</v>
      </c>
      <c r="AE87" s="90"/>
      <c r="AF87" s="90"/>
      <c r="AG87" s="90"/>
      <c r="AH87" s="90"/>
      <c r="AI87" s="90"/>
      <c r="AJ87" s="91">
        <f>IFERROR(SUMIFS(INDEX('Баланс ТН'!$AE$26:$BB$100,,MATCH($H87&amp;"Принято органом регулирования",'Баланс ТН'!$AE$8:$BB$8,0)),'Баланс ТН'!$Q$26:$Q$100,$F87,'Баланс ТН'!$AC$26:$AC$100,"Уровень потерь воды"),0)</f>
        <v>0</v>
      </c>
      <c r="AK87" s="167"/>
      <c r="AL87" s="167"/>
      <c r="AM87" s="167"/>
      <c r="AN87" s="943">
        <f t="shared" si="14"/>
        <v>2030</v>
      </c>
    </row>
    <row r="88" spans="1:40" s="1287" customFormat="1" ht="16.5" hidden="1" customHeight="1">
      <c r="A88" s="167"/>
      <c r="B88" s="741" t="b">
        <f t="shared" si="10"/>
        <v>0</v>
      </c>
      <c r="C88" s="167"/>
      <c r="D88" s="167"/>
      <c r="E88" s="623">
        <v>17.100000000000001</v>
      </c>
      <c r="F88" s="734" t="str">
        <f t="shared" si="11"/>
        <v>1</v>
      </c>
      <c r="G88" s="167"/>
      <c r="H88" s="165">
        <f>first_year+7</f>
        <v>2031</v>
      </c>
      <c r="I88" s="167"/>
      <c r="J88" s="167"/>
      <c r="K88" s="167"/>
      <c r="L88" s="167"/>
      <c r="M88" s="167"/>
      <c r="N88" s="167"/>
      <c r="O88" s="167"/>
      <c r="P88" s="167"/>
      <c r="Q88" s="167"/>
      <c r="R88" s="167"/>
      <c r="S88" s="167"/>
      <c r="T88" s="634" t="b">
        <f t="shared" si="12"/>
        <v>1</v>
      </c>
      <c r="U88" s="167"/>
      <c r="V88" s="167"/>
      <c r="W88" s="167"/>
      <c r="X88" s="1547"/>
      <c r="Y88" s="167"/>
      <c r="Z88" s="1547"/>
      <c r="AA88" s="167"/>
      <c r="AB88" s="255" t="str">
        <f t="shared" si="13"/>
        <v>2031 год</v>
      </c>
      <c r="AC88" s="370"/>
      <c r="AD88" s="16">
        <f ca="1">IFERROR(SUMIFS(INDEX('Операционные (5.2)'!$AT$26:$BC$45,,MATCH($H88,'Операционные (5.2)'!$AT$6:$BC$6,0)),'Операционные (5.2)'!$F$26:$F$45,$F88,'Операционные (5.2)'!$G$26:$G$45,"ИОР"),0)</f>
        <v>1</v>
      </c>
      <c r="AE88" s="90"/>
      <c r="AF88" s="90"/>
      <c r="AG88" s="90"/>
      <c r="AH88" s="90"/>
      <c r="AI88" s="90"/>
      <c r="AJ88" s="91">
        <f>IFERROR(SUMIFS(INDEX('Баланс ТН'!$AE$26:$BB$100,,MATCH($H88&amp;"Принято органом регулирования",'Баланс ТН'!$AE$8:$BB$8,0)),'Баланс ТН'!$Q$26:$Q$100,$F88,'Баланс ТН'!$AC$26:$AC$100,"Уровень потерь воды"),0)</f>
        <v>0</v>
      </c>
      <c r="AK88" s="167"/>
      <c r="AL88" s="167"/>
      <c r="AM88" s="167"/>
      <c r="AN88" s="943">
        <f t="shared" si="14"/>
        <v>2031</v>
      </c>
    </row>
    <row r="89" spans="1:40" s="1288" customFormat="1" ht="16.5" hidden="1" customHeight="1">
      <c r="A89" s="167"/>
      <c r="B89" s="741" t="b">
        <f t="shared" si="10"/>
        <v>0</v>
      </c>
      <c r="C89" s="167"/>
      <c r="D89" s="167"/>
      <c r="E89" s="623">
        <v>17.100000000000001</v>
      </c>
      <c r="F89" s="734" t="str">
        <f t="shared" si="11"/>
        <v>1</v>
      </c>
      <c r="G89" s="167"/>
      <c r="H89" s="165">
        <f>first_year+8</f>
        <v>2032</v>
      </c>
      <c r="I89" s="167"/>
      <c r="J89" s="167"/>
      <c r="K89" s="167"/>
      <c r="L89" s="167"/>
      <c r="M89" s="167"/>
      <c r="N89" s="167"/>
      <c r="O89" s="167"/>
      <c r="P89" s="167"/>
      <c r="Q89" s="167"/>
      <c r="R89" s="167"/>
      <c r="S89" s="167"/>
      <c r="T89" s="634" t="b">
        <f t="shared" si="12"/>
        <v>1</v>
      </c>
      <c r="U89" s="167"/>
      <c r="V89" s="167"/>
      <c r="W89" s="167"/>
      <c r="X89" s="1547"/>
      <c r="Y89" s="167"/>
      <c r="Z89" s="1547"/>
      <c r="AA89" s="167"/>
      <c r="AB89" s="255" t="str">
        <f t="shared" si="13"/>
        <v>2032 год</v>
      </c>
      <c r="AC89" s="370"/>
      <c r="AD89" s="16">
        <f ca="1">IFERROR(SUMIFS(INDEX('Операционные (5.2)'!$AT$26:$BC$45,,MATCH($H89,'Операционные (5.2)'!$AT$6:$BC$6,0)),'Операционные (5.2)'!$F$26:$F$45,$F89,'Операционные (5.2)'!$G$26:$G$45,"ИОР"),0)</f>
        <v>1</v>
      </c>
      <c r="AE89" s="90"/>
      <c r="AF89" s="90"/>
      <c r="AG89" s="90"/>
      <c r="AH89" s="90"/>
      <c r="AI89" s="90"/>
      <c r="AJ89" s="91">
        <f>IFERROR(SUMIFS(INDEX('Баланс ТН'!$AE$26:$BB$100,,MATCH($H89&amp;"Принято органом регулирования",'Баланс ТН'!$AE$8:$BB$8,0)),'Баланс ТН'!$Q$26:$Q$100,$F89,'Баланс ТН'!$AC$26:$AC$100,"Уровень потерь воды"),0)</f>
        <v>0</v>
      </c>
      <c r="AK89" s="167"/>
      <c r="AL89" s="167"/>
      <c r="AM89" s="167"/>
      <c r="AN89" s="943">
        <f t="shared" si="14"/>
        <v>2032</v>
      </c>
    </row>
    <row r="90" spans="1:40" s="1289" customFormat="1" ht="16.5" hidden="1" customHeight="1">
      <c r="A90" s="167"/>
      <c r="B90" s="741" t="b">
        <f t="shared" si="10"/>
        <v>0</v>
      </c>
      <c r="C90" s="167"/>
      <c r="D90" s="167"/>
      <c r="E90" s="623">
        <v>17.100000000000001</v>
      </c>
      <c r="F90" s="734" t="str">
        <f t="shared" si="11"/>
        <v>1</v>
      </c>
      <c r="G90" s="167"/>
      <c r="H90" s="165">
        <f>first_year+9</f>
        <v>2033</v>
      </c>
      <c r="I90" s="167"/>
      <c r="J90" s="167"/>
      <c r="K90" s="167"/>
      <c r="L90" s="167"/>
      <c r="M90" s="167"/>
      <c r="N90" s="167"/>
      <c r="O90" s="167"/>
      <c r="P90" s="167"/>
      <c r="Q90" s="167"/>
      <c r="R90" s="167"/>
      <c r="S90" s="167"/>
      <c r="T90" s="634" t="b">
        <f t="shared" si="12"/>
        <v>1</v>
      </c>
      <c r="U90" s="167"/>
      <c r="V90" s="167"/>
      <c r="W90" s="167"/>
      <c r="X90" s="1547"/>
      <c r="Y90" s="167"/>
      <c r="Z90" s="1547"/>
      <c r="AA90" s="167"/>
      <c r="AB90" s="255" t="str">
        <f t="shared" si="13"/>
        <v>2033 год</v>
      </c>
      <c r="AC90" s="370"/>
      <c r="AD90" s="16">
        <f ca="1">IFERROR(SUMIFS(INDEX('Операционные (5.2)'!$AT$26:$BC$45,,MATCH($H90,'Операционные (5.2)'!$AT$6:$BC$6,0)),'Операционные (5.2)'!$F$26:$F$45,$F90,'Операционные (5.2)'!$G$26:$G$45,"ИОР"),0)</f>
        <v>1</v>
      </c>
      <c r="AE90" s="90"/>
      <c r="AF90" s="90"/>
      <c r="AG90" s="90"/>
      <c r="AH90" s="90"/>
      <c r="AI90" s="90"/>
      <c r="AJ90" s="91">
        <f>IFERROR(SUMIFS(INDEX('Баланс ТН'!$AE$26:$BB$100,,MATCH($H90&amp;"Принято органом регулирования",'Баланс ТН'!$AE$8:$BB$8,0)),'Баланс ТН'!$Q$26:$Q$100,$F90,'Баланс ТН'!$AC$26:$AC$100,"Уровень потерь воды"),0)</f>
        <v>0</v>
      </c>
      <c r="AK90" s="167"/>
      <c r="AL90" s="167"/>
      <c r="AM90" s="167"/>
      <c r="AN90" s="943">
        <f t="shared" si="14"/>
        <v>2033</v>
      </c>
    </row>
    <row r="91" spans="1:40" s="1290" customFormat="1" ht="16.5" hidden="1" customHeight="1">
      <c r="A91" s="167"/>
      <c r="B91" s="741" t="b">
        <f t="shared" si="10"/>
        <v>0</v>
      </c>
      <c r="C91" s="167"/>
      <c r="D91" s="167"/>
      <c r="E91" s="623">
        <v>17.100000000000001</v>
      </c>
      <c r="F91" s="734" t="str">
        <f t="shared" si="11"/>
        <v>1</v>
      </c>
      <c r="G91" s="167"/>
      <c r="H91" s="165">
        <f>first_year+10</f>
        <v>2034</v>
      </c>
      <c r="I91" s="167"/>
      <c r="J91" s="167"/>
      <c r="K91" s="167"/>
      <c r="L91" s="167"/>
      <c r="M91" s="167"/>
      <c r="N91" s="167"/>
      <c r="O91" s="167"/>
      <c r="P91" s="167"/>
      <c r="Q91" s="167"/>
      <c r="R91" s="167"/>
      <c r="S91" s="167"/>
      <c r="T91" s="634" t="b">
        <f t="shared" si="12"/>
        <v>1</v>
      </c>
      <c r="U91" s="167"/>
      <c r="V91" s="167"/>
      <c r="W91" s="167"/>
      <c r="X91" s="1547"/>
      <c r="Y91" s="167"/>
      <c r="Z91" s="1547"/>
      <c r="AA91" s="167"/>
      <c r="AB91" s="255" t="str">
        <f t="shared" si="13"/>
        <v>2034 год</v>
      </c>
      <c r="AC91" s="370"/>
      <c r="AD91" s="90"/>
      <c r="AE91" s="90"/>
      <c r="AF91" s="90"/>
      <c r="AG91" s="90"/>
      <c r="AH91" s="90"/>
      <c r="AI91" s="90"/>
      <c r="AJ91" s="91"/>
      <c r="AK91" s="167"/>
      <c r="AL91" s="167"/>
      <c r="AM91" s="167"/>
      <c r="AN91" s="943">
        <f t="shared" si="14"/>
        <v>2034</v>
      </c>
    </row>
    <row r="92" spans="1:40" s="1291" customFormat="1" ht="16.5" hidden="1" customHeight="1">
      <c r="A92" s="167"/>
      <c r="B92" s="741" t="b">
        <f t="shared" si="10"/>
        <v>0</v>
      </c>
      <c r="C92" s="167"/>
      <c r="D92" s="167"/>
      <c r="E92" s="623">
        <v>17.100000000000001</v>
      </c>
      <c r="F92" s="734" t="str">
        <f t="shared" si="11"/>
        <v>1</v>
      </c>
      <c r="G92" s="167"/>
      <c r="H92" s="165">
        <f>first_year+11</f>
        <v>2035</v>
      </c>
      <c r="I92" s="167"/>
      <c r="J92" s="167"/>
      <c r="K92" s="167"/>
      <c r="L92" s="167"/>
      <c r="M92" s="167"/>
      <c r="N92" s="167"/>
      <c r="O92" s="167"/>
      <c r="P92" s="167"/>
      <c r="Q92" s="167"/>
      <c r="R92" s="167"/>
      <c r="S92" s="167"/>
      <c r="T92" s="634" t="b">
        <f t="shared" si="12"/>
        <v>1</v>
      </c>
      <c r="U92" s="167"/>
      <c r="V92" s="167"/>
      <c r="W92" s="167"/>
      <c r="X92" s="1547"/>
      <c r="Y92" s="167"/>
      <c r="Z92" s="1547"/>
      <c r="AA92" s="167"/>
      <c r="AB92" s="255" t="str">
        <f t="shared" si="13"/>
        <v>2035 год</v>
      </c>
      <c r="AC92" s="370"/>
      <c r="AD92" s="90"/>
      <c r="AE92" s="90"/>
      <c r="AF92" s="90"/>
      <c r="AG92" s="90"/>
      <c r="AH92" s="90"/>
      <c r="AI92" s="90"/>
      <c r="AJ92" s="91"/>
      <c r="AK92" s="167"/>
      <c r="AL92" s="167"/>
      <c r="AM92" s="167"/>
      <c r="AN92" s="943">
        <f t="shared" si="14"/>
        <v>2035</v>
      </c>
    </row>
    <row r="93" spans="1:40" s="1292" customFormat="1" ht="16.5" hidden="1" customHeight="1">
      <c r="A93" s="167"/>
      <c r="B93" s="741" t="b">
        <f t="shared" si="10"/>
        <v>0</v>
      </c>
      <c r="C93" s="167"/>
      <c r="D93" s="167"/>
      <c r="E93" s="623">
        <v>17.100000000000001</v>
      </c>
      <c r="F93" s="734" t="str">
        <f t="shared" si="11"/>
        <v>1</v>
      </c>
      <c r="G93" s="167"/>
      <c r="H93" s="165">
        <f>first_year+12</f>
        <v>2036</v>
      </c>
      <c r="I93" s="167"/>
      <c r="J93" s="167"/>
      <c r="K93" s="167"/>
      <c r="L93" s="167"/>
      <c r="M93" s="167"/>
      <c r="N93" s="167"/>
      <c r="O93" s="167"/>
      <c r="P93" s="167"/>
      <c r="Q93" s="167"/>
      <c r="R93" s="167"/>
      <c r="S93" s="167"/>
      <c r="T93" s="634" t="b">
        <f t="shared" si="12"/>
        <v>1</v>
      </c>
      <c r="U93" s="167"/>
      <c r="V93" s="167"/>
      <c r="W93" s="167"/>
      <c r="X93" s="1547"/>
      <c r="Y93" s="167"/>
      <c r="Z93" s="1547"/>
      <c r="AA93" s="167"/>
      <c r="AB93" s="255" t="str">
        <f t="shared" si="13"/>
        <v>2036 год</v>
      </c>
      <c r="AC93" s="370"/>
      <c r="AD93" s="90"/>
      <c r="AE93" s="90"/>
      <c r="AF93" s="90"/>
      <c r="AG93" s="90"/>
      <c r="AH93" s="90"/>
      <c r="AI93" s="90"/>
      <c r="AJ93" s="91"/>
      <c r="AK93" s="167"/>
      <c r="AL93" s="167"/>
      <c r="AM93" s="167"/>
      <c r="AN93" s="943">
        <f t="shared" si="14"/>
        <v>2036</v>
      </c>
    </row>
    <row r="94" spans="1:40" s="1293" customFormat="1" ht="16.5" hidden="1" customHeight="1">
      <c r="A94" s="167"/>
      <c r="B94" s="741" t="b">
        <f t="shared" si="10"/>
        <v>0</v>
      </c>
      <c r="C94" s="167"/>
      <c r="D94" s="167"/>
      <c r="E94" s="623">
        <v>17.100000000000001</v>
      </c>
      <c r="F94" s="734" t="str">
        <f t="shared" si="11"/>
        <v>1</v>
      </c>
      <c r="G94" s="167"/>
      <c r="H94" s="165">
        <f>first_year+13</f>
        <v>2037</v>
      </c>
      <c r="I94" s="167"/>
      <c r="J94" s="167"/>
      <c r="K94" s="167"/>
      <c r="L94" s="167"/>
      <c r="M94" s="167"/>
      <c r="N94" s="167"/>
      <c r="O94" s="167"/>
      <c r="P94" s="167"/>
      <c r="Q94" s="167"/>
      <c r="R94" s="167"/>
      <c r="S94" s="167"/>
      <c r="T94" s="634" t="b">
        <f t="shared" si="12"/>
        <v>1</v>
      </c>
      <c r="U94" s="167"/>
      <c r="V94" s="167"/>
      <c r="W94" s="167"/>
      <c r="X94" s="1547"/>
      <c r="Y94" s="167"/>
      <c r="Z94" s="1547"/>
      <c r="AA94" s="167"/>
      <c r="AB94" s="255" t="str">
        <f t="shared" si="13"/>
        <v>2037 год</v>
      </c>
      <c r="AC94" s="370"/>
      <c r="AD94" s="90"/>
      <c r="AE94" s="90"/>
      <c r="AF94" s="90"/>
      <c r="AG94" s="90"/>
      <c r="AH94" s="90"/>
      <c r="AI94" s="90"/>
      <c r="AJ94" s="91"/>
      <c r="AK94" s="167"/>
      <c r="AL94" s="167"/>
      <c r="AM94" s="167"/>
      <c r="AN94" s="943">
        <f t="shared" si="14"/>
        <v>2037</v>
      </c>
    </row>
    <row r="95" spans="1:40" s="1294" customFormat="1" ht="16.5" hidden="1" customHeight="1">
      <c r="A95" s="167"/>
      <c r="B95" s="741" t="b">
        <f t="shared" si="10"/>
        <v>0</v>
      </c>
      <c r="C95" s="167"/>
      <c r="D95" s="167"/>
      <c r="E95" s="623">
        <v>17.100000000000001</v>
      </c>
      <c r="F95" s="734" t="str">
        <f t="shared" si="11"/>
        <v>1</v>
      </c>
      <c r="G95" s="167"/>
      <c r="H95" s="165">
        <f>first_year+14</f>
        <v>2038</v>
      </c>
      <c r="I95" s="167"/>
      <c r="J95" s="167"/>
      <c r="K95" s="167"/>
      <c r="L95" s="167"/>
      <c r="M95" s="167"/>
      <c r="N95" s="167"/>
      <c r="O95" s="167"/>
      <c r="P95" s="167"/>
      <c r="Q95" s="167"/>
      <c r="R95" s="167"/>
      <c r="S95" s="167"/>
      <c r="T95" s="634" t="b">
        <f t="shared" si="12"/>
        <v>1</v>
      </c>
      <c r="U95" s="167"/>
      <c r="V95" s="167"/>
      <c r="W95" s="167"/>
      <c r="X95" s="1547"/>
      <c r="Y95" s="167"/>
      <c r="Z95" s="1547"/>
      <c r="AA95" s="167"/>
      <c r="AB95" s="255" t="str">
        <f t="shared" si="13"/>
        <v>2038 год</v>
      </c>
      <c r="AC95" s="370"/>
      <c r="AD95" s="90"/>
      <c r="AE95" s="90"/>
      <c r="AF95" s="90"/>
      <c r="AG95" s="90"/>
      <c r="AH95" s="90"/>
      <c r="AI95" s="90"/>
      <c r="AJ95" s="91"/>
      <c r="AK95" s="167"/>
      <c r="AL95" s="167"/>
      <c r="AM95" s="167"/>
      <c r="AN95" s="943">
        <f t="shared" si="14"/>
        <v>2038</v>
      </c>
    </row>
    <row r="96" spans="1:40" s="1295" customFormat="1" ht="16.5" hidden="1" customHeight="1">
      <c r="A96" s="167"/>
      <c r="B96" s="741" t="b">
        <f t="shared" si="10"/>
        <v>0</v>
      </c>
      <c r="C96" s="167"/>
      <c r="D96" s="167"/>
      <c r="E96" s="623">
        <v>17.100000000000001</v>
      </c>
      <c r="F96" s="734" t="str">
        <f t="shared" si="11"/>
        <v>1</v>
      </c>
      <c r="G96" s="167"/>
      <c r="H96" s="165">
        <f>first_year+15</f>
        <v>2039</v>
      </c>
      <c r="I96" s="167"/>
      <c r="J96" s="167"/>
      <c r="K96" s="167"/>
      <c r="L96" s="167"/>
      <c r="M96" s="167"/>
      <c r="N96" s="167"/>
      <c r="O96" s="167"/>
      <c r="P96" s="167"/>
      <c r="Q96" s="167"/>
      <c r="R96" s="167"/>
      <c r="S96" s="167"/>
      <c r="T96" s="634" t="b">
        <f t="shared" si="12"/>
        <v>1</v>
      </c>
      <c r="U96" s="167"/>
      <c r="V96" s="167"/>
      <c r="W96" s="167"/>
      <c r="X96" s="1547"/>
      <c r="Y96" s="167"/>
      <c r="Z96" s="1547"/>
      <c r="AA96" s="167"/>
      <c r="AB96" s="255" t="str">
        <f t="shared" si="13"/>
        <v>2039 год</v>
      </c>
      <c r="AC96" s="370"/>
      <c r="AD96" s="90"/>
      <c r="AE96" s="90"/>
      <c r="AF96" s="90"/>
      <c r="AG96" s="90"/>
      <c r="AH96" s="90"/>
      <c r="AI96" s="90"/>
      <c r="AJ96" s="91"/>
      <c r="AK96" s="167"/>
      <c r="AL96" s="167"/>
      <c r="AM96" s="167"/>
      <c r="AN96" s="943">
        <f t="shared" si="14"/>
        <v>2039</v>
      </c>
    </row>
    <row r="97" spans="1:40" s="1296" customFormat="1" ht="16.5" hidden="1" customHeight="1">
      <c r="A97" s="167"/>
      <c r="B97" s="741" t="b">
        <f t="shared" si="10"/>
        <v>0</v>
      </c>
      <c r="C97" s="167"/>
      <c r="D97" s="167"/>
      <c r="E97" s="623">
        <v>17.100000000000001</v>
      </c>
      <c r="F97" s="734" t="str">
        <f t="shared" si="11"/>
        <v>1</v>
      </c>
      <c r="G97" s="167"/>
      <c r="H97" s="165">
        <f>first_year+16</f>
        <v>2040</v>
      </c>
      <c r="I97" s="167"/>
      <c r="J97" s="167"/>
      <c r="K97" s="167"/>
      <c r="L97" s="167"/>
      <c r="M97" s="167"/>
      <c r="N97" s="167"/>
      <c r="O97" s="167"/>
      <c r="P97" s="167"/>
      <c r="Q97" s="167"/>
      <c r="R97" s="167"/>
      <c r="S97" s="167"/>
      <c r="T97" s="634" t="b">
        <f t="shared" si="12"/>
        <v>1</v>
      </c>
      <c r="U97" s="167"/>
      <c r="V97" s="167"/>
      <c r="W97" s="167"/>
      <c r="X97" s="1547"/>
      <c r="Y97" s="167"/>
      <c r="Z97" s="1547"/>
      <c r="AA97" s="167"/>
      <c r="AB97" s="255" t="str">
        <f t="shared" si="13"/>
        <v>2040 год</v>
      </c>
      <c r="AC97" s="370"/>
      <c r="AD97" s="90"/>
      <c r="AE97" s="90"/>
      <c r="AF97" s="90"/>
      <c r="AG97" s="90"/>
      <c r="AH97" s="90"/>
      <c r="AI97" s="90"/>
      <c r="AJ97" s="91"/>
      <c r="AK97" s="167"/>
      <c r="AL97" s="167"/>
      <c r="AM97" s="167"/>
      <c r="AN97" s="943">
        <f t="shared" si="14"/>
        <v>2040</v>
      </c>
    </row>
    <row r="98" spans="1:40" s="1297" customFormat="1" ht="16.5" hidden="1" customHeight="1">
      <c r="A98" s="167"/>
      <c r="B98" s="741" t="b">
        <f t="shared" si="10"/>
        <v>0</v>
      </c>
      <c r="C98" s="167"/>
      <c r="D98" s="167"/>
      <c r="E98" s="623">
        <v>17.100000000000001</v>
      </c>
      <c r="F98" s="734" t="str">
        <f t="shared" si="11"/>
        <v>1</v>
      </c>
      <c r="G98" s="167"/>
      <c r="H98" s="165">
        <f>first_year+17</f>
        <v>2041</v>
      </c>
      <c r="I98" s="167"/>
      <c r="J98" s="167"/>
      <c r="K98" s="167"/>
      <c r="L98" s="167"/>
      <c r="M98" s="167"/>
      <c r="N98" s="167"/>
      <c r="O98" s="167"/>
      <c r="P98" s="167"/>
      <c r="Q98" s="167"/>
      <c r="R98" s="167"/>
      <c r="S98" s="167"/>
      <c r="T98" s="634" t="b">
        <f t="shared" si="12"/>
        <v>1</v>
      </c>
      <c r="U98" s="167"/>
      <c r="V98" s="167"/>
      <c r="W98" s="167"/>
      <c r="X98" s="1547"/>
      <c r="Y98" s="167"/>
      <c r="Z98" s="1547"/>
      <c r="AA98" s="167"/>
      <c r="AB98" s="255" t="str">
        <f t="shared" si="13"/>
        <v>2041 год</v>
      </c>
      <c r="AC98" s="370"/>
      <c r="AD98" s="90"/>
      <c r="AE98" s="90"/>
      <c r="AF98" s="90"/>
      <c r="AG98" s="90"/>
      <c r="AH98" s="90"/>
      <c r="AI98" s="90"/>
      <c r="AJ98" s="91"/>
      <c r="AK98" s="167"/>
      <c r="AL98" s="167"/>
      <c r="AM98" s="167"/>
      <c r="AN98" s="943">
        <f t="shared" si="14"/>
        <v>2041</v>
      </c>
    </row>
    <row r="99" spans="1:40" s="1298" customFormat="1" ht="16.5" hidden="1" customHeight="1">
      <c r="A99" s="167"/>
      <c r="B99" s="741" t="b">
        <f t="shared" si="10"/>
        <v>0</v>
      </c>
      <c r="C99" s="167"/>
      <c r="D99" s="167"/>
      <c r="E99" s="623">
        <v>17.100000000000001</v>
      </c>
      <c r="F99" s="734" t="str">
        <f t="shared" si="11"/>
        <v>1</v>
      </c>
      <c r="G99" s="167"/>
      <c r="H99" s="165">
        <f>first_year+18</f>
        <v>2042</v>
      </c>
      <c r="I99" s="167"/>
      <c r="J99" s="167"/>
      <c r="K99" s="167"/>
      <c r="L99" s="167"/>
      <c r="M99" s="167"/>
      <c r="N99" s="167"/>
      <c r="O99" s="167"/>
      <c r="P99" s="167"/>
      <c r="Q99" s="167"/>
      <c r="R99" s="167"/>
      <c r="S99" s="167"/>
      <c r="T99" s="634" t="b">
        <f t="shared" si="12"/>
        <v>1</v>
      </c>
      <c r="U99" s="167"/>
      <c r="V99" s="167"/>
      <c r="W99" s="167"/>
      <c r="X99" s="1547"/>
      <c r="Y99" s="167"/>
      <c r="Z99" s="1547"/>
      <c r="AA99" s="167"/>
      <c r="AB99" s="255" t="str">
        <f t="shared" si="13"/>
        <v>2042 год</v>
      </c>
      <c r="AC99" s="370"/>
      <c r="AD99" s="90"/>
      <c r="AE99" s="90"/>
      <c r="AF99" s="90"/>
      <c r="AG99" s="90"/>
      <c r="AH99" s="90"/>
      <c r="AI99" s="90"/>
      <c r="AJ99" s="91"/>
      <c r="AK99" s="167"/>
      <c r="AL99" s="167"/>
      <c r="AM99" s="167"/>
      <c r="AN99" s="943">
        <f t="shared" si="14"/>
        <v>2042</v>
      </c>
    </row>
    <row r="100" spans="1:40" s="1299" customFormat="1" ht="16.5" hidden="1" customHeight="1">
      <c r="A100" s="167"/>
      <c r="B100" s="741" t="b">
        <f t="shared" si="10"/>
        <v>0</v>
      </c>
      <c r="C100" s="167"/>
      <c r="D100" s="167"/>
      <c r="E100" s="623">
        <v>17.100000000000001</v>
      </c>
      <c r="F100" s="734" t="str">
        <f t="shared" si="11"/>
        <v>1</v>
      </c>
      <c r="G100" s="167"/>
      <c r="H100" s="165">
        <f>first_year+19</f>
        <v>2043</v>
      </c>
      <c r="I100" s="167"/>
      <c r="J100" s="167"/>
      <c r="K100" s="167"/>
      <c r="L100" s="167"/>
      <c r="M100" s="167"/>
      <c r="N100" s="167"/>
      <c r="O100" s="167"/>
      <c r="P100" s="167"/>
      <c r="Q100" s="167"/>
      <c r="R100" s="167"/>
      <c r="S100" s="167"/>
      <c r="T100" s="634" t="b">
        <f t="shared" si="12"/>
        <v>1</v>
      </c>
      <c r="U100" s="167"/>
      <c r="V100" s="167"/>
      <c r="W100" s="167"/>
      <c r="X100" s="1547"/>
      <c r="Y100" s="167"/>
      <c r="Z100" s="1547"/>
      <c r="AA100" s="167"/>
      <c r="AB100" s="255" t="str">
        <f t="shared" si="13"/>
        <v>2043 год</v>
      </c>
      <c r="AC100" s="370"/>
      <c r="AD100" s="90"/>
      <c r="AE100" s="90"/>
      <c r="AF100" s="90"/>
      <c r="AG100" s="90"/>
      <c r="AH100" s="90"/>
      <c r="AI100" s="90"/>
      <c r="AJ100" s="91"/>
      <c r="AK100" s="167"/>
      <c r="AL100" s="167"/>
      <c r="AM100" s="167"/>
      <c r="AN100" s="943">
        <f t="shared" si="14"/>
        <v>2043</v>
      </c>
    </row>
    <row r="101" spans="1:40" s="1300" customFormat="1" ht="16.5" hidden="1" customHeight="1">
      <c r="A101" s="167"/>
      <c r="B101" s="741" t="b">
        <f t="shared" si="10"/>
        <v>0</v>
      </c>
      <c r="C101" s="167"/>
      <c r="D101" s="167"/>
      <c r="E101" s="623">
        <v>17.100000000000001</v>
      </c>
      <c r="F101" s="734" t="str">
        <f t="shared" si="11"/>
        <v>1</v>
      </c>
      <c r="G101" s="167"/>
      <c r="H101" s="165">
        <f>first_year+20</f>
        <v>2044</v>
      </c>
      <c r="I101" s="167"/>
      <c r="J101" s="167"/>
      <c r="K101" s="167"/>
      <c r="L101" s="167"/>
      <c r="M101" s="167"/>
      <c r="N101" s="167"/>
      <c r="O101" s="167"/>
      <c r="P101" s="167"/>
      <c r="Q101" s="167"/>
      <c r="R101" s="167"/>
      <c r="S101" s="167"/>
      <c r="T101" s="634" t="b">
        <f t="shared" si="12"/>
        <v>1</v>
      </c>
      <c r="U101" s="167"/>
      <c r="V101" s="167"/>
      <c r="W101" s="167"/>
      <c r="X101" s="1547"/>
      <c r="Y101" s="167"/>
      <c r="Z101" s="1547"/>
      <c r="AA101" s="167"/>
      <c r="AB101" s="255" t="str">
        <f t="shared" si="13"/>
        <v>2044 год</v>
      </c>
      <c r="AC101" s="370"/>
      <c r="AD101" s="90"/>
      <c r="AE101" s="90"/>
      <c r="AF101" s="90"/>
      <c r="AG101" s="90"/>
      <c r="AH101" s="90"/>
      <c r="AI101" s="90"/>
      <c r="AJ101" s="91"/>
      <c r="AK101" s="167"/>
      <c r="AL101" s="167"/>
      <c r="AM101" s="167"/>
      <c r="AN101" s="943">
        <f t="shared" si="14"/>
        <v>2044</v>
      </c>
    </row>
    <row r="102" spans="1:40" s="1301" customFormat="1" ht="16.5" hidden="1" customHeight="1">
      <c r="A102" s="167"/>
      <c r="B102" s="741" t="b">
        <f t="shared" si="10"/>
        <v>0</v>
      </c>
      <c r="C102" s="167"/>
      <c r="D102" s="167"/>
      <c r="E102" s="623">
        <v>17.100000000000001</v>
      </c>
      <c r="F102" s="734" t="str">
        <f t="shared" si="11"/>
        <v>1</v>
      </c>
      <c r="G102" s="167"/>
      <c r="H102" s="165">
        <f>first_year+21</f>
        <v>2045</v>
      </c>
      <c r="I102" s="167"/>
      <c r="J102" s="167"/>
      <c r="K102" s="167"/>
      <c r="L102" s="167"/>
      <c r="M102" s="167"/>
      <c r="N102" s="167"/>
      <c r="O102" s="167"/>
      <c r="P102" s="167"/>
      <c r="Q102" s="167"/>
      <c r="R102" s="167"/>
      <c r="S102" s="167"/>
      <c r="T102" s="634" t="b">
        <f t="shared" si="12"/>
        <v>1</v>
      </c>
      <c r="U102" s="167"/>
      <c r="V102" s="167"/>
      <c r="W102" s="167"/>
      <c r="X102" s="1547"/>
      <c r="Y102" s="167"/>
      <c r="Z102" s="1547"/>
      <c r="AA102" s="167"/>
      <c r="AB102" s="255" t="str">
        <f t="shared" si="13"/>
        <v>2045 год</v>
      </c>
      <c r="AC102" s="370"/>
      <c r="AD102" s="90"/>
      <c r="AE102" s="90"/>
      <c r="AF102" s="90"/>
      <c r="AG102" s="90"/>
      <c r="AH102" s="90"/>
      <c r="AI102" s="90"/>
      <c r="AJ102" s="91"/>
      <c r="AK102" s="167"/>
      <c r="AL102" s="167"/>
      <c r="AM102" s="167"/>
      <c r="AN102" s="943">
        <f t="shared" si="14"/>
        <v>2045</v>
      </c>
    </row>
    <row r="103" spans="1:40" s="1302" customFormat="1" ht="16.5" hidden="1" customHeight="1">
      <c r="A103" s="167"/>
      <c r="B103" s="741" t="b">
        <f t="shared" si="10"/>
        <v>0</v>
      </c>
      <c r="C103" s="167"/>
      <c r="D103" s="167"/>
      <c r="E103" s="623">
        <v>17.100000000000001</v>
      </c>
      <c r="F103" s="734" t="str">
        <f t="shared" si="11"/>
        <v>1</v>
      </c>
      <c r="G103" s="167"/>
      <c r="H103" s="165">
        <f>first_year+22</f>
        <v>2046</v>
      </c>
      <c r="I103" s="167"/>
      <c r="J103" s="167"/>
      <c r="K103" s="167"/>
      <c r="L103" s="167"/>
      <c r="M103" s="167"/>
      <c r="N103" s="167"/>
      <c r="O103" s="167"/>
      <c r="P103" s="167"/>
      <c r="Q103" s="167"/>
      <c r="R103" s="167"/>
      <c r="S103" s="167"/>
      <c r="T103" s="634" t="b">
        <f t="shared" si="12"/>
        <v>1</v>
      </c>
      <c r="U103" s="167"/>
      <c r="V103" s="167"/>
      <c r="W103" s="167"/>
      <c r="X103" s="1547"/>
      <c r="Y103" s="167"/>
      <c r="Z103" s="1547"/>
      <c r="AA103" s="167"/>
      <c r="AB103" s="255" t="str">
        <f t="shared" si="13"/>
        <v>2046 год</v>
      </c>
      <c r="AC103" s="370"/>
      <c r="AD103" s="90"/>
      <c r="AE103" s="90"/>
      <c r="AF103" s="90"/>
      <c r="AG103" s="90"/>
      <c r="AH103" s="90"/>
      <c r="AI103" s="90"/>
      <c r="AJ103" s="91"/>
      <c r="AK103" s="167"/>
      <c r="AL103" s="167"/>
      <c r="AM103" s="167"/>
      <c r="AN103" s="943">
        <f t="shared" si="14"/>
        <v>2046</v>
      </c>
    </row>
    <row r="104" spans="1:40" s="1303" customFormat="1" ht="16.5" hidden="1" customHeight="1">
      <c r="A104" s="167"/>
      <c r="B104" s="741" t="b">
        <f t="shared" si="10"/>
        <v>0</v>
      </c>
      <c r="C104" s="167"/>
      <c r="D104" s="167"/>
      <c r="E104" s="623">
        <v>17.100000000000001</v>
      </c>
      <c r="F104" s="734" t="str">
        <f t="shared" si="11"/>
        <v>1</v>
      </c>
      <c r="G104" s="167"/>
      <c r="H104" s="165">
        <f>first_year+23</f>
        <v>2047</v>
      </c>
      <c r="I104" s="167"/>
      <c r="J104" s="167"/>
      <c r="K104" s="167"/>
      <c r="L104" s="167"/>
      <c r="M104" s="167"/>
      <c r="N104" s="167"/>
      <c r="O104" s="167"/>
      <c r="P104" s="167"/>
      <c r="Q104" s="167"/>
      <c r="R104" s="167"/>
      <c r="S104" s="167"/>
      <c r="T104" s="634" t="b">
        <f t="shared" si="12"/>
        <v>1</v>
      </c>
      <c r="U104" s="167"/>
      <c r="V104" s="167"/>
      <c r="W104" s="167"/>
      <c r="X104" s="1547"/>
      <c r="Y104" s="167"/>
      <c r="Z104" s="1547"/>
      <c r="AA104" s="167"/>
      <c r="AB104" s="255" t="str">
        <f t="shared" si="13"/>
        <v>2047 год</v>
      </c>
      <c r="AC104" s="370"/>
      <c r="AD104" s="90"/>
      <c r="AE104" s="90"/>
      <c r="AF104" s="90"/>
      <c r="AG104" s="90"/>
      <c r="AH104" s="90"/>
      <c r="AI104" s="90"/>
      <c r="AJ104" s="91"/>
      <c r="AK104" s="167"/>
      <c r="AL104" s="167"/>
      <c r="AM104" s="167"/>
      <c r="AN104" s="943">
        <f t="shared" si="14"/>
        <v>2047</v>
      </c>
    </row>
    <row r="105" spans="1:40" s="1304" customFormat="1" ht="16.5" hidden="1" customHeight="1">
      <c r="A105" s="167"/>
      <c r="B105" s="741" t="b">
        <f t="shared" si="10"/>
        <v>0</v>
      </c>
      <c r="C105" s="167"/>
      <c r="D105" s="167"/>
      <c r="E105" s="623">
        <v>17.100000000000001</v>
      </c>
      <c r="F105" s="734" t="str">
        <f t="shared" si="11"/>
        <v>1</v>
      </c>
      <c r="G105" s="167"/>
      <c r="H105" s="165">
        <f>first_year+24</f>
        <v>2048</v>
      </c>
      <c r="I105" s="167"/>
      <c r="J105" s="167"/>
      <c r="K105" s="167"/>
      <c r="L105" s="167"/>
      <c r="M105" s="167"/>
      <c r="N105" s="167"/>
      <c r="O105" s="167"/>
      <c r="P105" s="167"/>
      <c r="Q105" s="167"/>
      <c r="R105" s="167"/>
      <c r="S105" s="167"/>
      <c r="T105" s="634" t="b">
        <f t="shared" si="12"/>
        <v>1</v>
      </c>
      <c r="U105" s="167"/>
      <c r="V105" s="167"/>
      <c r="W105" s="167"/>
      <c r="X105" s="1547"/>
      <c r="Y105" s="167"/>
      <c r="Z105" s="1547"/>
      <c r="AA105" s="167"/>
      <c r="AB105" s="255" t="str">
        <f t="shared" si="13"/>
        <v>2048 год</v>
      </c>
      <c r="AC105" s="370"/>
      <c r="AD105" s="90"/>
      <c r="AE105" s="90"/>
      <c r="AF105" s="90"/>
      <c r="AG105" s="90"/>
      <c r="AH105" s="90"/>
      <c r="AI105" s="90"/>
      <c r="AJ105" s="91"/>
      <c r="AK105" s="167"/>
      <c r="AL105" s="167"/>
      <c r="AM105" s="167"/>
      <c r="AN105" s="943">
        <f t="shared" si="14"/>
        <v>2048</v>
      </c>
    </row>
    <row r="106" spans="1:40" s="1305" customFormat="1" ht="16.5" hidden="1" customHeight="1">
      <c r="A106" s="167"/>
      <c r="B106" s="741" t="b">
        <f t="shared" si="10"/>
        <v>0</v>
      </c>
      <c r="C106" s="167"/>
      <c r="D106" s="167"/>
      <c r="E106" s="623">
        <v>17.100000000000001</v>
      </c>
      <c r="F106" s="734" t="str">
        <f t="shared" si="11"/>
        <v>1</v>
      </c>
      <c r="G106" s="167"/>
      <c r="H106" s="165">
        <f>first_year+25</f>
        <v>2049</v>
      </c>
      <c r="I106" s="167"/>
      <c r="J106" s="167"/>
      <c r="K106" s="167"/>
      <c r="L106" s="167"/>
      <c r="M106" s="167"/>
      <c r="N106" s="167"/>
      <c r="O106" s="167"/>
      <c r="P106" s="167"/>
      <c r="Q106" s="167"/>
      <c r="R106" s="167"/>
      <c r="S106" s="167"/>
      <c r="T106" s="634" t="b">
        <f t="shared" si="12"/>
        <v>1</v>
      </c>
      <c r="U106" s="167"/>
      <c r="V106" s="167"/>
      <c r="W106" s="167"/>
      <c r="X106" s="1547"/>
      <c r="Y106" s="167"/>
      <c r="Z106" s="1547"/>
      <c r="AA106" s="167"/>
      <c r="AB106" s="255" t="str">
        <f t="shared" si="13"/>
        <v>2049 год</v>
      </c>
      <c r="AC106" s="370"/>
      <c r="AD106" s="90"/>
      <c r="AE106" s="90"/>
      <c r="AF106" s="90"/>
      <c r="AG106" s="90"/>
      <c r="AH106" s="90"/>
      <c r="AI106" s="90"/>
      <c r="AJ106" s="91"/>
      <c r="AK106" s="167"/>
      <c r="AL106" s="167"/>
      <c r="AM106" s="167"/>
      <c r="AN106" s="943">
        <f t="shared" si="14"/>
        <v>2049</v>
      </c>
    </row>
    <row r="107" spans="1:40" s="1306" customFormat="1" ht="16.5" hidden="1" customHeight="1">
      <c r="A107" s="167"/>
      <c r="B107" s="741" t="b">
        <f t="shared" si="10"/>
        <v>0</v>
      </c>
      <c r="C107" s="167"/>
      <c r="D107" s="167"/>
      <c r="E107" s="623">
        <v>17.100000000000001</v>
      </c>
      <c r="F107" s="734" t="str">
        <f t="shared" si="11"/>
        <v>1</v>
      </c>
      <c r="G107" s="167"/>
      <c r="H107" s="165">
        <f>first_year+26</f>
        <v>2050</v>
      </c>
      <c r="I107" s="167"/>
      <c r="J107" s="167"/>
      <c r="K107" s="167"/>
      <c r="L107" s="167"/>
      <c r="M107" s="167"/>
      <c r="N107" s="167"/>
      <c r="O107" s="167"/>
      <c r="P107" s="167"/>
      <c r="Q107" s="167"/>
      <c r="R107" s="167"/>
      <c r="S107" s="167"/>
      <c r="T107" s="634" t="b">
        <f t="shared" si="12"/>
        <v>1</v>
      </c>
      <c r="U107" s="167"/>
      <c r="V107" s="167"/>
      <c r="W107" s="167"/>
      <c r="X107" s="1547"/>
      <c r="Y107" s="167"/>
      <c r="Z107" s="1547"/>
      <c r="AA107" s="167"/>
      <c r="AB107" s="255" t="str">
        <f t="shared" si="13"/>
        <v>2050 год</v>
      </c>
      <c r="AC107" s="370"/>
      <c r="AD107" s="90"/>
      <c r="AE107" s="90"/>
      <c r="AF107" s="90"/>
      <c r="AG107" s="90"/>
      <c r="AH107" s="90"/>
      <c r="AI107" s="90"/>
      <c r="AJ107" s="91"/>
      <c r="AK107" s="167"/>
      <c r="AL107" s="167"/>
      <c r="AM107" s="167"/>
      <c r="AN107" s="943">
        <f t="shared" si="14"/>
        <v>2050</v>
      </c>
    </row>
    <row r="108" spans="1:40" s="1307" customFormat="1" ht="16.5" hidden="1" customHeight="1">
      <c r="A108" s="167"/>
      <c r="B108" s="741" t="b">
        <f t="shared" si="10"/>
        <v>0</v>
      </c>
      <c r="C108" s="167"/>
      <c r="D108" s="167"/>
      <c r="E108" s="623">
        <v>17.100000000000001</v>
      </c>
      <c r="F108" s="734" t="str">
        <f t="shared" si="11"/>
        <v>1</v>
      </c>
      <c r="G108" s="167"/>
      <c r="H108" s="165">
        <f>first_year+27</f>
        <v>2051</v>
      </c>
      <c r="I108" s="167"/>
      <c r="J108" s="167"/>
      <c r="K108" s="167"/>
      <c r="L108" s="167"/>
      <c r="M108" s="167"/>
      <c r="N108" s="167"/>
      <c r="O108" s="167"/>
      <c r="P108" s="167"/>
      <c r="Q108" s="167"/>
      <c r="R108" s="167"/>
      <c r="S108" s="167"/>
      <c r="T108" s="634" t="b">
        <f t="shared" si="12"/>
        <v>1</v>
      </c>
      <c r="U108" s="167"/>
      <c r="V108" s="167"/>
      <c r="W108" s="167"/>
      <c r="X108" s="1547"/>
      <c r="Y108" s="167"/>
      <c r="Z108" s="1547"/>
      <c r="AA108" s="167"/>
      <c r="AB108" s="255" t="str">
        <f t="shared" si="13"/>
        <v>2051 год</v>
      </c>
      <c r="AC108" s="370"/>
      <c r="AD108" s="90"/>
      <c r="AE108" s="90"/>
      <c r="AF108" s="90"/>
      <c r="AG108" s="90"/>
      <c r="AH108" s="90"/>
      <c r="AI108" s="90"/>
      <c r="AJ108" s="91"/>
      <c r="AK108" s="167"/>
      <c r="AL108" s="167"/>
      <c r="AM108" s="167"/>
      <c r="AN108" s="943">
        <f t="shared" si="14"/>
        <v>2051</v>
      </c>
    </row>
    <row r="109" spans="1:40" s="1308" customFormat="1" ht="16.5" hidden="1" customHeight="1">
      <c r="A109" s="167"/>
      <c r="B109" s="741" t="b">
        <f t="shared" si="10"/>
        <v>0</v>
      </c>
      <c r="C109" s="167"/>
      <c r="D109" s="167"/>
      <c r="E109" s="623">
        <v>17.100000000000001</v>
      </c>
      <c r="F109" s="734" t="str">
        <f t="shared" si="11"/>
        <v>1</v>
      </c>
      <c r="G109" s="167"/>
      <c r="H109" s="165">
        <f>first_year+28</f>
        <v>2052</v>
      </c>
      <c r="I109" s="167"/>
      <c r="J109" s="167"/>
      <c r="K109" s="167"/>
      <c r="L109" s="167"/>
      <c r="M109" s="167"/>
      <c r="N109" s="167"/>
      <c r="O109" s="167"/>
      <c r="P109" s="167"/>
      <c r="Q109" s="167"/>
      <c r="R109" s="167"/>
      <c r="S109" s="167"/>
      <c r="T109" s="634" t="b">
        <f t="shared" si="12"/>
        <v>1</v>
      </c>
      <c r="U109" s="167"/>
      <c r="V109" s="167"/>
      <c r="W109" s="167"/>
      <c r="X109" s="1547"/>
      <c r="Y109" s="167"/>
      <c r="Z109" s="1547"/>
      <c r="AA109" s="167"/>
      <c r="AB109" s="255" t="str">
        <f t="shared" si="13"/>
        <v>2052 год</v>
      </c>
      <c r="AC109" s="370"/>
      <c r="AD109" s="90"/>
      <c r="AE109" s="90"/>
      <c r="AF109" s="90"/>
      <c r="AG109" s="90"/>
      <c r="AH109" s="90"/>
      <c r="AI109" s="90"/>
      <c r="AJ109" s="91"/>
      <c r="AK109" s="167"/>
      <c r="AL109" s="167"/>
      <c r="AM109" s="167"/>
      <c r="AN109" s="943">
        <f t="shared" si="14"/>
        <v>2052</v>
      </c>
    </row>
    <row r="110" spans="1:40" s="1309" customFormat="1" ht="16.5" hidden="1" customHeight="1">
      <c r="A110" s="167"/>
      <c r="B110" s="741" t="b">
        <f t="shared" si="10"/>
        <v>0</v>
      </c>
      <c r="C110" s="167"/>
      <c r="D110" s="167"/>
      <c r="E110" s="623">
        <v>17.100000000000001</v>
      </c>
      <c r="F110" s="734" t="str">
        <f t="shared" si="11"/>
        <v>1</v>
      </c>
      <c r="G110" s="167"/>
      <c r="H110" s="165">
        <f>first_year+29</f>
        <v>2053</v>
      </c>
      <c r="I110" s="167"/>
      <c r="J110" s="167"/>
      <c r="K110" s="167"/>
      <c r="L110" s="167"/>
      <c r="M110" s="167"/>
      <c r="N110" s="167"/>
      <c r="O110" s="167"/>
      <c r="P110" s="167"/>
      <c r="Q110" s="167"/>
      <c r="R110" s="167"/>
      <c r="S110" s="167"/>
      <c r="T110" s="634" t="b">
        <f t="shared" si="12"/>
        <v>1</v>
      </c>
      <c r="U110" s="167"/>
      <c r="V110" s="167"/>
      <c r="W110" s="167"/>
      <c r="X110" s="1547"/>
      <c r="Y110" s="167"/>
      <c r="Z110" s="1547"/>
      <c r="AA110" s="167"/>
      <c r="AB110" s="255" t="str">
        <f t="shared" si="13"/>
        <v>2053 год</v>
      </c>
      <c r="AC110" s="370"/>
      <c r="AD110" s="90"/>
      <c r="AE110" s="90"/>
      <c r="AF110" s="90"/>
      <c r="AG110" s="90"/>
      <c r="AH110" s="90"/>
      <c r="AI110" s="90"/>
      <c r="AJ110" s="91"/>
      <c r="AK110" s="167"/>
      <c r="AL110" s="167"/>
      <c r="AM110" s="167"/>
      <c r="AN110" s="943">
        <f t="shared" si="14"/>
        <v>2053</v>
      </c>
    </row>
    <row r="111" spans="1:40" s="1310" customFormat="1" ht="16.5" hidden="1" customHeight="1">
      <c r="A111" s="167"/>
      <c r="B111" s="741" t="b">
        <f t="shared" si="10"/>
        <v>0</v>
      </c>
      <c r="C111" s="167"/>
      <c r="D111" s="167"/>
      <c r="E111" s="623">
        <v>17.100000000000001</v>
      </c>
      <c r="F111" s="734" t="str">
        <f t="shared" si="11"/>
        <v>1</v>
      </c>
      <c r="G111" s="167"/>
      <c r="H111" s="165">
        <f>first_year+30</f>
        <v>2054</v>
      </c>
      <c r="I111" s="167"/>
      <c r="J111" s="167"/>
      <c r="K111" s="167"/>
      <c r="L111" s="167"/>
      <c r="M111" s="167"/>
      <c r="N111" s="167"/>
      <c r="O111" s="167"/>
      <c r="P111" s="167"/>
      <c r="Q111" s="167"/>
      <c r="R111" s="167"/>
      <c r="S111" s="167"/>
      <c r="T111" s="634" t="b">
        <f t="shared" si="12"/>
        <v>1</v>
      </c>
      <c r="U111" s="167"/>
      <c r="V111" s="167"/>
      <c r="W111" s="167"/>
      <c r="X111" s="1547"/>
      <c r="Y111" s="167"/>
      <c r="Z111" s="1547"/>
      <c r="AA111" s="167"/>
      <c r="AB111" s="255" t="str">
        <f t="shared" si="13"/>
        <v>2054 год</v>
      </c>
      <c r="AC111" s="370"/>
      <c r="AD111" s="90"/>
      <c r="AE111" s="90"/>
      <c r="AF111" s="90"/>
      <c r="AG111" s="90"/>
      <c r="AH111" s="90"/>
      <c r="AI111" s="90"/>
      <c r="AJ111" s="91"/>
      <c r="AK111" s="167"/>
      <c r="AL111" s="167"/>
      <c r="AM111" s="167"/>
      <c r="AN111" s="943">
        <f t="shared" si="14"/>
        <v>2054</v>
      </c>
    </row>
    <row r="112" spans="1:40" s="1311" customFormat="1" ht="16.5" hidden="1" customHeight="1">
      <c r="A112" s="167"/>
      <c r="B112" s="741" t="b">
        <f t="shared" si="10"/>
        <v>0</v>
      </c>
      <c r="C112" s="167"/>
      <c r="D112" s="167"/>
      <c r="E112" s="623">
        <v>17.100000000000001</v>
      </c>
      <c r="F112" s="734" t="str">
        <f t="shared" si="11"/>
        <v>1</v>
      </c>
      <c r="G112" s="167"/>
      <c r="H112" s="165">
        <f>first_year+31</f>
        <v>2055</v>
      </c>
      <c r="I112" s="167"/>
      <c r="J112" s="167"/>
      <c r="K112" s="167"/>
      <c r="L112" s="167"/>
      <c r="M112" s="167"/>
      <c r="N112" s="167"/>
      <c r="O112" s="167"/>
      <c r="P112" s="167"/>
      <c r="Q112" s="167"/>
      <c r="R112" s="167"/>
      <c r="S112" s="167"/>
      <c r="T112" s="634" t="b">
        <f t="shared" si="12"/>
        <v>1</v>
      </c>
      <c r="U112" s="167"/>
      <c r="V112" s="167"/>
      <c r="W112" s="167"/>
      <c r="X112" s="1547"/>
      <c r="Y112" s="167"/>
      <c r="Z112" s="1547"/>
      <c r="AA112" s="167"/>
      <c r="AB112" s="255" t="str">
        <f t="shared" si="13"/>
        <v>2055 год</v>
      </c>
      <c r="AC112" s="370"/>
      <c r="AD112" s="90"/>
      <c r="AE112" s="90"/>
      <c r="AF112" s="90"/>
      <c r="AG112" s="90"/>
      <c r="AH112" s="90"/>
      <c r="AI112" s="90"/>
      <c r="AJ112" s="91"/>
      <c r="AK112" s="167"/>
      <c r="AL112" s="167"/>
      <c r="AM112" s="167"/>
      <c r="AN112" s="943">
        <f t="shared" si="14"/>
        <v>2055</v>
      </c>
    </row>
    <row r="113" spans="1:40" s="1312" customFormat="1" ht="16.5" hidden="1" customHeight="1">
      <c r="A113" s="167"/>
      <c r="B113" s="741" t="b">
        <f t="shared" ref="B113:B130" si="15">H113&lt;first_year+PERIOD_LENGTH</f>
        <v>0</v>
      </c>
      <c r="C113" s="167"/>
      <c r="D113" s="167"/>
      <c r="E113" s="623">
        <v>17.100000000000001</v>
      </c>
      <c r="F113" s="734" t="str">
        <f t="shared" ref="F113:F130" si="16">F112</f>
        <v>1</v>
      </c>
      <c r="G113" s="167"/>
      <c r="H113" s="165">
        <f>first_year+32</f>
        <v>2056</v>
      </c>
      <c r="I113" s="167"/>
      <c r="J113" s="167"/>
      <c r="K113" s="167"/>
      <c r="L113" s="167"/>
      <c r="M113" s="167"/>
      <c r="N113" s="167"/>
      <c r="O113" s="167"/>
      <c r="P113" s="167"/>
      <c r="Q113" s="167"/>
      <c r="R113" s="167"/>
      <c r="S113" s="167"/>
      <c r="T113" s="634" t="b">
        <f t="shared" ref="T113:T130" si="17">T112</f>
        <v>1</v>
      </c>
      <c r="U113" s="167"/>
      <c r="V113" s="167"/>
      <c r="W113" s="167"/>
      <c r="X113" s="1547"/>
      <c r="Y113" s="167"/>
      <c r="Z113" s="1547"/>
      <c r="AA113" s="167"/>
      <c r="AB113" s="255" t="str">
        <f t="shared" ref="AB113:AB130" si="18">H113&amp;" год"</f>
        <v>2056 год</v>
      </c>
      <c r="AC113" s="370"/>
      <c r="AD113" s="90"/>
      <c r="AE113" s="90"/>
      <c r="AF113" s="90"/>
      <c r="AG113" s="90"/>
      <c r="AH113" s="90"/>
      <c r="AI113" s="90"/>
      <c r="AJ113" s="91"/>
      <c r="AK113" s="167"/>
      <c r="AL113" s="167"/>
      <c r="AM113" s="167"/>
      <c r="AN113" s="943">
        <f t="shared" ref="AN113:AN130" si="19">H113</f>
        <v>2056</v>
      </c>
    </row>
    <row r="114" spans="1:40" s="1313" customFormat="1" ht="16.5" hidden="1" customHeight="1">
      <c r="A114" s="167"/>
      <c r="B114" s="741" t="b">
        <f t="shared" si="15"/>
        <v>0</v>
      </c>
      <c r="C114" s="167"/>
      <c r="D114" s="167"/>
      <c r="E114" s="623">
        <v>17.100000000000001</v>
      </c>
      <c r="F114" s="734" t="str">
        <f t="shared" si="16"/>
        <v>1</v>
      </c>
      <c r="G114" s="167"/>
      <c r="H114" s="165">
        <f>first_year+33</f>
        <v>2057</v>
      </c>
      <c r="I114" s="167"/>
      <c r="J114" s="167"/>
      <c r="K114" s="167"/>
      <c r="L114" s="167"/>
      <c r="M114" s="167"/>
      <c r="N114" s="167"/>
      <c r="O114" s="167"/>
      <c r="P114" s="167"/>
      <c r="Q114" s="167"/>
      <c r="R114" s="167"/>
      <c r="S114" s="167"/>
      <c r="T114" s="634" t="b">
        <f t="shared" si="17"/>
        <v>1</v>
      </c>
      <c r="U114" s="167"/>
      <c r="V114" s="167"/>
      <c r="W114" s="167"/>
      <c r="X114" s="1547"/>
      <c r="Y114" s="167"/>
      <c r="Z114" s="1547"/>
      <c r="AA114" s="167"/>
      <c r="AB114" s="255" t="str">
        <f t="shared" si="18"/>
        <v>2057 год</v>
      </c>
      <c r="AC114" s="370"/>
      <c r="AD114" s="90"/>
      <c r="AE114" s="90"/>
      <c r="AF114" s="90"/>
      <c r="AG114" s="90"/>
      <c r="AH114" s="90"/>
      <c r="AI114" s="90"/>
      <c r="AJ114" s="91"/>
      <c r="AK114" s="167"/>
      <c r="AL114" s="167"/>
      <c r="AM114" s="167"/>
      <c r="AN114" s="943">
        <f t="shared" si="19"/>
        <v>2057</v>
      </c>
    </row>
    <row r="115" spans="1:40" s="1314" customFormat="1" ht="16.5" hidden="1" customHeight="1">
      <c r="A115" s="167"/>
      <c r="B115" s="741" t="b">
        <f t="shared" si="15"/>
        <v>0</v>
      </c>
      <c r="C115" s="167"/>
      <c r="D115" s="167"/>
      <c r="E115" s="623">
        <v>17.100000000000001</v>
      </c>
      <c r="F115" s="734" t="str">
        <f t="shared" si="16"/>
        <v>1</v>
      </c>
      <c r="G115" s="167"/>
      <c r="H115" s="165">
        <f>first_year+34</f>
        <v>2058</v>
      </c>
      <c r="I115" s="167"/>
      <c r="J115" s="167"/>
      <c r="K115" s="167"/>
      <c r="L115" s="167"/>
      <c r="M115" s="167"/>
      <c r="N115" s="167"/>
      <c r="O115" s="167"/>
      <c r="P115" s="167"/>
      <c r="Q115" s="167"/>
      <c r="R115" s="167"/>
      <c r="S115" s="167"/>
      <c r="T115" s="634" t="b">
        <f t="shared" si="17"/>
        <v>1</v>
      </c>
      <c r="U115" s="167"/>
      <c r="V115" s="167"/>
      <c r="W115" s="167"/>
      <c r="X115" s="1547"/>
      <c r="Y115" s="167"/>
      <c r="Z115" s="1547"/>
      <c r="AA115" s="167"/>
      <c r="AB115" s="255" t="str">
        <f t="shared" si="18"/>
        <v>2058 год</v>
      </c>
      <c r="AC115" s="370"/>
      <c r="AD115" s="90"/>
      <c r="AE115" s="90"/>
      <c r="AF115" s="90"/>
      <c r="AG115" s="90"/>
      <c r="AH115" s="90"/>
      <c r="AI115" s="90"/>
      <c r="AJ115" s="91"/>
      <c r="AK115" s="167"/>
      <c r="AL115" s="167"/>
      <c r="AM115" s="167"/>
      <c r="AN115" s="943">
        <f t="shared" si="19"/>
        <v>2058</v>
      </c>
    </row>
    <row r="116" spans="1:40" s="1315" customFormat="1" ht="16.5" hidden="1" customHeight="1">
      <c r="A116" s="167"/>
      <c r="B116" s="741" t="b">
        <f t="shared" si="15"/>
        <v>0</v>
      </c>
      <c r="C116" s="167"/>
      <c r="D116" s="167"/>
      <c r="E116" s="623">
        <v>17.100000000000001</v>
      </c>
      <c r="F116" s="734" t="str">
        <f t="shared" si="16"/>
        <v>1</v>
      </c>
      <c r="G116" s="167"/>
      <c r="H116" s="165">
        <f>first_year+35</f>
        <v>2059</v>
      </c>
      <c r="I116" s="167"/>
      <c r="J116" s="167"/>
      <c r="K116" s="167"/>
      <c r="L116" s="167"/>
      <c r="M116" s="167"/>
      <c r="N116" s="167"/>
      <c r="O116" s="167"/>
      <c r="P116" s="167"/>
      <c r="Q116" s="167"/>
      <c r="R116" s="167"/>
      <c r="S116" s="167"/>
      <c r="T116" s="634" t="b">
        <f t="shared" si="17"/>
        <v>1</v>
      </c>
      <c r="U116" s="167"/>
      <c r="V116" s="167"/>
      <c r="W116" s="167"/>
      <c r="X116" s="1547"/>
      <c r="Y116" s="167"/>
      <c r="Z116" s="1547"/>
      <c r="AA116" s="167"/>
      <c r="AB116" s="255" t="str">
        <f t="shared" si="18"/>
        <v>2059 год</v>
      </c>
      <c r="AC116" s="370"/>
      <c r="AD116" s="90"/>
      <c r="AE116" s="90"/>
      <c r="AF116" s="90"/>
      <c r="AG116" s="90"/>
      <c r="AH116" s="90"/>
      <c r="AI116" s="90"/>
      <c r="AJ116" s="91"/>
      <c r="AK116" s="167"/>
      <c r="AL116" s="167"/>
      <c r="AM116" s="167"/>
      <c r="AN116" s="943">
        <f t="shared" si="19"/>
        <v>2059</v>
      </c>
    </row>
    <row r="117" spans="1:40" s="1316" customFormat="1" ht="16.5" hidden="1" customHeight="1">
      <c r="A117" s="167"/>
      <c r="B117" s="741" t="b">
        <f t="shared" si="15"/>
        <v>0</v>
      </c>
      <c r="C117" s="167"/>
      <c r="D117" s="167"/>
      <c r="E117" s="623">
        <v>17.100000000000001</v>
      </c>
      <c r="F117" s="734" t="str">
        <f t="shared" si="16"/>
        <v>1</v>
      </c>
      <c r="G117" s="167"/>
      <c r="H117" s="165">
        <f>first_year+36</f>
        <v>2060</v>
      </c>
      <c r="I117" s="167"/>
      <c r="J117" s="167"/>
      <c r="K117" s="167"/>
      <c r="L117" s="167"/>
      <c r="M117" s="167"/>
      <c r="N117" s="167"/>
      <c r="O117" s="167"/>
      <c r="P117" s="167"/>
      <c r="Q117" s="167"/>
      <c r="R117" s="167"/>
      <c r="S117" s="167"/>
      <c r="T117" s="634" t="b">
        <f t="shared" si="17"/>
        <v>1</v>
      </c>
      <c r="U117" s="167"/>
      <c r="V117" s="167"/>
      <c r="W117" s="167"/>
      <c r="X117" s="1547"/>
      <c r="Y117" s="167"/>
      <c r="Z117" s="1547"/>
      <c r="AA117" s="167"/>
      <c r="AB117" s="255" t="str">
        <f t="shared" si="18"/>
        <v>2060 год</v>
      </c>
      <c r="AC117" s="370"/>
      <c r="AD117" s="90"/>
      <c r="AE117" s="90"/>
      <c r="AF117" s="90"/>
      <c r="AG117" s="90"/>
      <c r="AH117" s="90"/>
      <c r="AI117" s="90"/>
      <c r="AJ117" s="91"/>
      <c r="AK117" s="167"/>
      <c r="AL117" s="167"/>
      <c r="AM117" s="167"/>
      <c r="AN117" s="943">
        <f t="shared" si="19"/>
        <v>2060</v>
      </c>
    </row>
    <row r="118" spans="1:40" s="1317" customFormat="1" ht="16.5" hidden="1" customHeight="1">
      <c r="A118" s="167"/>
      <c r="B118" s="741" t="b">
        <f t="shared" si="15"/>
        <v>0</v>
      </c>
      <c r="C118" s="167"/>
      <c r="D118" s="167"/>
      <c r="E118" s="623">
        <v>17.100000000000001</v>
      </c>
      <c r="F118" s="734" t="str">
        <f t="shared" si="16"/>
        <v>1</v>
      </c>
      <c r="G118" s="167"/>
      <c r="H118" s="165">
        <f>first_year+37</f>
        <v>2061</v>
      </c>
      <c r="I118" s="167"/>
      <c r="J118" s="167"/>
      <c r="K118" s="167"/>
      <c r="L118" s="167"/>
      <c r="M118" s="167"/>
      <c r="N118" s="167"/>
      <c r="O118" s="167"/>
      <c r="P118" s="167"/>
      <c r="Q118" s="167"/>
      <c r="R118" s="167"/>
      <c r="S118" s="167"/>
      <c r="T118" s="634" t="b">
        <f t="shared" si="17"/>
        <v>1</v>
      </c>
      <c r="U118" s="167"/>
      <c r="V118" s="167"/>
      <c r="W118" s="167"/>
      <c r="X118" s="1547"/>
      <c r="Y118" s="167"/>
      <c r="Z118" s="1547"/>
      <c r="AA118" s="167"/>
      <c r="AB118" s="255" t="str">
        <f t="shared" si="18"/>
        <v>2061 год</v>
      </c>
      <c r="AC118" s="370"/>
      <c r="AD118" s="90"/>
      <c r="AE118" s="90"/>
      <c r="AF118" s="90"/>
      <c r="AG118" s="90"/>
      <c r="AH118" s="90"/>
      <c r="AI118" s="90"/>
      <c r="AJ118" s="91"/>
      <c r="AK118" s="167"/>
      <c r="AL118" s="167"/>
      <c r="AM118" s="167"/>
      <c r="AN118" s="943">
        <f t="shared" si="19"/>
        <v>2061</v>
      </c>
    </row>
    <row r="119" spans="1:40" s="1318" customFormat="1" ht="16.5" hidden="1" customHeight="1">
      <c r="A119" s="167"/>
      <c r="B119" s="741" t="b">
        <f t="shared" si="15"/>
        <v>0</v>
      </c>
      <c r="C119" s="167"/>
      <c r="D119" s="167"/>
      <c r="E119" s="623">
        <v>17.100000000000001</v>
      </c>
      <c r="F119" s="734" t="str">
        <f t="shared" si="16"/>
        <v>1</v>
      </c>
      <c r="G119" s="167"/>
      <c r="H119" s="165">
        <f>first_year+38</f>
        <v>2062</v>
      </c>
      <c r="I119" s="167"/>
      <c r="J119" s="167"/>
      <c r="K119" s="167"/>
      <c r="L119" s="167"/>
      <c r="M119" s="167"/>
      <c r="N119" s="167"/>
      <c r="O119" s="167"/>
      <c r="P119" s="167"/>
      <c r="Q119" s="167"/>
      <c r="R119" s="167"/>
      <c r="S119" s="167"/>
      <c r="T119" s="634" t="b">
        <f t="shared" si="17"/>
        <v>1</v>
      </c>
      <c r="U119" s="167"/>
      <c r="V119" s="167"/>
      <c r="W119" s="167"/>
      <c r="X119" s="1547"/>
      <c r="Y119" s="167"/>
      <c r="Z119" s="1547"/>
      <c r="AA119" s="167"/>
      <c r="AB119" s="255" t="str">
        <f t="shared" si="18"/>
        <v>2062 год</v>
      </c>
      <c r="AC119" s="370"/>
      <c r="AD119" s="90"/>
      <c r="AE119" s="90"/>
      <c r="AF119" s="90"/>
      <c r="AG119" s="90"/>
      <c r="AH119" s="90"/>
      <c r="AI119" s="90"/>
      <c r="AJ119" s="91"/>
      <c r="AK119" s="167"/>
      <c r="AL119" s="167"/>
      <c r="AM119" s="167"/>
      <c r="AN119" s="943">
        <f t="shared" si="19"/>
        <v>2062</v>
      </c>
    </row>
    <row r="120" spans="1:40" s="1319" customFormat="1" ht="16.5" hidden="1" customHeight="1">
      <c r="A120" s="167"/>
      <c r="B120" s="741" t="b">
        <f t="shared" si="15"/>
        <v>0</v>
      </c>
      <c r="C120" s="167"/>
      <c r="D120" s="167"/>
      <c r="E120" s="623">
        <v>17.100000000000001</v>
      </c>
      <c r="F120" s="734" t="str">
        <f t="shared" si="16"/>
        <v>1</v>
      </c>
      <c r="G120" s="167"/>
      <c r="H120" s="165">
        <f>first_year+39</f>
        <v>2063</v>
      </c>
      <c r="I120" s="167"/>
      <c r="J120" s="167"/>
      <c r="K120" s="167"/>
      <c r="L120" s="167"/>
      <c r="M120" s="167"/>
      <c r="N120" s="167"/>
      <c r="O120" s="167"/>
      <c r="P120" s="167"/>
      <c r="Q120" s="167"/>
      <c r="R120" s="167"/>
      <c r="S120" s="167"/>
      <c r="T120" s="634" t="b">
        <f t="shared" si="17"/>
        <v>1</v>
      </c>
      <c r="U120" s="167"/>
      <c r="V120" s="167"/>
      <c r="W120" s="167"/>
      <c r="X120" s="1547"/>
      <c r="Y120" s="167"/>
      <c r="Z120" s="1547"/>
      <c r="AA120" s="167"/>
      <c r="AB120" s="255" t="str">
        <f t="shared" si="18"/>
        <v>2063 год</v>
      </c>
      <c r="AC120" s="370"/>
      <c r="AD120" s="90"/>
      <c r="AE120" s="90"/>
      <c r="AF120" s="90"/>
      <c r="AG120" s="90"/>
      <c r="AH120" s="90"/>
      <c r="AI120" s="90"/>
      <c r="AJ120" s="91"/>
      <c r="AK120" s="167"/>
      <c r="AL120" s="167"/>
      <c r="AM120" s="167"/>
      <c r="AN120" s="943">
        <f t="shared" si="19"/>
        <v>2063</v>
      </c>
    </row>
    <row r="121" spans="1:40" s="1320" customFormat="1" ht="16.5" hidden="1" customHeight="1">
      <c r="A121" s="167"/>
      <c r="B121" s="741" t="b">
        <f t="shared" si="15"/>
        <v>0</v>
      </c>
      <c r="C121" s="167"/>
      <c r="D121" s="167"/>
      <c r="E121" s="623">
        <v>17.100000000000001</v>
      </c>
      <c r="F121" s="734" t="str">
        <f t="shared" si="16"/>
        <v>1</v>
      </c>
      <c r="G121" s="167"/>
      <c r="H121" s="165">
        <f>first_year+40</f>
        <v>2064</v>
      </c>
      <c r="I121" s="167"/>
      <c r="J121" s="167"/>
      <c r="K121" s="167"/>
      <c r="L121" s="167"/>
      <c r="M121" s="167"/>
      <c r="N121" s="167"/>
      <c r="O121" s="167"/>
      <c r="P121" s="167"/>
      <c r="Q121" s="167"/>
      <c r="R121" s="167"/>
      <c r="S121" s="167"/>
      <c r="T121" s="634" t="b">
        <f t="shared" si="17"/>
        <v>1</v>
      </c>
      <c r="U121" s="167"/>
      <c r="V121" s="167"/>
      <c r="W121" s="167"/>
      <c r="X121" s="1547"/>
      <c r="Y121" s="167"/>
      <c r="Z121" s="1547"/>
      <c r="AA121" s="167"/>
      <c r="AB121" s="255" t="str">
        <f t="shared" si="18"/>
        <v>2064 год</v>
      </c>
      <c r="AC121" s="370"/>
      <c r="AD121" s="90"/>
      <c r="AE121" s="90"/>
      <c r="AF121" s="90"/>
      <c r="AG121" s="90"/>
      <c r="AH121" s="90"/>
      <c r="AI121" s="90"/>
      <c r="AJ121" s="91"/>
      <c r="AK121" s="167"/>
      <c r="AL121" s="167"/>
      <c r="AM121" s="167"/>
      <c r="AN121" s="943">
        <f t="shared" si="19"/>
        <v>2064</v>
      </c>
    </row>
    <row r="122" spans="1:40" s="1321" customFormat="1" ht="16.5" hidden="1" customHeight="1">
      <c r="A122" s="167"/>
      <c r="B122" s="741" t="b">
        <f t="shared" si="15"/>
        <v>0</v>
      </c>
      <c r="C122" s="167"/>
      <c r="D122" s="167"/>
      <c r="E122" s="623">
        <v>17.100000000000001</v>
      </c>
      <c r="F122" s="734" t="str">
        <f t="shared" si="16"/>
        <v>1</v>
      </c>
      <c r="G122" s="167"/>
      <c r="H122" s="165">
        <f>first_year+41</f>
        <v>2065</v>
      </c>
      <c r="I122" s="167"/>
      <c r="J122" s="167"/>
      <c r="K122" s="167"/>
      <c r="L122" s="167"/>
      <c r="M122" s="167"/>
      <c r="N122" s="167"/>
      <c r="O122" s="167"/>
      <c r="P122" s="167"/>
      <c r="Q122" s="167"/>
      <c r="R122" s="167"/>
      <c r="S122" s="167"/>
      <c r="T122" s="634" t="b">
        <f t="shared" si="17"/>
        <v>1</v>
      </c>
      <c r="U122" s="167"/>
      <c r="V122" s="167"/>
      <c r="W122" s="167"/>
      <c r="X122" s="1547"/>
      <c r="Y122" s="167"/>
      <c r="Z122" s="1547"/>
      <c r="AA122" s="167"/>
      <c r="AB122" s="255" t="str">
        <f t="shared" si="18"/>
        <v>2065 год</v>
      </c>
      <c r="AC122" s="370"/>
      <c r="AD122" s="90"/>
      <c r="AE122" s="90"/>
      <c r="AF122" s="90"/>
      <c r="AG122" s="90"/>
      <c r="AH122" s="90"/>
      <c r="AI122" s="90"/>
      <c r="AJ122" s="91"/>
      <c r="AK122" s="167"/>
      <c r="AL122" s="167"/>
      <c r="AM122" s="167"/>
      <c r="AN122" s="943">
        <f t="shared" si="19"/>
        <v>2065</v>
      </c>
    </row>
    <row r="123" spans="1:40" s="1322" customFormat="1" ht="16.5" hidden="1" customHeight="1">
      <c r="A123" s="167"/>
      <c r="B123" s="741" t="b">
        <f t="shared" si="15"/>
        <v>0</v>
      </c>
      <c r="C123" s="167"/>
      <c r="D123" s="167"/>
      <c r="E123" s="623">
        <v>17.100000000000001</v>
      </c>
      <c r="F123" s="734" t="str">
        <f t="shared" si="16"/>
        <v>1</v>
      </c>
      <c r="G123" s="167"/>
      <c r="H123" s="165">
        <f>first_year+42</f>
        <v>2066</v>
      </c>
      <c r="I123" s="167"/>
      <c r="J123" s="167"/>
      <c r="K123" s="167"/>
      <c r="L123" s="167"/>
      <c r="M123" s="167"/>
      <c r="N123" s="167"/>
      <c r="O123" s="167"/>
      <c r="P123" s="167"/>
      <c r="Q123" s="167"/>
      <c r="R123" s="167"/>
      <c r="S123" s="167"/>
      <c r="T123" s="634" t="b">
        <f t="shared" si="17"/>
        <v>1</v>
      </c>
      <c r="U123" s="167"/>
      <c r="V123" s="167"/>
      <c r="W123" s="167"/>
      <c r="X123" s="1547"/>
      <c r="Y123" s="167"/>
      <c r="Z123" s="1547"/>
      <c r="AA123" s="167"/>
      <c r="AB123" s="255" t="str">
        <f t="shared" si="18"/>
        <v>2066 год</v>
      </c>
      <c r="AC123" s="370"/>
      <c r="AD123" s="90"/>
      <c r="AE123" s="90"/>
      <c r="AF123" s="90"/>
      <c r="AG123" s="90"/>
      <c r="AH123" s="90"/>
      <c r="AI123" s="90"/>
      <c r="AJ123" s="91"/>
      <c r="AK123" s="167"/>
      <c r="AL123" s="167"/>
      <c r="AM123" s="167"/>
      <c r="AN123" s="943">
        <f t="shared" si="19"/>
        <v>2066</v>
      </c>
    </row>
    <row r="124" spans="1:40" s="1323" customFormat="1" ht="16.5" hidden="1" customHeight="1">
      <c r="A124" s="167"/>
      <c r="B124" s="741" t="b">
        <f t="shared" si="15"/>
        <v>0</v>
      </c>
      <c r="C124" s="167"/>
      <c r="D124" s="167"/>
      <c r="E124" s="623">
        <v>17.100000000000001</v>
      </c>
      <c r="F124" s="734" t="str">
        <f t="shared" si="16"/>
        <v>1</v>
      </c>
      <c r="G124" s="167"/>
      <c r="H124" s="165">
        <f>first_year+43</f>
        <v>2067</v>
      </c>
      <c r="I124" s="167"/>
      <c r="J124" s="167"/>
      <c r="K124" s="167"/>
      <c r="L124" s="167"/>
      <c r="M124" s="167"/>
      <c r="N124" s="167"/>
      <c r="O124" s="167"/>
      <c r="P124" s="167"/>
      <c r="Q124" s="167"/>
      <c r="R124" s="167"/>
      <c r="S124" s="167"/>
      <c r="T124" s="634" t="b">
        <f t="shared" si="17"/>
        <v>1</v>
      </c>
      <c r="U124" s="167"/>
      <c r="V124" s="167"/>
      <c r="W124" s="167"/>
      <c r="X124" s="1547"/>
      <c r="Y124" s="167"/>
      <c r="Z124" s="1547"/>
      <c r="AA124" s="167"/>
      <c r="AB124" s="255" t="str">
        <f t="shared" si="18"/>
        <v>2067 год</v>
      </c>
      <c r="AC124" s="370"/>
      <c r="AD124" s="90"/>
      <c r="AE124" s="90"/>
      <c r="AF124" s="90"/>
      <c r="AG124" s="90"/>
      <c r="AH124" s="90"/>
      <c r="AI124" s="90"/>
      <c r="AJ124" s="91"/>
      <c r="AK124" s="167"/>
      <c r="AL124" s="167"/>
      <c r="AM124" s="167"/>
      <c r="AN124" s="943">
        <f t="shared" si="19"/>
        <v>2067</v>
      </c>
    </row>
    <row r="125" spans="1:40" s="1324" customFormat="1" ht="16.5" hidden="1" customHeight="1">
      <c r="A125" s="167"/>
      <c r="B125" s="741" t="b">
        <f t="shared" si="15"/>
        <v>0</v>
      </c>
      <c r="C125" s="167"/>
      <c r="D125" s="167"/>
      <c r="E125" s="623">
        <v>17.100000000000001</v>
      </c>
      <c r="F125" s="734" t="str">
        <f t="shared" si="16"/>
        <v>1</v>
      </c>
      <c r="G125" s="167"/>
      <c r="H125" s="165">
        <f>first_year+44</f>
        <v>2068</v>
      </c>
      <c r="I125" s="167"/>
      <c r="J125" s="167"/>
      <c r="K125" s="167"/>
      <c r="L125" s="167"/>
      <c r="M125" s="167"/>
      <c r="N125" s="167"/>
      <c r="O125" s="167"/>
      <c r="P125" s="167"/>
      <c r="Q125" s="167"/>
      <c r="R125" s="167"/>
      <c r="S125" s="167"/>
      <c r="T125" s="634" t="b">
        <f t="shared" si="17"/>
        <v>1</v>
      </c>
      <c r="U125" s="167"/>
      <c r="V125" s="167"/>
      <c r="W125" s="167"/>
      <c r="X125" s="1547"/>
      <c r="Y125" s="167"/>
      <c r="Z125" s="1547"/>
      <c r="AA125" s="167"/>
      <c r="AB125" s="255" t="str">
        <f t="shared" si="18"/>
        <v>2068 год</v>
      </c>
      <c r="AC125" s="370"/>
      <c r="AD125" s="90"/>
      <c r="AE125" s="90"/>
      <c r="AF125" s="90"/>
      <c r="AG125" s="90"/>
      <c r="AH125" s="90"/>
      <c r="AI125" s="90"/>
      <c r="AJ125" s="91"/>
      <c r="AK125" s="167"/>
      <c r="AL125" s="167"/>
      <c r="AM125" s="167"/>
      <c r="AN125" s="943">
        <f t="shared" si="19"/>
        <v>2068</v>
      </c>
    </row>
    <row r="126" spans="1:40" s="1325" customFormat="1" ht="16.5" hidden="1" customHeight="1">
      <c r="A126" s="167"/>
      <c r="B126" s="741" t="b">
        <f t="shared" si="15"/>
        <v>0</v>
      </c>
      <c r="C126" s="167"/>
      <c r="D126" s="167"/>
      <c r="E126" s="623">
        <v>17.100000000000001</v>
      </c>
      <c r="F126" s="734" t="str">
        <f t="shared" si="16"/>
        <v>1</v>
      </c>
      <c r="G126" s="167"/>
      <c r="H126" s="165">
        <f>first_year+45</f>
        <v>2069</v>
      </c>
      <c r="I126" s="167"/>
      <c r="J126" s="167"/>
      <c r="K126" s="167"/>
      <c r="L126" s="167"/>
      <c r="M126" s="167"/>
      <c r="N126" s="167"/>
      <c r="O126" s="167"/>
      <c r="P126" s="167"/>
      <c r="Q126" s="167"/>
      <c r="R126" s="167"/>
      <c r="S126" s="167"/>
      <c r="T126" s="634" t="b">
        <f t="shared" si="17"/>
        <v>1</v>
      </c>
      <c r="U126" s="167"/>
      <c r="V126" s="167"/>
      <c r="W126" s="167"/>
      <c r="X126" s="1547"/>
      <c r="Y126" s="167"/>
      <c r="Z126" s="1547"/>
      <c r="AA126" s="167"/>
      <c r="AB126" s="255" t="str">
        <f t="shared" si="18"/>
        <v>2069 год</v>
      </c>
      <c r="AC126" s="370"/>
      <c r="AD126" s="90"/>
      <c r="AE126" s="90"/>
      <c r="AF126" s="90"/>
      <c r="AG126" s="90"/>
      <c r="AH126" s="90"/>
      <c r="AI126" s="90"/>
      <c r="AJ126" s="91"/>
      <c r="AK126" s="167"/>
      <c r="AL126" s="167"/>
      <c r="AM126" s="167"/>
      <c r="AN126" s="943">
        <f t="shared" si="19"/>
        <v>2069</v>
      </c>
    </row>
    <row r="127" spans="1:40" s="1326" customFormat="1" ht="16.5" hidden="1" customHeight="1">
      <c r="A127" s="167"/>
      <c r="B127" s="741" t="b">
        <f t="shared" si="15"/>
        <v>0</v>
      </c>
      <c r="C127" s="167"/>
      <c r="D127" s="167"/>
      <c r="E127" s="623">
        <v>17.100000000000001</v>
      </c>
      <c r="F127" s="734" t="str">
        <f t="shared" si="16"/>
        <v>1</v>
      </c>
      <c r="G127" s="167"/>
      <c r="H127" s="165">
        <f>first_year+46</f>
        <v>2070</v>
      </c>
      <c r="I127" s="167"/>
      <c r="J127" s="167"/>
      <c r="K127" s="167"/>
      <c r="L127" s="167"/>
      <c r="M127" s="167"/>
      <c r="N127" s="167"/>
      <c r="O127" s="167"/>
      <c r="P127" s="167"/>
      <c r="Q127" s="167"/>
      <c r="R127" s="167"/>
      <c r="S127" s="167"/>
      <c r="T127" s="634" t="b">
        <f t="shared" si="17"/>
        <v>1</v>
      </c>
      <c r="U127" s="167"/>
      <c r="V127" s="167"/>
      <c r="W127" s="167"/>
      <c r="X127" s="1547"/>
      <c r="Y127" s="167"/>
      <c r="Z127" s="1547"/>
      <c r="AA127" s="167"/>
      <c r="AB127" s="255" t="str">
        <f t="shared" si="18"/>
        <v>2070 год</v>
      </c>
      <c r="AC127" s="370"/>
      <c r="AD127" s="90"/>
      <c r="AE127" s="90"/>
      <c r="AF127" s="90"/>
      <c r="AG127" s="90"/>
      <c r="AH127" s="90"/>
      <c r="AI127" s="90"/>
      <c r="AJ127" s="91"/>
      <c r="AK127" s="167"/>
      <c r="AL127" s="167"/>
      <c r="AM127" s="167"/>
      <c r="AN127" s="943">
        <f t="shared" si="19"/>
        <v>2070</v>
      </c>
    </row>
    <row r="128" spans="1:40" s="1327" customFormat="1" ht="16.5" hidden="1" customHeight="1">
      <c r="A128" s="167"/>
      <c r="B128" s="741" t="b">
        <f t="shared" si="15"/>
        <v>0</v>
      </c>
      <c r="C128" s="167"/>
      <c r="D128" s="167"/>
      <c r="E128" s="623">
        <v>17.100000000000001</v>
      </c>
      <c r="F128" s="734" t="str">
        <f t="shared" si="16"/>
        <v>1</v>
      </c>
      <c r="G128" s="167"/>
      <c r="H128" s="165">
        <f>first_year+47</f>
        <v>2071</v>
      </c>
      <c r="I128" s="167"/>
      <c r="J128" s="167"/>
      <c r="K128" s="167"/>
      <c r="L128" s="167"/>
      <c r="M128" s="167"/>
      <c r="N128" s="167"/>
      <c r="O128" s="167"/>
      <c r="P128" s="167"/>
      <c r="Q128" s="167"/>
      <c r="R128" s="167"/>
      <c r="S128" s="167"/>
      <c r="T128" s="634" t="b">
        <f t="shared" si="17"/>
        <v>1</v>
      </c>
      <c r="U128" s="167"/>
      <c r="V128" s="167"/>
      <c r="W128" s="167"/>
      <c r="X128" s="1547"/>
      <c r="Y128" s="167"/>
      <c r="Z128" s="1547"/>
      <c r="AA128" s="167"/>
      <c r="AB128" s="255" t="str">
        <f t="shared" si="18"/>
        <v>2071 год</v>
      </c>
      <c r="AC128" s="370"/>
      <c r="AD128" s="90"/>
      <c r="AE128" s="90"/>
      <c r="AF128" s="90"/>
      <c r="AG128" s="90"/>
      <c r="AH128" s="90"/>
      <c r="AI128" s="90"/>
      <c r="AJ128" s="91"/>
      <c r="AK128" s="167"/>
      <c r="AL128" s="167"/>
      <c r="AM128" s="167"/>
      <c r="AN128" s="943">
        <f t="shared" si="19"/>
        <v>2071</v>
      </c>
    </row>
    <row r="129" spans="1:40" s="1328" customFormat="1" ht="16.5" hidden="1" customHeight="1">
      <c r="A129" s="167"/>
      <c r="B129" s="741" t="b">
        <f t="shared" si="15"/>
        <v>0</v>
      </c>
      <c r="C129" s="167"/>
      <c r="D129" s="167"/>
      <c r="E129" s="623">
        <v>17.100000000000001</v>
      </c>
      <c r="F129" s="734" t="str">
        <f t="shared" si="16"/>
        <v>1</v>
      </c>
      <c r="G129" s="167"/>
      <c r="H129" s="165">
        <f>first_year+48</f>
        <v>2072</v>
      </c>
      <c r="I129" s="167"/>
      <c r="J129" s="167"/>
      <c r="K129" s="167"/>
      <c r="L129" s="167"/>
      <c r="M129" s="167"/>
      <c r="N129" s="167"/>
      <c r="O129" s="167"/>
      <c r="P129" s="167"/>
      <c r="Q129" s="167"/>
      <c r="R129" s="167"/>
      <c r="S129" s="167"/>
      <c r="T129" s="634" t="b">
        <f t="shared" si="17"/>
        <v>1</v>
      </c>
      <c r="U129" s="167"/>
      <c r="V129" s="167"/>
      <c r="W129" s="167"/>
      <c r="X129" s="1547"/>
      <c r="Y129" s="167"/>
      <c r="Z129" s="1547"/>
      <c r="AA129" s="167"/>
      <c r="AB129" s="255" t="str">
        <f t="shared" si="18"/>
        <v>2072 год</v>
      </c>
      <c r="AC129" s="370"/>
      <c r="AD129" s="90"/>
      <c r="AE129" s="90"/>
      <c r="AF129" s="90"/>
      <c r="AG129" s="90"/>
      <c r="AH129" s="90"/>
      <c r="AI129" s="90"/>
      <c r="AJ129" s="91"/>
      <c r="AK129" s="167"/>
      <c r="AL129" s="167"/>
      <c r="AM129" s="167"/>
      <c r="AN129" s="943">
        <f t="shared" si="19"/>
        <v>2072</v>
      </c>
    </row>
    <row r="130" spans="1:40" s="1329" customFormat="1" ht="16.5" hidden="1" customHeight="1">
      <c r="A130" s="167"/>
      <c r="B130" s="741" t="b">
        <f t="shared" si="15"/>
        <v>0</v>
      </c>
      <c r="C130" s="167"/>
      <c r="D130" s="167"/>
      <c r="E130" s="623">
        <v>17.100000000000001</v>
      </c>
      <c r="F130" s="734" t="str">
        <f t="shared" si="16"/>
        <v>1</v>
      </c>
      <c r="G130" s="167"/>
      <c r="H130" s="165">
        <f>first_year+49</f>
        <v>2073</v>
      </c>
      <c r="I130" s="167"/>
      <c r="J130" s="167"/>
      <c r="K130" s="167"/>
      <c r="L130" s="167"/>
      <c r="M130" s="167"/>
      <c r="N130" s="167"/>
      <c r="O130" s="167"/>
      <c r="P130" s="167"/>
      <c r="Q130" s="167"/>
      <c r="R130" s="167"/>
      <c r="S130" s="167"/>
      <c r="T130" s="634" t="b">
        <f t="shared" si="17"/>
        <v>1</v>
      </c>
      <c r="U130" s="167"/>
      <c r="V130" s="167"/>
      <c r="W130" s="167"/>
      <c r="X130" s="1547"/>
      <c r="Y130" s="167"/>
      <c r="Z130" s="1547"/>
      <c r="AA130" s="167"/>
      <c r="AB130" s="255" t="str">
        <f t="shared" si="18"/>
        <v>2073 год</v>
      </c>
      <c r="AC130" s="370"/>
      <c r="AD130" s="90"/>
      <c r="AE130" s="90"/>
      <c r="AF130" s="90"/>
      <c r="AG130" s="90"/>
      <c r="AH130" s="90"/>
      <c r="AI130" s="90"/>
      <c r="AJ130" s="91"/>
      <c r="AK130" s="167"/>
      <c r="AL130" s="167"/>
      <c r="AM130" s="167"/>
      <c r="AN130" s="943">
        <f t="shared" si="19"/>
        <v>2073</v>
      </c>
    </row>
    <row r="131" spans="1:40" ht="11.65" customHeight="1">
      <c r="E131" s="623">
        <v>12</v>
      </c>
      <c r="U131" s="116" t="s">
        <v>172</v>
      </c>
      <c r="V131" s="109" t="s">
        <v>1727</v>
      </c>
    </row>
    <row r="132" spans="1:40" ht="14.65" customHeight="1">
      <c r="E132" s="623">
        <v>15</v>
      </c>
      <c r="AB132" s="1422" t="s">
        <v>557</v>
      </c>
      <c r="AC132" s="1422"/>
      <c r="AD132" s="1422"/>
      <c r="AE132" s="1422"/>
      <c r="AF132" s="1422"/>
      <c r="AG132" s="1422"/>
      <c r="AH132" s="1422"/>
      <c r="AI132" s="1422"/>
      <c r="AJ132" s="1422"/>
    </row>
    <row r="133" spans="1:40" ht="14.65" customHeight="1">
      <c r="E133" s="623">
        <v>15</v>
      </c>
      <c r="AA133" s="713"/>
      <c r="AB133" s="1550"/>
      <c r="AC133" s="1550"/>
      <c r="AD133" s="1550"/>
      <c r="AE133" s="1550"/>
      <c r="AF133" s="1550"/>
      <c r="AG133" s="1550"/>
      <c r="AH133" s="1550"/>
      <c r="AI133" s="1550"/>
      <c r="AJ133" s="1550"/>
    </row>
    <row r="134" spans="1:40" ht="14.65" hidden="1" customHeight="1">
      <c r="E134" s="623">
        <v>15</v>
      </c>
      <c r="T134" s="634" t="b">
        <f>ROW(W134)&gt;ROW(W$134)</f>
        <v>0</v>
      </c>
      <c r="W134" s="113" t="s">
        <v>170</v>
      </c>
      <c r="AA134" s="709" t="s">
        <v>157</v>
      </c>
      <c r="AB134" s="1548"/>
      <c r="AC134" s="1548"/>
      <c r="AD134" s="1548"/>
      <c r="AE134" s="1548"/>
      <c r="AF134" s="1548"/>
      <c r="AG134" s="1548"/>
      <c r="AH134" s="1548"/>
      <c r="AI134" s="1548"/>
      <c r="AJ134" s="1548"/>
    </row>
    <row r="135" spans="1:40" ht="14.65" customHeight="1">
      <c r="E135" s="623">
        <v>15</v>
      </c>
      <c r="W135" s="109" t="s">
        <v>171</v>
      </c>
      <c r="AB135" s="1420" t="s">
        <v>558</v>
      </c>
      <c r="AC135" s="1421"/>
      <c r="AD135" s="302"/>
      <c r="AE135" s="302"/>
      <c r="AF135" s="302"/>
      <c r="AG135" s="302"/>
      <c r="AH135" s="302"/>
      <c r="AI135" s="302"/>
      <c r="AJ135" s="422"/>
    </row>
    <row r="136" spans="1:40" ht="11.25" customHeight="1">
      <c r="AK136" s="150"/>
    </row>
  </sheetData>
  <sheetProtection formatColumns="0" formatRows="0" insertRows="0" deleteColumns="0" deleteRows="0" sort="0" autoFilter="0"/>
  <mergeCells count="15">
    <mergeCell ref="X29:X79"/>
    <mergeCell ref="Z29:Z79"/>
    <mergeCell ref="AB134:AJ134"/>
    <mergeCell ref="AB24:AE24"/>
    <mergeCell ref="AB135:AC135"/>
    <mergeCell ref="AB132:AJ132"/>
    <mergeCell ref="AB133:AJ133"/>
    <mergeCell ref="AC26:AC27"/>
    <mergeCell ref="AD26:AD27"/>
    <mergeCell ref="AE26:AE27"/>
    <mergeCell ref="AB26:AB27"/>
    <mergeCell ref="AI26:AI27"/>
    <mergeCell ref="AF26:AH26"/>
    <mergeCell ref="X80:X130"/>
    <mergeCell ref="Z80:Z130"/>
  </mergeCells>
  <dataValidations count="1">
    <dataValidation type="decimal" allowBlank="1" showErrorMessage="1" errorTitle="Ошибка" error="Допускается ввод только неотрицательных чисел!" sqref="AI30:AI79 AI81:AI130 AH30:AH79 AH81:AH130 AG30:AG79 AG81:AG130 AF30:AF79 AF81:AF130 AE30:AE79 AE81:AE130">
      <formula1>0</formula1>
      <formula2>9.99999999999999E+23</formula2>
    </dataValidation>
  </dataValidations>
  <printOptions horizontalCentered="1"/>
  <pageMargins left="0.35" right="0.35" top="0.4" bottom="0.4" header="0.08" footer="0.08"/>
  <pageSetup paperSize="9" scale="60" firstPageNumber="16" orientation="landscape" useFirstPageNumber="1"/>
  <headerFooter>
    <oddHeader>&amp;L&amp;C&amp;R</oddHeader>
    <oddFooter>&amp;L&amp;C&amp;R</oddFooter>
    <evenHeader>&amp;L&amp;C&amp;R</evenHeader>
    <evenFooter>&amp;L&amp;C&amp;R</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3DBDB"/>
    <pageSetUpPr fitToPage="1"/>
  </sheetPr>
  <dimension ref="A1:AC36"/>
  <sheetViews>
    <sheetView showGridLines="0" topLeftCell="AA21" workbookViewId="0">
      <selection activeCell="AA21" sqref="AA21"/>
    </sheetView>
  </sheetViews>
  <sheetFormatPr defaultColWidth="9.140625" defaultRowHeight="11.25" customHeight="1"/>
  <cols>
    <col min="1" max="1" width="3.5703125" style="1016" hidden="1" customWidth="1"/>
    <col min="2" max="2" width="8.5703125" style="718" hidden="1" customWidth="1"/>
    <col min="3" max="4" width="3.5703125" style="1016" hidden="1" customWidth="1"/>
    <col min="5" max="5" width="8.42578125" style="717" hidden="1" customWidth="1"/>
    <col min="6" max="21" width="3.5703125" style="1016" hidden="1" customWidth="1"/>
    <col min="22" max="22" width="6" style="1016" hidden="1" customWidth="1"/>
    <col min="23" max="23" width="3.5703125" style="1016" hidden="1" customWidth="1"/>
    <col min="24" max="25" width="6.28515625" style="1016" hidden="1" customWidth="1"/>
    <col min="26" max="26" width="5.7109375" style="1016" hidden="1" customWidth="1"/>
    <col min="27" max="27" width="3" style="726" customWidth="1"/>
    <col min="28" max="28" width="94.28515625" style="726" customWidth="1"/>
    <col min="29" max="29" width="3" style="726" customWidth="1"/>
  </cols>
  <sheetData>
    <row r="1" spans="1:29" s="1016" customFormat="1" ht="12" hidden="1" customHeight="1">
      <c r="B1" s="614"/>
      <c r="E1" s="614"/>
      <c r="W1" s="614"/>
      <c r="X1" s="634" t="s">
        <v>78</v>
      </c>
      <c r="Y1" s="634" t="s">
        <v>79</v>
      </c>
      <c r="Z1" s="634" t="s">
        <v>81</v>
      </c>
      <c r="AA1" s="634" t="s">
        <v>85</v>
      </c>
      <c r="AB1" s="634" t="s">
        <v>83</v>
      </c>
    </row>
    <row r="2" spans="1:29" s="718" customFormat="1" ht="12" hidden="1" customHeight="1">
      <c r="B2" s="703" t="s">
        <v>15</v>
      </c>
    </row>
    <row r="3" spans="1:29" s="1016" customFormat="1" ht="12" hidden="1" customHeight="1">
      <c r="B3" s="614"/>
      <c r="E3" s="614"/>
    </row>
    <row r="4" spans="1:29" s="1016" customFormat="1" ht="12" hidden="1" customHeight="1">
      <c r="B4" s="614"/>
      <c r="E4" s="614"/>
    </row>
    <row r="5" spans="1:29" s="717" customFormat="1" ht="12" hidden="1" customHeight="1">
      <c r="A5" s="614"/>
      <c r="B5" s="614"/>
      <c r="C5" s="614"/>
      <c r="D5" s="614"/>
      <c r="E5" s="623" t="s">
        <v>16</v>
      </c>
      <c r="AA5" s="623">
        <v>3</v>
      </c>
      <c r="AB5" s="623">
        <v>94.25</v>
      </c>
      <c r="AC5" s="623">
        <v>3</v>
      </c>
    </row>
    <row r="6" spans="1:29" s="1016" customFormat="1" ht="12" hidden="1" customHeight="1">
      <c r="B6" s="614"/>
      <c r="E6" s="623"/>
    </row>
    <row r="7" spans="1:29" s="750" customFormat="1" ht="12" hidden="1" customHeight="1">
      <c r="A7" s="116"/>
      <c r="B7" s="614"/>
      <c r="C7" s="116"/>
      <c r="D7" s="116"/>
      <c r="E7" s="623"/>
    </row>
    <row r="8" spans="1:29" s="750" customFormat="1" ht="12" hidden="1" customHeight="1">
      <c r="A8" s="116"/>
      <c r="B8" s="614"/>
      <c r="C8" s="116"/>
      <c r="D8" s="116"/>
      <c r="E8" s="623"/>
    </row>
    <row r="9" spans="1:29" s="1016" customFormat="1" ht="12" hidden="1" customHeight="1">
      <c r="B9" s="614"/>
      <c r="E9" s="623"/>
    </row>
    <row r="10" spans="1:29" s="1016" customFormat="1" ht="12" hidden="1" customHeight="1">
      <c r="B10" s="614"/>
      <c r="E10" s="623"/>
    </row>
    <row r="11" spans="1:29" s="1016" customFormat="1" ht="12" hidden="1" customHeight="1">
      <c r="B11" s="614"/>
      <c r="E11" s="623"/>
    </row>
    <row r="12" spans="1:29" s="1016" customFormat="1" ht="12" hidden="1" customHeight="1">
      <c r="B12" s="614"/>
      <c r="E12" s="623"/>
    </row>
    <row r="13" spans="1:29" s="1016" customFormat="1" ht="12" hidden="1" customHeight="1">
      <c r="B13" s="614"/>
      <c r="E13" s="623"/>
    </row>
    <row r="14" spans="1:29" s="1016" customFormat="1" ht="12" hidden="1" customHeight="1">
      <c r="B14" s="614"/>
      <c r="E14" s="623"/>
    </row>
    <row r="15" spans="1:29" s="1016" customFormat="1" ht="12" hidden="1" customHeight="1">
      <c r="B15" s="614"/>
      <c r="E15" s="623"/>
    </row>
    <row r="16" spans="1:29" s="1016" customFormat="1" ht="12" hidden="1" customHeight="1">
      <c r="B16" s="614"/>
      <c r="E16" s="623"/>
    </row>
    <row r="17" spans="2:28" s="1016" customFormat="1" ht="12" hidden="1" customHeight="1">
      <c r="B17" s="614"/>
      <c r="E17" s="623"/>
    </row>
    <row r="18" spans="2:28" s="1016" customFormat="1" ht="12" hidden="1" customHeight="1">
      <c r="B18" s="614"/>
      <c r="E18" s="623"/>
    </row>
    <row r="19" spans="2:28" s="1016" customFormat="1" ht="12" hidden="1" customHeight="1">
      <c r="B19" s="614"/>
      <c r="E19" s="623"/>
    </row>
    <row r="20" spans="2:28" s="1016" customFormat="1" ht="12" hidden="1" customHeight="1">
      <c r="B20" s="614"/>
      <c r="E20" s="623"/>
    </row>
    <row r="21" spans="2:28" ht="11.1" customHeight="1">
      <c r="E21" s="623">
        <v>11.4</v>
      </c>
      <c r="AA21" s="646"/>
      <c r="AB21" s="125"/>
    </row>
    <row r="22" spans="2:28" ht="19.5" customHeight="1">
      <c r="E22" s="623">
        <v>20.100000000000001</v>
      </c>
      <c r="AA22" s="125"/>
      <c r="AB22" s="123" t="s">
        <v>332</v>
      </c>
    </row>
    <row r="23" spans="2:28" ht="11.1" customHeight="1">
      <c r="E23" s="623">
        <v>11.4</v>
      </c>
      <c r="AA23" s="125"/>
      <c r="AB23" s="125"/>
    </row>
    <row r="24" spans="2:28" ht="19.5" customHeight="1">
      <c r="E24" s="623">
        <v>20.100000000000001</v>
      </c>
      <c r="AA24" s="125"/>
      <c r="AB24" s="126"/>
    </row>
    <row r="25" spans="2:28" ht="19.5" customHeight="1">
      <c r="E25" s="623">
        <v>20.100000000000001</v>
      </c>
      <c r="V25" s="109"/>
      <c r="W25" s="109"/>
      <c r="X25" s="109"/>
      <c r="Z25" s="109"/>
      <c r="AA25" s="125"/>
      <c r="AB25" s="126"/>
    </row>
    <row r="26" spans="2:28" ht="19.5" customHeight="1">
      <c r="E26" s="623">
        <v>20.100000000000001</v>
      </c>
      <c r="V26" s="113"/>
      <c r="W26" s="113"/>
      <c r="X26" s="113"/>
      <c r="Y26" s="113"/>
      <c r="Z26" s="109"/>
      <c r="AA26" s="125"/>
      <c r="AB26" s="126"/>
    </row>
    <row r="27" spans="2:28" ht="19.5" customHeight="1">
      <c r="E27" s="623">
        <v>20.100000000000001</v>
      </c>
      <c r="V27" s="113"/>
      <c r="W27" s="113"/>
      <c r="X27" s="113"/>
      <c r="Y27" s="113"/>
      <c r="Z27" s="109"/>
      <c r="AA27" s="125"/>
      <c r="AB27" s="126"/>
    </row>
    <row r="28" spans="2:28" ht="19.5" customHeight="1">
      <c r="E28" s="623">
        <v>20.100000000000001</v>
      </c>
      <c r="V28" s="113"/>
      <c r="W28" s="113"/>
      <c r="X28" s="113"/>
      <c r="Y28" s="113"/>
      <c r="Z28" s="109"/>
      <c r="AA28" s="125"/>
      <c r="AB28" s="126"/>
    </row>
    <row r="29" spans="2:28" ht="19.5" customHeight="1">
      <c r="E29" s="623">
        <v>20.100000000000001</v>
      </c>
      <c r="V29" s="113"/>
      <c r="W29" s="113"/>
      <c r="X29" s="113"/>
      <c r="Y29" s="113"/>
      <c r="Z29" s="109"/>
      <c r="AA29" s="125"/>
      <c r="AB29" s="126"/>
    </row>
    <row r="30" spans="2:28" ht="19.5" customHeight="1">
      <c r="E30" s="623">
        <v>20.100000000000001</v>
      </c>
      <c r="V30" s="113"/>
      <c r="W30" s="113"/>
      <c r="X30" s="113"/>
      <c r="Y30" s="113"/>
      <c r="Z30" s="109"/>
      <c r="AA30" s="125"/>
      <c r="AB30" s="126"/>
    </row>
    <row r="31" spans="2:28" ht="19.5" customHeight="1">
      <c r="E31" s="623">
        <v>20.100000000000001</v>
      </c>
      <c r="V31" s="113"/>
      <c r="W31" s="113"/>
      <c r="X31" s="113"/>
      <c r="Y31" s="113"/>
      <c r="Z31" s="109"/>
      <c r="AA31" s="125"/>
      <c r="AB31" s="126"/>
    </row>
    <row r="32" spans="2:28" ht="19.5" customHeight="1">
      <c r="E32" s="623">
        <v>20.100000000000001</v>
      </c>
      <c r="V32" s="113"/>
      <c r="W32" s="113"/>
      <c r="X32" s="113"/>
      <c r="Y32" s="113"/>
      <c r="Z32" s="109"/>
      <c r="AA32" s="125"/>
      <c r="AB32" s="126"/>
    </row>
    <row r="33" spans="5:29" ht="19.5" customHeight="1">
      <c r="E33" s="623">
        <v>20.100000000000001</v>
      </c>
      <c r="V33" s="113"/>
      <c r="W33" s="113"/>
      <c r="X33" s="113"/>
      <c r="Y33" s="109"/>
      <c r="Z33" s="109"/>
      <c r="AA33" s="125"/>
      <c r="AB33" s="126"/>
    </row>
    <row r="34" spans="5:29" ht="19.5" hidden="1" customHeight="1">
      <c r="E34" s="623">
        <v>20.100000000000001</v>
      </c>
      <c r="V34" s="113"/>
      <c r="W34" s="113"/>
      <c r="X34" s="634" t="b">
        <f>Z34&gt;0</f>
        <v>0</v>
      </c>
      <c r="Y34" s="116" t="s">
        <v>228</v>
      </c>
      <c r="Z34" s="113">
        <v>0</v>
      </c>
      <c r="AA34" s="709" t="s">
        <v>157</v>
      </c>
      <c r="AB34" s="1330"/>
    </row>
    <row r="35" spans="5:29" ht="11.1" customHeight="1">
      <c r="E35" s="623">
        <v>11.4</v>
      </c>
      <c r="Y35" s="109" t="s">
        <v>171</v>
      </c>
      <c r="AB35" s="697" t="s">
        <v>172</v>
      </c>
    </row>
    <row r="36" spans="5:29" ht="11.25" customHeight="1">
      <c r="AC36" s="124"/>
    </row>
  </sheetData>
  <sheetProtection formatColumns="0" formatRows="0" insertRows="0" deleteColumns="0" deleteRows="0" sort="0" autoFilter="0"/>
  <pageMargins left="0.75" right="0.75" top="1" bottom="1" header="0.5" footer="0.5"/>
  <pageSetup scale="74" orientation="portrait"/>
  <headerFooter>
    <oddHeader>&amp;L&amp;C&amp;R</oddHeader>
    <oddFooter>&amp;L&amp;C&amp;R</oddFooter>
    <evenHeader>&amp;L&amp;C&amp;R</evenHeader>
    <evenFooter>&amp;L&amp;C&amp;R</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AC175"/>
  <sheetViews>
    <sheetView showGridLines="0" workbookViewId="0"/>
  </sheetViews>
  <sheetFormatPr defaultColWidth="9.140625" defaultRowHeight="12" customHeight="1"/>
  <cols>
    <col min="1" max="1" width="42.7109375" style="176" customWidth="1"/>
    <col min="2" max="2" width="6.7109375" style="176" customWidth="1"/>
    <col min="3" max="3" width="40.7109375" style="176" customWidth="1"/>
    <col min="4" max="6" width="3.7109375" style="176" customWidth="1"/>
    <col min="7" max="7" width="23.7109375" style="176" customWidth="1"/>
    <col min="8" max="9" width="3.7109375" style="176" customWidth="1"/>
    <col min="10" max="10" width="4.7109375" style="176" customWidth="1"/>
    <col min="11" max="11" width="40.7109375" style="176" customWidth="1"/>
    <col min="12" max="12" width="4.7109375" style="176" customWidth="1"/>
    <col min="13" max="13" width="18.5703125" style="176" customWidth="1"/>
    <col min="14" max="15" width="4.7109375" style="176" customWidth="1"/>
    <col min="16" max="16" width="16.42578125" style="176" customWidth="1"/>
    <col min="17" max="18" width="12.5703125" style="176" customWidth="1"/>
    <col min="19" max="19" width="14.5703125" style="176" customWidth="1"/>
    <col min="20" max="20" width="18.85546875" style="176" customWidth="1"/>
    <col min="21" max="21" width="19.28515625" style="176" customWidth="1"/>
    <col min="22" max="22" width="39.140625" style="176" customWidth="1"/>
    <col min="23" max="23" width="41.7109375" style="176" customWidth="1"/>
    <col min="24" max="24" width="54.85546875" style="176" customWidth="1"/>
    <col min="25" max="26" width="22.85546875" style="176" customWidth="1"/>
    <col min="27" max="27" width="9.140625" style="176"/>
    <col min="28" max="28" width="29.7109375" style="176" customWidth="1"/>
    <col min="29" max="29" width="15.5703125" style="176" customWidth="1"/>
  </cols>
  <sheetData>
    <row r="1" spans="1:29" ht="12" customHeight="1">
      <c r="A1" s="173" t="s">
        <v>1728</v>
      </c>
      <c r="B1" s="174" t="s">
        <v>1729</v>
      </c>
      <c r="C1" s="173" t="s">
        <v>1728</v>
      </c>
      <c r="D1" s="606" t="s">
        <v>1730</v>
      </c>
      <c r="E1" s="173"/>
      <c r="F1" s="173"/>
      <c r="G1" s="175" t="s">
        <v>1731</v>
      </c>
      <c r="H1" s="173"/>
      <c r="I1" s="173"/>
      <c r="J1" s="173"/>
      <c r="K1" s="175" t="s">
        <v>1732</v>
      </c>
      <c r="L1" s="127"/>
      <c r="M1" s="175" t="s">
        <v>1733</v>
      </c>
      <c r="N1" s="173"/>
      <c r="O1" s="127"/>
      <c r="P1" s="175" t="s">
        <v>1734</v>
      </c>
      <c r="Q1" s="175" t="s">
        <v>1735</v>
      </c>
      <c r="R1" s="175" t="s">
        <v>1736</v>
      </c>
      <c r="S1" s="175" t="s">
        <v>1737</v>
      </c>
      <c r="T1" s="175" t="s">
        <v>1738</v>
      </c>
      <c r="U1" s="175" t="s">
        <v>1739</v>
      </c>
      <c r="V1" s="190" t="s">
        <v>1740</v>
      </c>
      <c r="W1" s="190" t="s">
        <v>1741</v>
      </c>
      <c r="X1" s="190" t="s">
        <v>1742</v>
      </c>
      <c r="Y1" s="190" t="s">
        <v>1743</v>
      </c>
      <c r="Z1" s="190" t="s">
        <v>1744</v>
      </c>
      <c r="AB1" s="190" t="s">
        <v>1745</v>
      </c>
      <c r="AC1" s="190" t="s">
        <v>1746</v>
      </c>
    </row>
    <row r="2" spans="1:29" ht="12" customHeight="1">
      <c r="A2" s="173" t="s">
        <v>1747</v>
      </c>
      <c r="B2" s="174" t="s">
        <v>1748</v>
      </c>
      <c r="C2" s="173" t="s">
        <v>1747</v>
      </c>
      <c r="D2" s="605" t="s">
        <v>1749</v>
      </c>
      <c r="E2" s="173"/>
      <c r="F2" s="173"/>
      <c r="G2" s="177" t="s">
        <v>145</v>
      </c>
      <c r="H2" s="173"/>
      <c r="I2" s="173"/>
      <c r="J2" s="173"/>
      <c r="K2" s="650" t="s">
        <v>89</v>
      </c>
      <c r="L2" s="173"/>
      <c r="M2" s="178" t="s">
        <v>1750</v>
      </c>
      <c r="N2" s="173"/>
      <c r="O2" s="173"/>
      <c r="P2" s="177">
        <v>2025</v>
      </c>
      <c r="Q2" s="177">
        <v>2012</v>
      </c>
      <c r="R2" s="177" t="s">
        <v>1751</v>
      </c>
      <c r="S2" s="177">
        <v>3</v>
      </c>
      <c r="T2" s="189" t="s">
        <v>1752</v>
      </c>
      <c r="U2" s="189" t="s">
        <v>235</v>
      </c>
      <c r="V2" s="199" t="s">
        <v>1753</v>
      </c>
      <c r="W2" s="199" t="s">
        <v>1754</v>
      </c>
      <c r="X2" s="199" t="s">
        <v>1755</v>
      </c>
      <c r="Y2" s="199" t="s">
        <v>1756</v>
      </c>
      <c r="Z2" s="199" t="s">
        <v>1756</v>
      </c>
      <c r="AB2" s="682" t="s">
        <v>1757</v>
      </c>
      <c r="AC2" s="683" t="s">
        <v>1758</v>
      </c>
    </row>
    <row r="3" spans="1:29" ht="12" customHeight="1">
      <c r="A3" s="173" t="s">
        <v>1759</v>
      </c>
      <c r="B3" s="174" t="s">
        <v>1760</v>
      </c>
      <c r="C3" s="173" t="s">
        <v>1759</v>
      </c>
      <c r="D3" s="173"/>
      <c r="E3" s="173"/>
      <c r="F3" s="173"/>
      <c r="G3" s="177" t="s">
        <v>138</v>
      </c>
      <c r="H3" s="173"/>
      <c r="I3" s="173"/>
      <c r="J3" s="173"/>
      <c r="K3" s="650" t="s">
        <v>1761</v>
      </c>
      <c r="L3" s="173"/>
      <c r="M3" s="173"/>
      <c r="N3" s="173"/>
      <c r="O3" s="173"/>
      <c r="P3" s="177">
        <v>2026</v>
      </c>
      <c r="Q3" s="177">
        <v>2013</v>
      </c>
      <c r="R3" s="177" t="s">
        <v>1762</v>
      </c>
      <c r="S3" s="177">
        <v>4</v>
      </c>
      <c r="T3" s="189" t="s">
        <v>1763</v>
      </c>
      <c r="U3" s="189" t="s">
        <v>781</v>
      </c>
      <c r="V3" s="199" t="s">
        <v>1764</v>
      </c>
      <c r="W3" s="199" t="s">
        <v>1765</v>
      </c>
      <c r="X3" s="199" t="s">
        <v>1766</v>
      </c>
      <c r="Y3" s="199" t="s">
        <v>1767</v>
      </c>
      <c r="Z3" s="199" t="s">
        <v>1768</v>
      </c>
      <c r="AB3" s="682" t="s">
        <v>1769</v>
      </c>
      <c r="AC3" s="683" t="s">
        <v>1758</v>
      </c>
    </row>
    <row r="4" spans="1:29" ht="12" customHeight="1">
      <c r="A4" s="173" t="s">
        <v>1770</v>
      </c>
      <c r="B4" s="174" t="s">
        <v>1771</v>
      </c>
      <c r="C4" s="173" t="s">
        <v>1770</v>
      </c>
      <c r="D4" s="173"/>
      <c r="E4" s="173"/>
      <c r="F4" s="173"/>
      <c r="G4" s="173"/>
      <c r="H4" s="173"/>
      <c r="I4" s="173"/>
      <c r="J4" s="173"/>
      <c r="K4" s="650" t="s">
        <v>1772</v>
      </c>
      <c r="L4" s="173"/>
      <c r="M4" s="175" t="s">
        <v>1773</v>
      </c>
      <c r="N4" s="173"/>
      <c r="O4" s="173"/>
      <c r="P4" s="173"/>
      <c r="Q4" s="177">
        <v>2014</v>
      </c>
      <c r="R4" s="177" t="s">
        <v>1774</v>
      </c>
      <c r="S4" s="177">
        <v>5</v>
      </c>
      <c r="V4" s="199" t="s">
        <v>1775</v>
      </c>
      <c r="X4" s="199" t="s">
        <v>1776</v>
      </c>
      <c r="Y4" s="457" t="s">
        <v>1768</v>
      </c>
      <c r="Z4" s="199" t="s">
        <v>1777</v>
      </c>
      <c r="AB4" s="682" t="s">
        <v>1778</v>
      </c>
      <c r="AC4" s="683" t="s">
        <v>1758</v>
      </c>
    </row>
    <row r="5" spans="1:29" ht="12" customHeight="1">
      <c r="A5" s="173" t="s">
        <v>1779</v>
      </c>
      <c r="B5" s="174" t="s">
        <v>1780</v>
      </c>
      <c r="C5" s="173" t="s">
        <v>1779</v>
      </c>
      <c r="D5" s="173"/>
      <c r="E5" s="173"/>
      <c r="F5" s="173"/>
      <c r="G5" s="175" t="s">
        <v>1781</v>
      </c>
      <c r="H5" s="173"/>
      <c r="I5" s="173"/>
      <c r="J5" s="173"/>
      <c r="K5" s="650" t="s">
        <v>1782</v>
      </c>
      <c r="L5" s="173"/>
      <c r="M5" s="178">
        <v>1.2</v>
      </c>
      <c r="N5" s="173"/>
      <c r="O5" s="173"/>
      <c r="P5" s="173"/>
      <c r="Q5" s="177">
        <v>2015</v>
      </c>
      <c r="R5" s="177" t="s">
        <v>1783</v>
      </c>
      <c r="S5" s="177">
        <v>6</v>
      </c>
      <c r="V5" s="190" t="s">
        <v>1784</v>
      </c>
      <c r="W5" s="190" t="s">
        <v>1785</v>
      </c>
      <c r="X5" s="199" t="s">
        <v>1786</v>
      </c>
      <c r="Y5" s="199" t="s">
        <v>1777</v>
      </c>
      <c r="Z5" s="199" t="s">
        <v>1787</v>
      </c>
      <c r="AB5" s="682" t="s">
        <v>1788</v>
      </c>
      <c r="AC5" s="683" t="s">
        <v>1758</v>
      </c>
    </row>
    <row r="6" spans="1:29" ht="12" customHeight="1">
      <c r="A6" s="173" t="s">
        <v>1789</v>
      </c>
      <c r="B6" s="174" t="s">
        <v>1790</v>
      </c>
      <c r="C6" s="173" t="s">
        <v>1789</v>
      </c>
      <c r="D6" s="173"/>
      <c r="E6" s="173"/>
      <c r="F6" s="173"/>
      <c r="G6" s="175" t="s">
        <v>1791</v>
      </c>
      <c r="H6" s="173"/>
      <c r="I6" s="173"/>
      <c r="J6" s="173"/>
      <c r="K6" s="173"/>
      <c r="L6" s="173"/>
      <c r="M6" s="173"/>
      <c r="N6" s="173"/>
      <c r="O6" s="173"/>
      <c r="P6" s="173"/>
      <c r="Q6" s="177">
        <v>2016</v>
      </c>
      <c r="R6" s="177" t="s">
        <v>1792</v>
      </c>
      <c r="S6" s="177">
        <v>7</v>
      </c>
      <c r="V6" s="199" t="s">
        <v>1793</v>
      </c>
      <c r="W6" s="259" t="s">
        <v>1794</v>
      </c>
      <c r="X6" s="199" t="s">
        <v>322</v>
      </c>
      <c r="Y6" s="199" t="s">
        <v>1787</v>
      </c>
      <c r="Z6" s="199" t="s">
        <v>1795</v>
      </c>
      <c r="AB6" s="682" t="s">
        <v>1796</v>
      </c>
      <c r="AC6" s="683" t="s">
        <v>1758</v>
      </c>
    </row>
    <row r="7" spans="1:29" ht="12" customHeight="1">
      <c r="A7" s="173" t="s">
        <v>1797</v>
      </c>
      <c r="B7" s="174" t="s">
        <v>1798</v>
      </c>
      <c r="C7" s="173" t="s">
        <v>1797</v>
      </c>
      <c r="D7" s="173"/>
      <c r="E7" s="173"/>
      <c r="F7" s="173"/>
      <c r="G7" s="179" t="s">
        <v>1799</v>
      </c>
      <c r="H7" s="173"/>
      <c r="I7" s="173"/>
      <c r="J7" s="173"/>
      <c r="K7" s="175" t="s">
        <v>1800</v>
      </c>
      <c r="L7" s="173"/>
      <c r="M7" s="175" t="s">
        <v>1801</v>
      </c>
      <c r="N7" s="173"/>
      <c r="O7" s="173"/>
      <c r="P7" s="173"/>
      <c r="Q7" s="177">
        <v>2017</v>
      </c>
      <c r="R7" s="177" t="s">
        <v>1802</v>
      </c>
      <c r="S7" s="177">
        <v>8</v>
      </c>
      <c r="V7" s="199" t="s">
        <v>1803</v>
      </c>
      <c r="X7" s="199" t="s">
        <v>1804</v>
      </c>
      <c r="Y7" s="199" t="s">
        <v>1795</v>
      </c>
      <c r="Z7" s="199" t="s">
        <v>1805</v>
      </c>
      <c r="AB7" s="682" t="s">
        <v>1806</v>
      </c>
      <c r="AC7" s="683" t="s">
        <v>1758</v>
      </c>
    </row>
    <row r="8" spans="1:29" ht="12" customHeight="1">
      <c r="A8" s="173" t="s">
        <v>1807</v>
      </c>
      <c r="B8" s="174" t="s">
        <v>1808</v>
      </c>
      <c r="C8" s="173" t="s">
        <v>1807</v>
      </c>
      <c r="D8" s="173"/>
      <c r="E8" s="173"/>
      <c r="F8" s="173"/>
      <c r="G8" s="179" t="s">
        <v>1809</v>
      </c>
      <c r="H8" s="173"/>
      <c r="I8" s="173"/>
      <c r="J8" s="173"/>
      <c r="K8" s="649" t="s">
        <v>148</v>
      </c>
      <c r="L8" s="173"/>
      <c r="M8" s="178">
        <v>2021</v>
      </c>
      <c r="N8" s="173"/>
      <c r="O8" s="173"/>
      <c r="P8" s="173"/>
      <c r="Q8" s="177">
        <v>2018</v>
      </c>
      <c r="R8" s="177" t="s">
        <v>1810</v>
      </c>
      <c r="S8" s="177">
        <v>9</v>
      </c>
      <c r="V8" s="199" t="s">
        <v>1811</v>
      </c>
      <c r="X8" s="199" t="s">
        <v>1812</v>
      </c>
      <c r="Y8" s="199" t="s">
        <v>1805</v>
      </c>
      <c r="Z8" s="199" t="s">
        <v>1813</v>
      </c>
      <c r="AB8" s="682" t="s">
        <v>1814</v>
      </c>
      <c r="AC8" s="683" t="s">
        <v>1758</v>
      </c>
    </row>
    <row r="9" spans="1:29" ht="12" customHeight="1">
      <c r="A9" s="173" t="s">
        <v>1815</v>
      </c>
      <c r="B9" s="174" t="s">
        <v>1816</v>
      </c>
      <c r="C9" s="173" t="s">
        <v>1815</v>
      </c>
      <c r="D9" s="173"/>
      <c r="E9" s="173"/>
      <c r="F9" s="173"/>
      <c r="G9" s="179" t="s">
        <v>1817</v>
      </c>
      <c r="H9" s="173"/>
      <c r="I9" s="173"/>
      <c r="J9" s="173"/>
      <c r="K9" s="649" t="s">
        <v>1818</v>
      </c>
      <c r="L9" s="173"/>
      <c r="M9" s="173"/>
      <c r="N9" s="173"/>
      <c r="O9" s="173"/>
      <c r="P9" s="173"/>
      <c r="Q9" s="177">
        <v>2019</v>
      </c>
      <c r="R9" s="177" t="s">
        <v>1819</v>
      </c>
      <c r="S9" s="177">
        <v>10</v>
      </c>
      <c r="V9" s="199" t="s">
        <v>1820</v>
      </c>
      <c r="X9" s="199" t="s">
        <v>1821</v>
      </c>
      <c r="AB9" s="682" t="s">
        <v>1822</v>
      </c>
      <c r="AC9" s="683" t="s">
        <v>1758</v>
      </c>
    </row>
    <row r="10" spans="1:29" ht="12" customHeight="1">
      <c r="A10" s="173" t="s">
        <v>1823</v>
      </c>
      <c r="B10" s="174" t="s">
        <v>1824</v>
      </c>
      <c r="C10" s="173" t="s">
        <v>1823</v>
      </c>
      <c r="D10" s="173"/>
      <c r="E10" s="173"/>
      <c r="F10" s="173"/>
      <c r="G10" s="181"/>
      <c r="H10" s="173"/>
      <c r="I10" s="173"/>
      <c r="J10" s="173"/>
      <c r="K10" s="173"/>
      <c r="L10" s="173"/>
      <c r="M10" s="175" t="s">
        <v>1825</v>
      </c>
      <c r="N10" s="173"/>
      <c r="O10" s="173"/>
      <c r="P10" s="173"/>
      <c r="Q10" s="177">
        <v>2020</v>
      </c>
      <c r="R10" s="177" t="s">
        <v>1826</v>
      </c>
      <c r="S10" s="177">
        <v>11</v>
      </c>
      <c r="V10" s="199" t="s">
        <v>1827</v>
      </c>
      <c r="X10" s="199" t="s">
        <v>1828</v>
      </c>
      <c r="AB10" s="682" t="s">
        <v>1829</v>
      </c>
      <c r="AC10" s="683" t="s">
        <v>1758</v>
      </c>
    </row>
    <row r="11" spans="1:29" ht="12" customHeight="1">
      <c r="A11" s="257" t="s">
        <v>1830</v>
      </c>
      <c r="B11" s="174" t="s">
        <v>1831</v>
      </c>
      <c r="C11" s="180" t="s">
        <v>1832</v>
      </c>
      <c r="D11" s="173"/>
      <c r="E11" s="173"/>
      <c r="F11" s="173"/>
      <c r="G11" s="175" t="s">
        <v>1833</v>
      </c>
      <c r="H11" s="173"/>
      <c r="I11" s="173"/>
      <c r="J11" s="173"/>
      <c r="K11" s="175" t="s">
        <v>1834</v>
      </c>
      <c r="L11" s="173"/>
      <c r="M11" s="178" t="str">
        <f>"01.01."&amp;PERIOD</f>
        <v>01.01.2021</v>
      </c>
      <c r="N11" s="173"/>
      <c r="O11" s="173"/>
      <c r="P11" s="173"/>
      <c r="Q11" s="177">
        <v>2021</v>
      </c>
      <c r="R11" s="177" t="s">
        <v>1835</v>
      </c>
      <c r="S11" s="177">
        <v>12</v>
      </c>
      <c r="V11" s="199" t="s">
        <v>1836</v>
      </c>
      <c r="X11" s="199" t="s">
        <v>1837</v>
      </c>
      <c r="AB11" s="682" t="s">
        <v>1838</v>
      </c>
      <c r="AC11" s="683" t="s">
        <v>1758</v>
      </c>
    </row>
    <row r="12" spans="1:29" ht="12" customHeight="1">
      <c r="A12" s="257" t="s">
        <v>1839</v>
      </c>
      <c r="B12" s="174" t="s">
        <v>1840</v>
      </c>
      <c r="C12" s="180"/>
      <c r="D12" s="173"/>
      <c r="E12" s="173"/>
      <c r="F12" s="173"/>
      <c r="G12" s="175" t="s">
        <v>1841</v>
      </c>
      <c r="H12" s="173"/>
      <c r="I12" s="173"/>
      <c r="J12" s="173"/>
      <c r="K12" s="658" t="s">
        <v>1842</v>
      </c>
      <c r="L12" s="173"/>
      <c r="M12" s="178" t="str">
        <f>"31.12."&amp;PERIOD</f>
        <v>31.12.2021</v>
      </c>
      <c r="N12" s="173"/>
      <c r="O12" s="173"/>
      <c r="P12" s="173"/>
      <c r="Q12" s="177">
        <v>2022</v>
      </c>
      <c r="R12" s="177" t="s">
        <v>1843</v>
      </c>
      <c r="S12" s="177">
        <v>13</v>
      </c>
      <c r="X12" s="199" t="s">
        <v>1844</v>
      </c>
      <c r="AB12" s="682" t="s">
        <v>1845</v>
      </c>
      <c r="AC12" s="683" t="s">
        <v>1758</v>
      </c>
    </row>
    <row r="13" spans="1:29" ht="12" customHeight="1">
      <c r="A13" s="257" t="s">
        <v>1846</v>
      </c>
      <c r="B13" s="174" t="s">
        <v>1847</v>
      </c>
      <c r="C13" s="180" t="s">
        <v>1848</v>
      </c>
      <c r="D13" s="173"/>
      <c r="E13" s="173"/>
      <c r="F13" s="173"/>
      <c r="G13" s="179" t="s">
        <v>1849</v>
      </c>
      <c r="H13" s="173"/>
      <c r="I13" s="173"/>
      <c r="J13" s="173"/>
      <c r="K13" s="658" t="s">
        <v>1850</v>
      </c>
      <c r="L13" s="173"/>
      <c r="M13" s="173"/>
      <c r="N13" s="173"/>
      <c r="O13" s="173"/>
      <c r="P13" s="173"/>
      <c r="Q13" s="177">
        <v>2023</v>
      </c>
      <c r="R13" s="177" t="s">
        <v>1851</v>
      </c>
      <c r="S13" s="177">
        <v>14</v>
      </c>
      <c r="X13" s="199" t="s">
        <v>1852</v>
      </c>
      <c r="AB13" s="682" t="s">
        <v>1853</v>
      </c>
      <c r="AC13" s="683" t="s">
        <v>1758</v>
      </c>
    </row>
    <row r="14" spans="1:29" ht="12" customHeight="1">
      <c r="A14" s="257" t="s">
        <v>1854</v>
      </c>
      <c r="B14" s="182" t="s">
        <v>1855</v>
      </c>
      <c r="C14" s="183" t="s">
        <v>1856</v>
      </c>
      <c r="D14" s="173"/>
      <c r="E14" s="173"/>
      <c r="F14" s="173"/>
      <c r="G14" s="179" t="s">
        <v>1857</v>
      </c>
      <c r="H14" s="173"/>
      <c r="I14" s="173"/>
      <c r="J14" s="173"/>
      <c r="K14" s="658" t="s">
        <v>1858</v>
      </c>
      <c r="L14" s="173"/>
      <c r="M14" s="175" t="s">
        <v>1859</v>
      </c>
      <c r="N14" s="173"/>
      <c r="O14" s="173"/>
      <c r="P14" s="173"/>
      <c r="Q14" s="177">
        <v>2024</v>
      </c>
      <c r="R14" s="173"/>
      <c r="S14" s="177">
        <v>15</v>
      </c>
      <c r="X14" s="199" t="s">
        <v>1860</v>
      </c>
      <c r="AB14" s="682" t="s">
        <v>1861</v>
      </c>
      <c r="AC14" s="683" t="s">
        <v>1758</v>
      </c>
    </row>
    <row r="15" spans="1:29" ht="12" customHeight="1">
      <c r="A15" s="173" t="s">
        <v>1862</v>
      </c>
      <c r="B15" s="174" t="s">
        <v>1863</v>
      </c>
      <c r="C15" s="173" t="s">
        <v>1862</v>
      </c>
      <c r="D15" s="173"/>
      <c r="E15" s="173"/>
      <c r="F15" s="173"/>
      <c r="G15" s="179" t="s">
        <v>1864</v>
      </c>
      <c r="H15" s="173"/>
      <c r="I15" s="173"/>
      <c r="J15" s="173"/>
      <c r="K15" s="658" t="s">
        <v>1865</v>
      </c>
      <c r="L15" s="173"/>
      <c r="M15" s="178" t="str">
        <f>"01.01."&amp;PERIOD</f>
        <v>01.01.2021</v>
      </c>
      <c r="N15" s="173"/>
      <c r="O15" s="173"/>
      <c r="P15" s="173"/>
      <c r="Q15" s="177">
        <v>2025</v>
      </c>
      <c r="R15" s="173"/>
      <c r="S15" s="177">
        <v>16</v>
      </c>
      <c r="AB15" s="682" t="s">
        <v>1866</v>
      </c>
      <c r="AC15" s="683" t="s">
        <v>1758</v>
      </c>
    </row>
    <row r="16" spans="1:29" ht="12" customHeight="1">
      <c r="A16" s="173" t="s">
        <v>1867</v>
      </c>
      <c r="B16" s="174" t="s">
        <v>1868</v>
      </c>
      <c r="C16" s="173" t="s">
        <v>1867</v>
      </c>
      <c r="D16" s="173"/>
      <c r="E16" s="173"/>
      <c r="F16" s="173"/>
      <c r="G16" s="179" t="s">
        <v>1869</v>
      </c>
      <c r="H16" s="173"/>
      <c r="I16" s="173"/>
      <c r="J16" s="173"/>
      <c r="K16" s="658" t="s">
        <v>1870</v>
      </c>
      <c r="L16" s="173"/>
      <c r="M16" s="178" t="str">
        <f>"31.12."&amp;PERIOD</f>
        <v>31.12.2021</v>
      </c>
      <c r="N16" s="173"/>
      <c r="O16" s="173"/>
      <c r="P16" s="173"/>
      <c r="Q16" s="177">
        <v>2026</v>
      </c>
      <c r="R16" s="173"/>
      <c r="S16" s="177">
        <v>17</v>
      </c>
      <c r="X16" s="190" t="s">
        <v>1871</v>
      </c>
      <c r="AB16" s="682" t="s">
        <v>1872</v>
      </c>
      <c r="AC16" s="683" t="s">
        <v>1758</v>
      </c>
    </row>
    <row r="17" spans="1:29" ht="12" customHeight="1">
      <c r="A17" s="173" t="s">
        <v>1873</v>
      </c>
      <c r="B17" s="174" t="s">
        <v>1874</v>
      </c>
      <c r="C17" s="173" t="s">
        <v>1873</v>
      </c>
      <c r="D17" s="173"/>
      <c r="E17" s="173"/>
      <c r="F17" s="173"/>
      <c r="G17" s="173"/>
      <c r="H17" s="173"/>
      <c r="I17" s="173"/>
      <c r="J17" s="173"/>
      <c r="K17" s="173"/>
      <c r="L17" s="173"/>
      <c r="M17" s="160"/>
      <c r="N17" s="173"/>
      <c r="O17" s="173"/>
      <c r="P17" s="173"/>
      <c r="Q17" s="177">
        <v>2027</v>
      </c>
      <c r="R17" s="173"/>
      <c r="S17" s="177">
        <v>18</v>
      </c>
      <c r="X17" s="199" t="s">
        <v>1875</v>
      </c>
      <c r="AB17" s="683" t="s">
        <v>1876</v>
      </c>
      <c r="AC17" s="683" t="s">
        <v>1758</v>
      </c>
    </row>
    <row r="18" spans="1:29" ht="12" customHeight="1">
      <c r="A18" s="173" t="s">
        <v>1877</v>
      </c>
      <c r="B18" s="174" t="s">
        <v>1878</v>
      </c>
      <c r="C18" s="173" t="s">
        <v>1877</v>
      </c>
      <c r="D18" s="173"/>
      <c r="E18" s="173"/>
      <c r="F18" s="173"/>
      <c r="G18" s="173"/>
      <c r="H18" s="173"/>
      <c r="I18" s="173"/>
      <c r="J18" s="173"/>
      <c r="K18" s="175" t="s">
        <v>1879</v>
      </c>
      <c r="L18" s="173"/>
      <c r="M18" s="175" t="s">
        <v>1880</v>
      </c>
      <c r="N18" s="173"/>
      <c r="O18" s="173"/>
      <c r="P18" s="173"/>
      <c r="Q18" s="177">
        <v>2028</v>
      </c>
      <c r="R18" s="173"/>
      <c r="S18" s="177">
        <v>19</v>
      </c>
      <c r="X18" s="199" t="s">
        <v>1881</v>
      </c>
      <c r="AB18" s="683" t="s">
        <v>1882</v>
      </c>
      <c r="AC18" s="683" t="s">
        <v>1758</v>
      </c>
    </row>
    <row r="19" spans="1:29" ht="12" customHeight="1">
      <c r="A19" s="173" t="s">
        <v>1883</v>
      </c>
      <c r="B19" s="174" t="s">
        <v>1884</v>
      </c>
      <c r="C19" s="180" t="s">
        <v>1885</v>
      </c>
      <c r="D19" s="173"/>
      <c r="E19" s="173"/>
      <c r="F19" s="173"/>
      <c r="G19" s="173"/>
      <c r="H19" s="173"/>
      <c r="I19" s="173"/>
      <c r="J19" s="173"/>
      <c r="K19" s="649" t="s">
        <v>249</v>
      </c>
      <c r="L19" s="173"/>
      <c r="M19" s="178" t="str">
        <f>"01.01."&amp;PERIOD</f>
        <v>01.01.2021</v>
      </c>
      <c r="N19" s="173"/>
      <c r="O19" s="173"/>
      <c r="P19" s="173"/>
      <c r="Q19" s="177">
        <v>2029</v>
      </c>
      <c r="R19" s="173"/>
      <c r="S19" s="177">
        <v>20</v>
      </c>
      <c r="X19" s="199" t="s">
        <v>1886</v>
      </c>
      <c r="AB19" s="683" t="s">
        <v>1887</v>
      </c>
      <c r="AC19" s="683" t="s">
        <v>1758</v>
      </c>
    </row>
    <row r="20" spans="1:29" ht="12" customHeight="1">
      <c r="A20" s="173" t="s">
        <v>1888</v>
      </c>
      <c r="B20" s="174" t="s">
        <v>1889</v>
      </c>
      <c r="C20" s="173" t="s">
        <v>1888</v>
      </c>
      <c r="D20" s="173"/>
      <c r="E20" s="173"/>
      <c r="F20" s="173"/>
      <c r="G20" s="173"/>
      <c r="H20" s="173"/>
      <c r="I20" s="173"/>
      <c r="J20" s="173"/>
      <c r="K20" s="649" t="s">
        <v>1890</v>
      </c>
      <c r="L20" s="173"/>
      <c r="M20" s="178" t="str">
        <f>"31.12."&amp;PERIOD</f>
        <v>31.12.2021</v>
      </c>
      <c r="N20" s="173"/>
      <c r="O20" s="173"/>
      <c r="P20" s="173"/>
      <c r="Q20" s="177">
        <v>2030</v>
      </c>
      <c r="R20" s="173"/>
      <c r="S20" s="177">
        <v>21</v>
      </c>
      <c r="X20" s="199" t="s">
        <v>223</v>
      </c>
      <c r="AB20" s="683" t="s">
        <v>1891</v>
      </c>
      <c r="AC20" s="683" t="s">
        <v>1758</v>
      </c>
    </row>
    <row r="21" spans="1:29" ht="12" customHeight="1">
      <c r="A21" s="173" t="s">
        <v>1892</v>
      </c>
      <c r="B21" s="174" t="s">
        <v>1893</v>
      </c>
      <c r="C21" s="173" t="s">
        <v>1892</v>
      </c>
      <c r="D21" s="173"/>
      <c r="E21" s="173"/>
      <c r="F21" s="173"/>
      <c r="G21" s="173"/>
      <c r="H21" s="173"/>
      <c r="I21" s="173"/>
      <c r="J21" s="173"/>
      <c r="K21" s="649" t="s">
        <v>1894</v>
      </c>
      <c r="L21" s="173"/>
      <c r="M21" s="173"/>
      <c r="N21" s="173"/>
      <c r="O21" s="173"/>
      <c r="P21" s="173"/>
      <c r="Q21" s="173"/>
      <c r="R21" s="173"/>
      <c r="S21" s="177">
        <v>22</v>
      </c>
      <c r="X21" s="199" t="s">
        <v>1895</v>
      </c>
      <c r="AB21" s="683" t="s">
        <v>1896</v>
      </c>
      <c r="AC21" s="683" t="s">
        <v>1897</v>
      </c>
    </row>
    <row r="22" spans="1:29" ht="12" customHeight="1">
      <c r="A22" s="173" t="s">
        <v>1898</v>
      </c>
      <c r="B22" s="174" t="s">
        <v>1899</v>
      </c>
      <c r="C22" s="173" t="s">
        <v>1898</v>
      </c>
      <c r="D22" s="173"/>
      <c r="E22" s="173"/>
      <c r="F22" s="173"/>
      <c r="G22" s="173"/>
      <c r="H22" s="173"/>
      <c r="I22" s="173"/>
      <c r="J22" s="173"/>
      <c r="K22" s="173"/>
      <c r="L22" s="173"/>
      <c r="M22" s="173"/>
      <c r="N22" s="173"/>
      <c r="O22" s="173"/>
      <c r="P22" s="173"/>
      <c r="Q22" s="173"/>
      <c r="R22" s="173"/>
      <c r="S22" s="177">
        <v>23</v>
      </c>
      <c r="X22" s="199" t="s">
        <v>166</v>
      </c>
      <c r="AB22" s="683" t="s">
        <v>1900</v>
      </c>
      <c r="AC22" s="683" t="s">
        <v>1897</v>
      </c>
    </row>
    <row r="23" spans="1:29" ht="12" customHeight="1">
      <c r="A23" s="173" t="s">
        <v>1901</v>
      </c>
      <c r="B23" s="174" t="s">
        <v>1902</v>
      </c>
      <c r="C23" s="180" t="s">
        <v>1903</v>
      </c>
      <c r="D23" s="173"/>
      <c r="E23" s="173"/>
      <c r="F23" s="173"/>
      <c r="G23" s="173"/>
      <c r="H23" s="173"/>
      <c r="I23" s="173"/>
      <c r="J23" s="173"/>
      <c r="K23" s="175" t="s">
        <v>1904</v>
      </c>
      <c r="L23" s="173"/>
      <c r="M23" s="173"/>
      <c r="N23" s="173"/>
      <c r="O23" s="173"/>
      <c r="P23" s="173"/>
      <c r="Q23" s="173"/>
      <c r="R23" s="173"/>
      <c r="S23" s="177">
        <v>24</v>
      </c>
      <c r="X23" s="199" t="s">
        <v>1905</v>
      </c>
      <c r="AB23" s="682" t="s">
        <v>1906</v>
      </c>
      <c r="AC23" s="683" t="s">
        <v>1897</v>
      </c>
    </row>
    <row r="24" spans="1:29" ht="12" customHeight="1">
      <c r="A24" s="173" t="s">
        <v>87</v>
      </c>
      <c r="B24" s="174" t="s">
        <v>1907</v>
      </c>
      <c r="C24" s="173" t="s">
        <v>87</v>
      </c>
      <c r="D24" s="173"/>
      <c r="E24" s="173"/>
      <c r="F24" s="173"/>
      <c r="G24" s="173"/>
      <c r="H24" s="173"/>
      <c r="I24" s="173"/>
      <c r="J24" s="173"/>
      <c r="K24" s="650" t="s">
        <v>1908</v>
      </c>
      <c r="L24" s="173"/>
      <c r="M24" s="173"/>
      <c r="N24" s="173"/>
      <c r="O24" s="173"/>
      <c r="P24" s="173"/>
      <c r="Q24" s="173"/>
      <c r="R24" s="173"/>
      <c r="S24" s="177">
        <v>25</v>
      </c>
      <c r="X24" s="199" t="s">
        <v>323</v>
      </c>
      <c r="AB24" s="682" t="s">
        <v>1909</v>
      </c>
      <c r="AC24" s="683" t="s">
        <v>1897</v>
      </c>
    </row>
    <row r="25" spans="1:29" ht="12" customHeight="1">
      <c r="A25" s="173" t="s">
        <v>1910</v>
      </c>
      <c r="B25" s="174" t="s">
        <v>1911</v>
      </c>
      <c r="C25" s="173" t="s">
        <v>1910</v>
      </c>
      <c r="D25" s="173"/>
      <c r="E25" s="173"/>
      <c r="F25" s="173"/>
      <c r="G25" s="173"/>
      <c r="H25" s="173"/>
      <c r="I25" s="173"/>
      <c r="J25" s="173"/>
      <c r="K25" s="650" t="s">
        <v>1912</v>
      </c>
      <c r="L25" s="173"/>
      <c r="M25" s="173"/>
      <c r="N25" s="173"/>
      <c r="O25" s="173"/>
      <c r="P25" s="173"/>
      <c r="Q25" s="173"/>
      <c r="R25" s="173"/>
      <c r="S25" s="177">
        <v>26</v>
      </c>
      <c r="X25" s="199" t="s">
        <v>1913</v>
      </c>
      <c r="AB25" s="682" t="s">
        <v>1914</v>
      </c>
      <c r="AC25" s="683" t="s">
        <v>1897</v>
      </c>
    </row>
    <row r="26" spans="1:29" ht="12" customHeight="1">
      <c r="A26" s="173" t="s">
        <v>1915</v>
      </c>
      <c r="B26" s="174" t="s">
        <v>1916</v>
      </c>
      <c r="C26" s="173" t="s">
        <v>1915</v>
      </c>
      <c r="D26" s="173"/>
      <c r="E26" s="173"/>
      <c r="F26" s="173"/>
      <c r="G26" s="173"/>
      <c r="H26" s="173"/>
      <c r="I26" s="173"/>
      <c r="J26" s="173"/>
      <c r="K26" s="650" t="s">
        <v>1917</v>
      </c>
      <c r="L26" s="173"/>
      <c r="M26" s="173"/>
      <c r="N26" s="173"/>
      <c r="O26" s="173"/>
      <c r="P26" s="173"/>
      <c r="Q26" s="173"/>
      <c r="R26" s="173"/>
      <c r="S26" s="177">
        <v>27</v>
      </c>
      <c r="X26" s="199" t="s">
        <v>1918</v>
      </c>
      <c r="AB26" s="682" t="s">
        <v>1919</v>
      </c>
      <c r="AC26" s="683" t="s">
        <v>1897</v>
      </c>
    </row>
    <row r="27" spans="1:29" ht="12" customHeight="1">
      <c r="A27" s="173" t="s">
        <v>1920</v>
      </c>
      <c r="B27" s="174" t="s">
        <v>1921</v>
      </c>
      <c r="C27" s="173" t="s">
        <v>1920</v>
      </c>
      <c r="D27" s="173"/>
      <c r="E27" s="173"/>
      <c r="F27" s="173"/>
      <c r="G27" s="173"/>
      <c r="H27" s="173"/>
      <c r="I27" s="173"/>
      <c r="J27" s="173"/>
      <c r="K27" s="650" t="s">
        <v>1922</v>
      </c>
      <c r="L27" s="173"/>
      <c r="M27" s="173"/>
      <c r="N27" s="173"/>
      <c r="O27" s="173"/>
      <c r="P27" s="173"/>
      <c r="Q27" s="173"/>
      <c r="R27" s="173"/>
      <c r="S27" s="177">
        <v>28</v>
      </c>
      <c r="X27" s="199" t="s">
        <v>1923</v>
      </c>
      <c r="AB27" s="682" t="s">
        <v>1924</v>
      </c>
      <c r="AC27" s="683" t="s">
        <v>1897</v>
      </c>
    </row>
    <row r="28" spans="1:29" ht="12" customHeight="1">
      <c r="A28" s="173" t="s">
        <v>1925</v>
      </c>
      <c r="B28" s="174" t="s">
        <v>1926</v>
      </c>
      <c r="C28" s="173" t="s">
        <v>1925</v>
      </c>
      <c r="D28" s="173"/>
      <c r="E28" s="173"/>
      <c r="F28" s="173"/>
      <c r="G28" s="173"/>
      <c r="H28" s="173"/>
      <c r="I28" s="173"/>
      <c r="J28" s="173"/>
      <c r="K28" s="650" t="s">
        <v>1927</v>
      </c>
      <c r="L28" s="173"/>
      <c r="M28" s="173"/>
      <c r="N28" s="173"/>
      <c r="O28" s="173"/>
      <c r="P28" s="173"/>
      <c r="Q28" s="173"/>
      <c r="R28" s="173"/>
      <c r="S28" s="177">
        <v>29</v>
      </c>
      <c r="X28" s="199" t="s">
        <v>1928</v>
      </c>
      <c r="AB28" s="682" t="s">
        <v>1929</v>
      </c>
      <c r="AC28" s="683" t="s">
        <v>1897</v>
      </c>
    </row>
    <row r="29" spans="1:29" ht="12" customHeight="1">
      <c r="A29" s="173" t="s">
        <v>1930</v>
      </c>
      <c r="B29" s="174" t="s">
        <v>1931</v>
      </c>
      <c r="C29" s="173" t="s">
        <v>1930</v>
      </c>
      <c r="D29" s="173"/>
      <c r="E29" s="173"/>
      <c r="F29" s="173"/>
      <c r="G29" s="173"/>
      <c r="H29" s="173"/>
      <c r="I29" s="173"/>
      <c r="J29" s="173"/>
      <c r="K29" s="173"/>
      <c r="L29" s="173"/>
      <c r="M29" s="173"/>
      <c r="N29" s="173"/>
      <c r="O29" s="173"/>
      <c r="P29" s="173"/>
      <c r="Q29" s="173"/>
      <c r="R29" s="173"/>
      <c r="S29" s="177">
        <v>30</v>
      </c>
      <c r="X29" s="199" t="s">
        <v>1932</v>
      </c>
      <c r="AB29" s="682" t="s">
        <v>1933</v>
      </c>
      <c r="AC29" s="683" t="s">
        <v>1897</v>
      </c>
    </row>
    <row r="30" spans="1:29" ht="12" customHeight="1">
      <c r="A30" s="173" t="s">
        <v>1934</v>
      </c>
      <c r="B30" s="174" t="s">
        <v>1935</v>
      </c>
      <c r="C30" s="173" t="s">
        <v>1934</v>
      </c>
      <c r="D30" s="173"/>
      <c r="E30" s="173"/>
      <c r="F30" s="173"/>
      <c r="G30" s="173"/>
      <c r="H30" s="173"/>
      <c r="I30" s="173"/>
      <c r="J30" s="173"/>
      <c r="K30" s="175" t="s">
        <v>1936</v>
      </c>
      <c r="L30" s="173"/>
      <c r="M30" s="173"/>
      <c r="N30" s="173"/>
      <c r="O30" s="173"/>
      <c r="P30" s="173"/>
      <c r="Q30" s="173"/>
      <c r="R30" s="173"/>
      <c r="S30" s="177">
        <v>31</v>
      </c>
      <c r="X30" s="199" t="s">
        <v>1937</v>
      </c>
      <c r="AB30" s="682" t="s">
        <v>1938</v>
      </c>
      <c r="AC30" s="683" t="s">
        <v>1897</v>
      </c>
    </row>
    <row r="31" spans="1:29" ht="12" customHeight="1">
      <c r="A31" s="173" t="s">
        <v>1939</v>
      </c>
      <c r="B31" s="174" t="s">
        <v>1940</v>
      </c>
      <c r="C31" s="173" t="s">
        <v>1939</v>
      </c>
      <c r="D31" s="173"/>
      <c r="E31" s="173"/>
      <c r="F31" s="173"/>
      <c r="G31" s="173"/>
      <c r="H31" s="173"/>
      <c r="I31" s="173"/>
      <c r="J31" s="173"/>
      <c r="K31" s="650" t="s">
        <v>1941</v>
      </c>
      <c r="L31" s="173"/>
      <c r="M31" s="173"/>
      <c r="N31" s="173"/>
      <c r="O31" s="173"/>
      <c r="P31" s="173"/>
      <c r="Q31" s="173"/>
      <c r="R31" s="173"/>
      <c r="S31" s="177">
        <v>32</v>
      </c>
      <c r="X31" s="199" t="s">
        <v>1942</v>
      </c>
      <c r="AB31" s="682" t="s">
        <v>1943</v>
      </c>
      <c r="AC31" s="683" t="s">
        <v>1897</v>
      </c>
    </row>
    <row r="32" spans="1:29" ht="12" customHeight="1">
      <c r="A32" s="173" t="s">
        <v>1944</v>
      </c>
      <c r="B32" s="174" t="s">
        <v>1945</v>
      </c>
      <c r="C32" s="173" t="s">
        <v>1944</v>
      </c>
      <c r="D32" s="173"/>
      <c r="E32" s="173"/>
      <c r="F32" s="173"/>
      <c r="G32" s="173"/>
      <c r="H32" s="173"/>
      <c r="I32" s="173"/>
      <c r="J32" s="173"/>
      <c r="K32" s="650" t="s">
        <v>1946</v>
      </c>
      <c r="L32" s="173"/>
      <c r="M32" s="173"/>
      <c r="N32" s="173"/>
      <c r="O32" s="173"/>
      <c r="P32" s="173"/>
      <c r="Q32" s="173"/>
      <c r="R32" s="173"/>
      <c r="S32" s="177">
        <v>33</v>
      </c>
      <c r="X32" s="199" t="s">
        <v>1947</v>
      </c>
      <c r="AB32" s="682" t="s">
        <v>1948</v>
      </c>
      <c r="AC32" s="683" t="s">
        <v>1897</v>
      </c>
    </row>
    <row r="33" spans="1:29" ht="12" customHeight="1">
      <c r="A33" s="173" t="s">
        <v>1949</v>
      </c>
      <c r="B33" s="174" t="s">
        <v>1950</v>
      </c>
      <c r="C33" s="173" t="s">
        <v>1949</v>
      </c>
      <c r="D33" s="173"/>
      <c r="E33" s="173"/>
      <c r="F33" s="173"/>
      <c r="G33" s="173"/>
      <c r="H33" s="173"/>
      <c r="I33" s="173"/>
      <c r="J33" s="173"/>
      <c r="K33" s="650" t="s">
        <v>1951</v>
      </c>
      <c r="L33" s="173"/>
      <c r="M33" s="173"/>
      <c r="N33" s="173"/>
      <c r="O33" s="173"/>
      <c r="P33" s="173"/>
      <c r="Q33" s="173"/>
      <c r="R33" s="173"/>
      <c r="S33" s="177">
        <v>34</v>
      </c>
      <c r="X33" s="199" t="s">
        <v>1952</v>
      </c>
      <c r="AB33" s="683" t="s">
        <v>1953</v>
      </c>
      <c r="AC33" s="683" t="s">
        <v>1897</v>
      </c>
    </row>
    <row r="34" spans="1:29" ht="12" customHeight="1">
      <c r="A34" s="173" t="s">
        <v>1954</v>
      </c>
      <c r="B34" s="174" t="s">
        <v>1955</v>
      </c>
      <c r="C34" s="173" t="s">
        <v>1954</v>
      </c>
      <c r="D34" s="173"/>
      <c r="E34" s="173"/>
      <c r="F34" s="173"/>
      <c r="G34" s="173"/>
      <c r="H34" s="173"/>
      <c r="I34" s="173"/>
      <c r="J34" s="173"/>
      <c r="K34" s="173"/>
      <c r="L34" s="173"/>
      <c r="M34" s="173"/>
      <c r="N34" s="173"/>
      <c r="O34" s="173"/>
      <c r="P34" s="173"/>
      <c r="Q34" s="173"/>
      <c r="R34" s="173"/>
      <c r="S34" s="177">
        <v>35</v>
      </c>
      <c r="X34" s="199" t="s">
        <v>1956</v>
      </c>
      <c r="AB34" s="683" t="s">
        <v>1957</v>
      </c>
      <c r="AC34" s="683" t="s">
        <v>1897</v>
      </c>
    </row>
    <row r="35" spans="1:29" ht="12" customHeight="1">
      <c r="A35" s="173" t="s">
        <v>1958</v>
      </c>
      <c r="B35" s="174" t="s">
        <v>1959</v>
      </c>
      <c r="C35" s="173" t="s">
        <v>1958</v>
      </c>
      <c r="D35" s="173"/>
      <c r="E35" s="173"/>
      <c r="F35" s="173"/>
      <c r="G35" s="173"/>
      <c r="H35" s="173"/>
      <c r="I35" s="173"/>
      <c r="J35" s="173"/>
      <c r="K35" s="173"/>
      <c r="L35" s="173"/>
      <c r="M35" s="173"/>
      <c r="N35" s="173"/>
      <c r="O35" s="173"/>
      <c r="P35" s="173"/>
      <c r="Q35" s="173"/>
      <c r="R35" s="173"/>
      <c r="S35" s="177">
        <v>36</v>
      </c>
      <c r="X35" s="199" t="s">
        <v>1960</v>
      </c>
      <c r="AB35" s="683" t="s">
        <v>1961</v>
      </c>
      <c r="AC35" s="683" t="s">
        <v>1897</v>
      </c>
    </row>
    <row r="36" spans="1:29" ht="12" customHeight="1">
      <c r="A36" s="173" t="s">
        <v>1962</v>
      </c>
      <c r="B36" s="174" t="s">
        <v>1963</v>
      </c>
      <c r="C36" s="173" t="s">
        <v>1962</v>
      </c>
      <c r="D36" s="173"/>
      <c r="E36" s="173"/>
      <c r="F36" s="173"/>
      <c r="G36" s="173"/>
      <c r="H36" s="173"/>
      <c r="I36" s="173"/>
      <c r="J36" s="173"/>
      <c r="K36" s="173"/>
      <c r="L36" s="173"/>
      <c r="M36" s="173"/>
      <c r="N36" s="173"/>
      <c r="O36" s="173"/>
      <c r="P36" s="173"/>
      <c r="Q36" s="173"/>
      <c r="R36" s="173"/>
      <c r="S36" s="177">
        <v>37</v>
      </c>
      <c r="X36" s="199" t="s">
        <v>1964</v>
      </c>
      <c r="AB36" s="683" t="s">
        <v>1965</v>
      </c>
      <c r="AC36" s="683" t="s">
        <v>1897</v>
      </c>
    </row>
    <row r="37" spans="1:29" ht="12" customHeight="1">
      <c r="A37" s="173" t="s">
        <v>1966</v>
      </c>
      <c r="B37" s="174" t="s">
        <v>1967</v>
      </c>
      <c r="C37" s="173" t="s">
        <v>1966</v>
      </c>
      <c r="D37" s="173"/>
      <c r="E37" s="173"/>
      <c r="F37" s="173"/>
      <c r="G37" s="173"/>
      <c r="H37" s="173"/>
      <c r="I37" s="173"/>
      <c r="J37" s="173"/>
      <c r="K37" s="173"/>
      <c r="L37" s="173"/>
      <c r="M37" s="173"/>
      <c r="N37" s="173"/>
      <c r="O37" s="173"/>
      <c r="P37" s="173"/>
      <c r="Q37" s="173"/>
      <c r="R37" s="173"/>
      <c r="S37" s="177">
        <v>38</v>
      </c>
      <c r="AB37" s="683" t="s">
        <v>1968</v>
      </c>
      <c r="AC37" s="683" t="s">
        <v>1897</v>
      </c>
    </row>
    <row r="38" spans="1:29" ht="12" customHeight="1">
      <c r="A38" s="173" t="s">
        <v>1969</v>
      </c>
      <c r="B38" s="174" t="s">
        <v>1970</v>
      </c>
      <c r="C38" s="173" t="s">
        <v>1969</v>
      </c>
      <c r="D38" s="173"/>
      <c r="E38" s="173"/>
      <c r="F38" s="173"/>
      <c r="G38" s="173"/>
      <c r="H38" s="173"/>
      <c r="I38" s="173"/>
      <c r="J38" s="173"/>
      <c r="K38" s="175" t="s">
        <v>1971</v>
      </c>
      <c r="L38" s="173"/>
      <c r="M38" s="173"/>
      <c r="N38" s="173"/>
      <c r="O38" s="173"/>
      <c r="P38" s="173"/>
      <c r="Q38" s="173"/>
      <c r="R38" s="173"/>
      <c r="S38" s="177">
        <v>39</v>
      </c>
      <c r="AB38" s="683" t="s">
        <v>1972</v>
      </c>
      <c r="AC38" s="683" t="s">
        <v>1897</v>
      </c>
    </row>
    <row r="39" spans="1:29" ht="12" customHeight="1">
      <c r="A39" s="173" t="s">
        <v>1973</v>
      </c>
      <c r="B39" s="174" t="s">
        <v>1974</v>
      </c>
      <c r="C39" s="173" t="s">
        <v>1973</v>
      </c>
      <c r="D39" s="173"/>
      <c r="E39" s="173"/>
      <c r="F39" s="173"/>
      <c r="G39" s="173"/>
      <c r="H39" s="173"/>
      <c r="I39" s="173"/>
      <c r="J39" s="173"/>
      <c r="K39" s="179" t="s">
        <v>1975</v>
      </c>
      <c r="L39" s="173"/>
      <c r="M39" s="173"/>
      <c r="N39" s="173"/>
      <c r="O39" s="173"/>
      <c r="P39" s="173"/>
      <c r="Q39" s="173"/>
      <c r="R39" s="173"/>
      <c r="S39" s="177">
        <v>40</v>
      </c>
      <c r="AB39" s="683" t="s">
        <v>1976</v>
      </c>
      <c r="AC39" s="683" t="s">
        <v>1897</v>
      </c>
    </row>
    <row r="40" spans="1:29" ht="12" customHeight="1">
      <c r="A40" s="173" t="s">
        <v>1977</v>
      </c>
      <c r="B40" s="174" t="s">
        <v>1978</v>
      </c>
      <c r="C40" s="173" t="s">
        <v>1977</v>
      </c>
      <c r="D40" s="173"/>
      <c r="E40" s="173"/>
      <c r="F40" s="173"/>
      <c r="G40" s="173"/>
      <c r="H40" s="173"/>
      <c r="I40" s="173"/>
      <c r="J40" s="173"/>
      <c r="K40" s="179" t="s">
        <v>1979</v>
      </c>
      <c r="L40" s="173"/>
      <c r="M40" s="173"/>
      <c r="N40" s="173"/>
      <c r="O40" s="173"/>
      <c r="P40" s="173"/>
      <c r="Q40" s="173"/>
      <c r="R40" s="173"/>
      <c r="S40" s="177">
        <v>41</v>
      </c>
      <c r="AB40" s="683" t="s">
        <v>1980</v>
      </c>
      <c r="AC40" s="683" t="s">
        <v>1897</v>
      </c>
    </row>
    <row r="41" spans="1:29" ht="12" customHeight="1">
      <c r="A41" s="173" t="s">
        <v>1981</v>
      </c>
      <c r="B41" s="174" t="s">
        <v>1982</v>
      </c>
      <c r="C41" s="173" t="s">
        <v>1981</v>
      </c>
      <c r="D41" s="173"/>
      <c r="E41" s="173"/>
      <c r="F41" s="173"/>
      <c r="G41" s="173"/>
      <c r="H41" s="173"/>
      <c r="I41" s="173"/>
      <c r="J41" s="173"/>
      <c r="K41" s="179" t="s">
        <v>1983</v>
      </c>
      <c r="L41" s="173"/>
      <c r="M41" s="173"/>
      <c r="N41" s="173"/>
      <c r="O41" s="173"/>
      <c r="P41" s="173"/>
      <c r="Q41" s="173"/>
      <c r="R41" s="173"/>
      <c r="S41" s="177">
        <v>42</v>
      </c>
      <c r="AB41" s="683" t="s">
        <v>1984</v>
      </c>
      <c r="AC41" s="683" t="s">
        <v>1897</v>
      </c>
    </row>
    <row r="42" spans="1:29" ht="12" customHeight="1">
      <c r="A42" s="173" t="s">
        <v>1985</v>
      </c>
      <c r="B42" s="174" t="s">
        <v>1986</v>
      </c>
      <c r="C42" s="173" t="s">
        <v>1985</v>
      </c>
      <c r="D42" s="173"/>
      <c r="E42" s="173"/>
      <c r="F42" s="173"/>
      <c r="G42" s="173"/>
      <c r="H42" s="173"/>
      <c r="I42" s="173"/>
      <c r="J42" s="173"/>
      <c r="K42" s="179" t="s">
        <v>1987</v>
      </c>
      <c r="L42" s="173"/>
      <c r="M42" s="173"/>
      <c r="N42" s="173"/>
      <c r="O42" s="173"/>
      <c r="P42" s="173"/>
      <c r="Q42" s="173"/>
      <c r="R42" s="173"/>
      <c r="S42" s="177">
        <v>43</v>
      </c>
      <c r="AB42" s="683" t="s">
        <v>1988</v>
      </c>
      <c r="AC42" s="683" t="s">
        <v>1897</v>
      </c>
    </row>
    <row r="43" spans="1:29" ht="12" customHeight="1">
      <c r="A43" s="173" t="s">
        <v>1989</v>
      </c>
      <c r="B43" s="174" t="s">
        <v>1990</v>
      </c>
      <c r="C43" s="173" t="s">
        <v>1989</v>
      </c>
      <c r="D43" s="173"/>
      <c r="E43" s="173"/>
      <c r="F43" s="173"/>
      <c r="G43" s="173"/>
      <c r="H43" s="173"/>
      <c r="I43" s="173"/>
      <c r="J43" s="173"/>
      <c r="K43" s="173"/>
      <c r="L43" s="173"/>
      <c r="M43" s="173"/>
      <c r="N43" s="173"/>
      <c r="O43" s="173"/>
      <c r="P43" s="173"/>
      <c r="Q43" s="173"/>
      <c r="R43" s="173"/>
      <c r="S43" s="177">
        <v>44</v>
      </c>
      <c r="AB43" s="683" t="s">
        <v>1991</v>
      </c>
      <c r="AC43" s="683" t="s">
        <v>1992</v>
      </c>
    </row>
    <row r="44" spans="1:29" ht="12" customHeight="1">
      <c r="A44" s="173" t="s">
        <v>1993</v>
      </c>
      <c r="B44" s="174" t="s">
        <v>1994</v>
      </c>
      <c r="C44" s="173" t="s">
        <v>1993</v>
      </c>
      <c r="D44" s="173"/>
      <c r="E44" s="173"/>
      <c r="F44" s="173"/>
      <c r="G44" s="173"/>
      <c r="H44" s="173"/>
      <c r="I44" s="173"/>
      <c r="J44" s="173"/>
      <c r="K44" s="173"/>
      <c r="L44" s="173"/>
      <c r="M44" s="173"/>
      <c r="N44" s="173"/>
      <c r="O44" s="173"/>
      <c r="P44" s="173"/>
      <c r="Q44" s="173"/>
      <c r="R44" s="173"/>
      <c r="S44" s="177">
        <v>45</v>
      </c>
      <c r="AB44" s="683" t="s">
        <v>1995</v>
      </c>
      <c r="AC44" s="683" t="s">
        <v>1996</v>
      </c>
    </row>
    <row r="45" spans="1:29" ht="12" customHeight="1">
      <c r="A45" s="173" t="s">
        <v>1997</v>
      </c>
      <c r="B45" s="174" t="s">
        <v>1998</v>
      </c>
      <c r="C45" s="173" t="s">
        <v>1997</v>
      </c>
      <c r="D45" s="173"/>
      <c r="E45" s="173"/>
      <c r="F45" s="173"/>
      <c r="G45" s="173"/>
      <c r="H45" s="173"/>
      <c r="I45" s="173"/>
      <c r="J45" s="173"/>
      <c r="K45" s="175" t="s">
        <v>1999</v>
      </c>
      <c r="L45" s="173"/>
      <c r="M45" s="173"/>
      <c r="N45" s="173"/>
      <c r="O45" s="173"/>
      <c r="P45" s="173"/>
      <c r="Q45" s="173"/>
      <c r="R45" s="173"/>
      <c r="S45" s="177">
        <v>46</v>
      </c>
      <c r="AB45" s="683" t="s">
        <v>2000</v>
      </c>
      <c r="AC45" s="683" t="s">
        <v>1897</v>
      </c>
    </row>
    <row r="46" spans="1:29" ht="12" customHeight="1">
      <c r="A46" s="173" t="s">
        <v>2001</v>
      </c>
      <c r="B46" s="174" t="s">
        <v>2002</v>
      </c>
      <c r="C46" s="173" t="s">
        <v>2001</v>
      </c>
      <c r="D46" s="173"/>
      <c r="E46" s="173"/>
      <c r="F46" s="173"/>
      <c r="G46" s="173"/>
      <c r="H46" s="173"/>
      <c r="I46" s="173"/>
      <c r="J46" s="173"/>
      <c r="K46" s="179" t="s">
        <v>223</v>
      </c>
      <c r="L46" s="173"/>
      <c r="M46" s="173"/>
      <c r="N46" s="173"/>
      <c r="O46" s="173"/>
      <c r="P46" s="173"/>
      <c r="Q46" s="173"/>
      <c r="R46" s="173"/>
      <c r="S46" s="177">
        <v>47</v>
      </c>
      <c r="AB46" s="683" t="s">
        <v>2003</v>
      </c>
      <c r="AC46" s="683" t="s">
        <v>1897</v>
      </c>
    </row>
    <row r="47" spans="1:29" ht="12" customHeight="1">
      <c r="A47" s="173" t="s">
        <v>2004</v>
      </c>
      <c r="B47" s="174" t="s">
        <v>2005</v>
      </c>
      <c r="C47" s="173" t="s">
        <v>2004</v>
      </c>
      <c r="D47" s="173"/>
      <c r="E47" s="173"/>
      <c r="F47" s="173"/>
      <c r="G47" s="173"/>
      <c r="H47" s="173"/>
      <c r="I47" s="173"/>
      <c r="J47" s="173"/>
      <c r="K47" s="179" t="s">
        <v>1895</v>
      </c>
      <c r="L47" s="173"/>
      <c r="M47" s="173"/>
      <c r="N47" s="173"/>
      <c r="O47" s="173"/>
      <c r="P47" s="173"/>
      <c r="Q47" s="173"/>
      <c r="R47" s="173"/>
      <c r="S47" s="177">
        <v>48</v>
      </c>
      <c r="AB47" s="683" t="s">
        <v>2006</v>
      </c>
      <c r="AC47" s="683" t="s">
        <v>1897</v>
      </c>
    </row>
    <row r="48" spans="1:29" ht="12" customHeight="1">
      <c r="A48" s="173" t="s">
        <v>2007</v>
      </c>
      <c r="B48" s="174" t="s">
        <v>2008</v>
      </c>
      <c r="C48" s="173" t="s">
        <v>2007</v>
      </c>
      <c r="D48" s="173"/>
      <c r="E48" s="173"/>
      <c r="F48" s="173"/>
      <c r="G48" s="173"/>
      <c r="H48" s="173"/>
      <c r="I48" s="173"/>
      <c r="J48" s="173"/>
      <c r="K48" s="179" t="s">
        <v>166</v>
      </c>
      <c r="L48" s="173"/>
      <c r="M48" s="173"/>
      <c r="N48" s="173"/>
      <c r="O48" s="173"/>
      <c r="P48" s="173"/>
      <c r="Q48" s="173"/>
      <c r="R48" s="173"/>
      <c r="S48" s="177">
        <v>49</v>
      </c>
      <c r="AB48" s="683" t="s">
        <v>2009</v>
      </c>
      <c r="AC48" s="683" t="s">
        <v>1897</v>
      </c>
    </row>
    <row r="49" spans="1:29" ht="12" customHeight="1">
      <c r="A49" s="173" t="s">
        <v>2010</v>
      </c>
      <c r="B49" s="174" t="s">
        <v>2011</v>
      </c>
      <c r="C49" s="173" t="s">
        <v>2010</v>
      </c>
      <c r="D49" s="173"/>
      <c r="E49" s="173"/>
      <c r="F49" s="173"/>
      <c r="G49" s="173"/>
      <c r="H49" s="173"/>
      <c r="I49" s="173"/>
      <c r="J49" s="173"/>
      <c r="K49" s="179" t="s">
        <v>1905</v>
      </c>
      <c r="L49" s="173"/>
      <c r="M49" s="173"/>
      <c r="N49" s="173"/>
      <c r="O49" s="173"/>
      <c r="P49" s="173"/>
      <c r="Q49" s="173"/>
      <c r="R49" s="173"/>
      <c r="S49" s="177">
        <v>50</v>
      </c>
      <c r="AB49" s="683" t="s">
        <v>2012</v>
      </c>
      <c r="AC49" s="683" t="s">
        <v>1897</v>
      </c>
    </row>
    <row r="50" spans="1:29" ht="12" customHeight="1">
      <c r="A50" s="173" t="s">
        <v>2013</v>
      </c>
      <c r="B50" s="174" t="s">
        <v>2014</v>
      </c>
      <c r="C50" s="173" t="s">
        <v>2013</v>
      </c>
      <c r="D50" s="173"/>
      <c r="E50" s="173"/>
      <c r="F50" s="173"/>
      <c r="G50" s="173"/>
      <c r="H50" s="173"/>
      <c r="I50" s="173"/>
      <c r="J50" s="173"/>
      <c r="K50" s="179" t="s">
        <v>2015</v>
      </c>
      <c r="L50" s="173"/>
      <c r="M50" s="173"/>
      <c r="N50" s="173"/>
      <c r="O50" s="173"/>
      <c r="P50" s="173"/>
      <c r="Q50" s="173"/>
      <c r="R50" s="173"/>
      <c r="AB50" s="683" t="s">
        <v>2016</v>
      </c>
      <c r="AC50" s="683" t="s">
        <v>1897</v>
      </c>
    </row>
    <row r="51" spans="1:29" ht="12" customHeight="1">
      <c r="A51" s="173" t="s">
        <v>2017</v>
      </c>
      <c r="B51" s="174" t="s">
        <v>2018</v>
      </c>
      <c r="C51" s="173" t="s">
        <v>2017</v>
      </c>
      <c r="D51" s="173"/>
      <c r="E51" s="173"/>
      <c r="F51" s="173"/>
      <c r="G51" s="173"/>
      <c r="H51" s="173"/>
      <c r="I51" s="173"/>
      <c r="J51" s="173"/>
      <c r="K51" s="179" t="s">
        <v>1886</v>
      </c>
      <c r="L51" s="173"/>
      <c r="M51" s="173"/>
      <c r="N51" s="173"/>
      <c r="O51" s="173"/>
      <c r="P51" s="173"/>
      <c r="Q51" s="173"/>
      <c r="R51" s="173"/>
      <c r="AB51" s="683" t="s">
        <v>2019</v>
      </c>
      <c r="AC51" s="683" t="s">
        <v>1897</v>
      </c>
    </row>
    <row r="52" spans="1:29" ht="12" customHeight="1">
      <c r="A52" s="173" t="s">
        <v>2020</v>
      </c>
      <c r="B52" s="174" t="s">
        <v>2021</v>
      </c>
      <c r="C52" s="173" t="s">
        <v>2020</v>
      </c>
      <c r="D52" s="173"/>
      <c r="E52" s="173"/>
      <c r="F52" s="173"/>
      <c r="G52" s="173"/>
      <c r="H52" s="173"/>
      <c r="I52" s="173"/>
      <c r="J52" s="173"/>
      <c r="K52" s="179" t="s">
        <v>2022</v>
      </c>
      <c r="L52" s="173"/>
      <c r="M52" s="173"/>
      <c r="N52" s="173"/>
      <c r="O52" s="173"/>
      <c r="P52" s="173"/>
      <c r="Q52" s="173"/>
      <c r="R52" s="173"/>
      <c r="AB52" s="683" t="s">
        <v>2023</v>
      </c>
      <c r="AC52" s="777" t="s">
        <v>1897</v>
      </c>
    </row>
    <row r="53" spans="1:29" ht="12" customHeight="1">
      <c r="A53" s="173" t="s">
        <v>2024</v>
      </c>
      <c r="B53" s="174" t="s">
        <v>2025</v>
      </c>
      <c r="C53" s="173" t="s">
        <v>2024</v>
      </c>
      <c r="D53" s="173"/>
      <c r="E53" s="173"/>
      <c r="F53" s="173"/>
      <c r="G53" s="173"/>
      <c r="H53" s="173"/>
      <c r="I53" s="173"/>
      <c r="J53" s="173"/>
      <c r="K53" s="173"/>
      <c r="L53" s="173"/>
      <c r="M53" s="173"/>
      <c r="N53" s="173"/>
      <c r="O53" s="173"/>
      <c r="P53" s="173"/>
      <c r="Q53" s="173"/>
      <c r="R53" s="173"/>
      <c r="AB53" s="683" t="s">
        <v>2026</v>
      </c>
      <c r="AC53" s="683" t="s">
        <v>1758</v>
      </c>
    </row>
    <row r="54" spans="1:29" ht="12" customHeight="1">
      <c r="A54" s="173" t="s">
        <v>2027</v>
      </c>
      <c r="B54" s="174" t="s">
        <v>2028</v>
      </c>
      <c r="C54" s="173" t="s">
        <v>2027</v>
      </c>
      <c r="D54" s="173"/>
      <c r="E54" s="173"/>
      <c r="F54" s="173"/>
      <c r="G54" s="173"/>
      <c r="H54" s="173"/>
      <c r="I54" s="173"/>
      <c r="J54" s="173"/>
      <c r="K54" s="173"/>
      <c r="L54" s="173"/>
      <c r="M54" s="173"/>
      <c r="N54" s="173"/>
      <c r="O54" s="173"/>
      <c r="P54" s="173"/>
      <c r="Q54" s="173"/>
      <c r="R54" s="173"/>
      <c r="AB54" s="682" t="s">
        <v>2029</v>
      </c>
      <c r="AC54" s="683" t="s">
        <v>1758</v>
      </c>
    </row>
    <row r="55" spans="1:29" ht="12" customHeight="1">
      <c r="A55" s="173" t="s">
        <v>2030</v>
      </c>
      <c r="B55" s="174" t="s">
        <v>2031</v>
      </c>
      <c r="C55" s="173" t="s">
        <v>2030</v>
      </c>
      <c r="D55" s="173"/>
      <c r="E55" s="173"/>
      <c r="F55" s="173"/>
      <c r="G55" s="173"/>
      <c r="H55" s="173"/>
      <c r="I55" s="173"/>
      <c r="J55" s="173"/>
      <c r="K55" s="173"/>
      <c r="L55" s="173"/>
      <c r="M55" s="173"/>
      <c r="N55" s="173"/>
      <c r="O55" s="173"/>
      <c r="P55" s="173"/>
      <c r="Q55" s="173"/>
      <c r="R55" s="173"/>
      <c r="AB55" s="682" t="s">
        <v>2032</v>
      </c>
      <c r="AC55" s="683" t="s">
        <v>1897</v>
      </c>
    </row>
    <row r="56" spans="1:29" ht="12" customHeight="1">
      <c r="A56" s="173" t="s">
        <v>2033</v>
      </c>
      <c r="B56" s="182" t="s">
        <v>2034</v>
      </c>
      <c r="C56" s="184" t="s">
        <v>2035</v>
      </c>
      <c r="D56" s="173"/>
      <c r="E56" s="173"/>
      <c r="F56" s="173"/>
      <c r="G56" s="173"/>
      <c r="H56" s="173"/>
      <c r="I56" s="173"/>
      <c r="J56" s="173"/>
      <c r="K56" s="173"/>
      <c r="L56" s="173"/>
      <c r="M56" s="173"/>
      <c r="N56" s="173"/>
      <c r="O56" s="173"/>
      <c r="P56" s="173"/>
      <c r="Q56" s="173"/>
      <c r="R56" s="173"/>
      <c r="AB56" s="682" t="s">
        <v>2036</v>
      </c>
      <c r="AC56" s="683" t="s">
        <v>1897</v>
      </c>
    </row>
    <row r="57" spans="1:29" ht="12" customHeight="1">
      <c r="A57" s="173" t="s">
        <v>2037</v>
      </c>
      <c r="B57" s="174" t="s">
        <v>2038</v>
      </c>
      <c r="C57" s="173" t="s">
        <v>2037</v>
      </c>
      <c r="D57" s="173"/>
      <c r="E57" s="173"/>
      <c r="F57" s="173"/>
      <c r="G57" s="173"/>
      <c r="H57" s="173"/>
      <c r="I57" s="173"/>
      <c r="J57" s="173"/>
      <c r="K57" s="173"/>
      <c r="L57" s="173"/>
      <c r="M57" s="173"/>
      <c r="N57" s="173"/>
      <c r="O57" s="173"/>
      <c r="P57" s="173"/>
      <c r="Q57" s="173"/>
      <c r="R57" s="173"/>
      <c r="AB57" s="682" t="s">
        <v>2039</v>
      </c>
      <c r="AC57" s="683" t="s">
        <v>1758</v>
      </c>
    </row>
    <row r="58" spans="1:29" ht="12" customHeight="1">
      <c r="A58" s="173" t="s">
        <v>2040</v>
      </c>
      <c r="B58" s="174" t="s">
        <v>2041</v>
      </c>
      <c r="C58" s="173" t="s">
        <v>2040</v>
      </c>
      <c r="D58" s="173"/>
      <c r="E58" s="173"/>
      <c r="F58" s="173"/>
      <c r="G58" s="173"/>
      <c r="H58" s="173"/>
      <c r="I58" s="173"/>
      <c r="J58" s="173"/>
      <c r="K58" s="173"/>
      <c r="L58" s="173"/>
      <c r="M58" s="173"/>
      <c r="N58" s="173"/>
      <c r="O58" s="173"/>
      <c r="P58" s="173"/>
      <c r="Q58" s="173"/>
      <c r="R58" s="173"/>
    </row>
    <row r="59" spans="1:29" ht="12" customHeight="1">
      <c r="A59" s="173" t="s">
        <v>2042</v>
      </c>
      <c r="B59" s="174" t="s">
        <v>2043</v>
      </c>
      <c r="C59" s="173" t="s">
        <v>2042</v>
      </c>
      <c r="D59" s="173"/>
      <c r="E59" s="173"/>
      <c r="F59" s="173"/>
      <c r="G59" s="173"/>
      <c r="H59" s="173"/>
      <c r="I59" s="173"/>
      <c r="J59" s="173"/>
      <c r="K59" s="173"/>
      <c r="L59" s="173"/>
      <c r="M59" s="173"/>
      <c r="N59" s="173"/>
      <c r="O59" s="173"/>
      <c r="P59" s="173"/>
      <c r="Q59" s="173"/>
      <c r="R59" s="173"/>
    </row>
    <row r="60" spans="1:29" ht="12" customHeight="1">
      <c r="A60" s="173" t="s">
        <v>2044</v>
      </c>
      <c r="B60" s="174" t="s">
        <v>2045</v>
      </c>
      <c r="C60" s="180" t="s">
        <v>2046</v>
      </c>
      <c r="D60" s="173"/>
      <c r="E60" s="173"/>
      <c r="F60" s="173"/>
      <c r="G60" s="173"/>
      <c r="H60" s="173"/>
      <c r="I60" s="173"/>
      <c r="J60" s="173"/>
      <c r="K60" s="173"/>
      <c r="L60" s="173"/>
      <c r="M60" s="173"/>
      <c r="N60" s="173"/>
      <c r="O60" s="173"/>
      <c r="P60" s="173"/>
      <c r="Q60" s="173"/>
      <c r="R60" s="173"/>
    </row>
    <row r="61" spans="1:29" ht="12" customHeight="1">
      <c r="A61" s="173" t="s">
        <v>2047</v>
      </c>
      <c r="B61" s="174" t="s">
        <v>2048</v>
      </c>
      <c r="C61" s="173" t="s">
        <v>2047</v>
      </c>
      <c r="D61" s="173"/>
      <c r="E61" s="173"/>
      <c r="F61" s="173"/>
      <c r="G61" s="173"/>
      <c r="H61" s="173"/>
      <c r="I61" s="173"/>
      <c r="J61" s="173"/>
      <c r="K61" s="173"/>
      <c r="L61" s="173"/>
      <c r="M61" s="173"/>
      <c r="N61" s="173"/>
      <c r="O61" s="173"/>
      <c r="P61" s="173"/>
      <c r="Q61" s="173"/>
      <c r="R61" s="173"/>
    </row>
    <row r="62" spans="1:29" ht="12" customHeight="1">
      <c r="A62" s="173" t="s">
        <v>2049</v>
      </c>
      <c r="B62" s="174" t="s">
        <v>2050</v>
      </c>
      <c r="C62" s="180" t="s">
        <v>2051</v>
      </c>
      <c r="D62" s="173"/>
      <c r="E62" s="173"/>
      <c r="F62" s="173"/>
      <c r="G62" s="173"/>
      <c r="H62" s="173"/>
      <c r="I62" s="173"/>
      <c r="J62" s="173"/>
      <c r="K62" s="173"/>
      <c r="L62" s="173"/>
      <c r="M62" s="173"/>
      <c r="N62" s="173"/>
      <c r="O62" s="173"/>
      <c r="P62" s="173"/>
      <c r="Q62" s="173"/>
      <c r="R62" s="173"/>
    </row>
    <row r="63" spans="1:29" ht="12" customHeight="1">
      <c r="A63" s="173" t="s">
        <v>2052</v>
      </c>
      <c r="B63" s="174" t="s">
        <v>2053</v>
      </c>
      <c r="C63" s="173" t="s">
        <v>2052</v>
      </c>
      <c r="D63" s="173"/>
      <c r="E63" s="173"/>
      <c r="F63" s="173"/>
      <c r="G63" s="173"/>
      <c r="H63" s="173"/>
      <c r="I63" s="173"/>
      <c r="J63" s="173"/>
      <c r="K63" s="173"/>
      <c r="L63" s="173"/>
      <c r="M63" s="173"/>
      <c r="N63" s="173"/>
      <c r="O63" s="173"/>
      <c r="P63" s="173"/>
      <c r="Q63" s="173"/>
      <c r="R63" s="173"/>
    </row>
    <row r="64" spans="1:29" ht="12" customHeight="1">
      <c r="A64" s="173" t="s">
        <v>2054</v>
      </c>
      <c r="B64" s="174" t="s">
        <v>2055</v>
      </c>
      <c r="C64" s="173" t="s">
        <v>2054</v>
      </c>
      <c r="D64" s="173"/>
      <c r="E64" s="173"/>
      <c r="F64" s="173"/>
      <c r="G64" s="173"/>
      <c r="H64" s="173"/>
      <c r="I64" s="173"/>
      <c r="J64" s="173"/>
      <c r="K64" s="173"/>
      <c r="L64" s="173"/>
      <c r="M64" s="173"/>
      <c r="N64" s="173"/>
      <c r="O64" s="173"/>
      <c r="P64" s="173"/>
      <c r="Q64" s="173"/>
      <c r="R64" s="173"/>
    </row>
    <row r="65" spans="1:18" ht="12" customHeight="1">
      <c r="A65" s="173" t="s">
        <v>2056</v>
      </c>
      <c r="B65" s="174" t="s">
        <v>2057</v>
      </c>
      <c r="C65" s="173" t="s">
        <v>2056</v>
      </c>
      <c r="D65" s="173"/>
      <c r="E65" s="173"/>
      <c r="F65" s="173"/>
      <c r="G65" s="173"/>
      <c r="H65" s="173"/>
      <c r="I65" s="173"/>
      <c r="J65" s="173"/>
      <c r="K65" s="173"/>
      <c r="L65" s="173"/>
      <c r="M65" s="173"/>
      <c r="N65" s="173"/>
      <c r="O65" s="173"/>
      <c r="P65" s="173"/>
      <c r="Q65" s="173"/>
      <c r="R65" s="173"/>
    </row>
    <row r="66" spans="1:18" ht="12" customHeight="1">
      <c r="A66" s="173" t="s">
        <v>2058</v>
      </c>
      <c r="B66" s="174" t="s">
        <v>2059</v>
      </c>
      <c r="C66" s="173" t="s">
        <v>2058</v>
      </c>
      <c r="D66" s="173"/>
      <c r="E66" s="173"/>
      <c r="F66" s="173"/>
      <c r="G66" s="173"/>
      <c r="H66" s="173"/>
      <c r="I66" s="173"/>
      <c r="J66" s="173"/>
      <c r="K66" s="173"/>
      <c r="L66" s="173"/>
      <c r="M66" s="173"/>
      <c r="N66" s="173"/>
      <c r="O66" s="173"/>
      <c r="P66" s="173"/>
      <c r="Q66" s="173"/>
      <c r="R66" s="173"/>
    </row>
    <row r="67" spans="1:18" ht="12" customHeight="1">
      <c r="A67" s="173" t="s">
        <v>2060</v>
      </c>
      <c r="B67" s="174" t="s">
        <v>2061</v>
      </c>
      <c r="C67" s="173" t="s">
        <v>2060</v>
      </c>
      <c r="D67" s="173"/>
      <c r="E67" s="173"/>
      <c r="F67" s="173"/>
      <c r="G67" s="173"/>
      <c r="H67" s="173"/>
      <c r="I67" s="173"/>
      <c r="J67" s="173"/>
      <c r="K67" s="173"/>
      <c r="L67" s="173"/>
      <c r="M67" s="173"/>
      <c r="N67" s="173"/>
      <c r="O67" s="173"/>
      <c r="P67" s="173"/>
      <c r="Q67" s="173"/>
      <c r="R67" s="173"/>
    </row>
    <row r="68" spans="1:18" ht="12" customHeight="1">
      <c r="A68" s="173" t="s">
        <v>2062</v>
      </c>
      <c r="B68" s="174" t="s">
        <v>2063</v>
      </c>
      <c r="C68" s="173" t="s">
        <v>2062</v>
      </c>
      <c r="D68" s="173"/>
      <c r="E68" s="173"/>
      <c r="F68" s="173"/>
      <c r="G68" s="173"/>
      <c r="H68" s="173"/>
      <c r="I68" s="173"/>
      <c r="J68" s="173"/>
      <c r="K68" s="173"/>
      <c r="L68" s="173"/>
      <c r="M68" s="173"/>
      <c r="N68" s="173"/>
      <c r="O68" s="173"/>
      <c r="P68" s="173"/>
      <c r="Q68" s="173"/>
      <c r="R68" s="173"/>
    </row>
    <row r="69" spans="1:18" ht="12" customHeight="1">
      <c r="A69" s="173" t="s">
        <v>2064</v>
      </c>
      <c r="B69" s="174" t="s">
        <v>2065</v>
      </c>
      <c r="C69" s="173" t="s">
        <v>2064</v>
      </c>
      <c r="D69" s="173"/>
      <c r="E69" s="173"/>
      <c r="F69" s="173"/>
      <c r="G69" s="173"/>
      <c r="H69" s="173"/>
      <c r="I69" s="173"/>
      <c r="J69" s="173"/>
      <c r="K69" s="173"/>
      <c r="L69" s="173"/>
      <c r="M69" s="173"/>
      <c r="N69" s="173"/>
      <c r="O69" s="173"/>
      <c r="P69" s="173"/>
      <c r="Q69" s="173"/>
      <c r="R69" s="173"/>
    </row>
    <row r="70" spans="1:18" ht="12" customHeight="1">
      <c r="A70" s="173" t="s">
        <v>2066</v>
      </c>
      <c r="B70" s="174" t="s">
        <v>2067</v>
      </c>
      <c r="C70" s="173" t="s">
        <v>2066</v>
      </c>
      <c r="D70" s="173"/>
      <c r="E70" s="173"/>
      <c r="F70" s="173"/>
      <c r="G70" s="173"/>
      <c r="H70" s="173"/>
      <c r="I70" s="173"/>
      <c r="J70" s="173"/>
      <c r="K70" s="173"/>
      <c r="L70" s="173"/>
      <c r="M70" s="173"/>
      <c r="N70" s="173"/>
      <c r="O70" s="173"/>
      <c r="P70" s="173"/>
      <c r="Q70" s="173"/>
      <c r="R70" s="173"/>
    </row>
    <row r="71" spans="1:18" ht="12" customHeight="1">
      <c r="A71" s="173" t="s">
        <v>2068</v>
      </c>
      <c r="B71" s="174" t="s">
        <v>2069</v>
      </c>
      <c r="C71" s="173" t="s">
        <v>2068</v>
      </c>
      <c r="D71" s="173"/>
      <c r="E71" s="173"/>
      <c r="F71" s="173"/>
      <c r="G71" s="173"/>
      <c r="H71" s="173"/>
      <c r="I71" s="173"/>
      <c r="J71" s="173"/>
      <c r="K71" s="173"/>
      <c r="L71" s="173"/>
      <c r="M71" s="173"/>
      <c r="N71" s="173"/>
      <c r="O71" s="173"/>
      <c r="P71" s="173"/>
      <c r="Q71" s="173"/>
      <c r="R71" s="173"/>
    </row>
    <row r="72" spans="1:18" ht="12" customHeight="1">
      <c r="A72" s="173" t="s">
        <v>2070</v>
      </c>
      <c r="B72" s="174" t="s">
        <v>2071</v>
      </c>
      <c r="C72" s="173" t="s">
        <v>2070</v>
      </c>
      <c r="D72" s="173"/>
      <c r="E72" s="173"/>
      <c r="F72" s="173"/>
      <c r="G72" s="173"/>
      <c r="H72" s="173"/>
      <c r="I72" s="173"/>
      <c r="J72" s="173"/>
      <c r="K72" s="173"/>
      <c r="L72" s="173"/>
      <c r="M72" s="173"/>
      <c r="N72" s="173"/>
      <c r="O72" s="173"/>
      <c r="P72" s="173"/>
      <c r="Q72" s="173"/>
      <c r="R72" s="173"/>
    </row>
    <row r="73" spans="1:18" ht="12" customHeight="1">
      <c r="A73" s="173" t="s">
        <v>2072</v>
      </c>
      <c r="B73" s="174" t="s">
        <v>2073</v>
      </c>
      <c r="C73" s="173" t="s">
        <v>2072</v>
      </c>
      <c r="D73" s="173"/>
      <c r="E73" s="173"/>
      <c r="F73" s="173"/>
      <c r="G73" s="173"/>
      <c r="H73" s="173"/>
      <c r="I73" s="173"/>
      <c r="J73" s="173"/>
      <c r="K73" s="173"/>
      <c r="L73" s="173"/>
      <c r="M73" s="173"/>
      <c r="N73" s="173"/>
      <c r="O73" s="173"/>
      <c r="P73" s="173"/>
      <c r="Q73" s="173"/>
      <c r="R73" s="173"/>
    </row>
    <row r="74" spans="1:18" ht="12" customHeight="1">
      <c r="A74" s="173" t="s">
        <v>2074</v>
      </c>
      <c r="B74" s="174" t="s">
        <v>2075</v>
      </c>
      <c r="C74" s="173" t="s">
        <v>2074</v>
      </c>
      <c r="D74" s="173"/>
      <c r="E74" s="173"/>
      <c r="F74" s="173"/>
      <c r="G74" s="173"/>
      <c r="H74" s="173"/>
      <c r="I74" s="173"/>
      <c r="J74" s="173"/>
      <c r="K74" s="173"/>
      <c r="L74" s="173"/>
      <c r="M74" s="173"/>
      <c r="N74" s="173"/>
      <c r="O74" s="173"/>
      <c r="P74" s="173"/>
      <c r="Q74" s="173"/>
      <c r="R74" s="173"/>
    </row>
    <row r="75" spans="1:18" ht="12" customHeight="1">
      <c r="A75" s="173" t="s">
        <v>2076</v>
      </c>
      <c r="B75" s="174" t="s">
        <v>2077</v>
      </c>
      <c r="C75" s="173" t="s">
        <v>2076</v>
      </c>
      <c r="D75" s="173"/>
      <c r="E75" s="173"/>
      <c r="F75" s="173"/>
      <c r="G75" s="173"/>
      <c r="H75" s="173"/>
      <c r="I75" s="173"/>
      <c r="J75" s="173"/>
      <c r="K75" s="173"/>
      <c r="L75" s="173"/>
      <c r="M75" s="173"/>
      <c r="N75" s="173"/>
      <c r="O75" s="173"/>
      <c r="P75" s="173"/>
      <c r="Q75" s="173"/>
      <c r="R75" s="173"/>
    </row>
    <row r="76" spans="1:18" ht="12" customHeight="1">
      <c r="A76" s="173" t="s">
        <v>2078</v>
      </c>
      <c r="B76" s="174" t="s">
        <v>2079</v>
      </c>
      <c r="C76" s="173" t="s">
        <v>2078</v>
      </c>
      <c r="D76" s="173"/>
      <c r="E76" s="173"/>
      <c r="F76" s="173"/>
      <c r="G76" s="173"/>
      <c r="H76" s="173"/>
      <c r="I76" s="173"/>
      <c r="J76" s="173"/>
      <c r="K76" s="173"/>
      <c r="L76" s="173"/>
      <c r="M76" s="173"/>
      <c r="N76" s="173"/>
      <c r="O76" s="173"/>
      <c r="P76" s="173"/>
      <c r="Q76" s="173"/>
      <c r="R76" s="173"/>
    </row>
    <row r="77" spans="1:18" ht="12" customHeight="1">
      <c r="A77" s="173" t="s">
        <v>2080</v>
      </c>
      <c r="B77" s="174" t="s">
        <v>2081</v>
      </c>
      <c r="C77" s="180" t="s">
        <v>2082</v>
      </c>
      <c r="D77" s="173"/>
      <c r="E77" s="173"/>
      <c r="F77" s="173"/>
      <c r="G77" s="173"/>
      <c r="H77" s="173"/>
      <c r="I77" s="173"/>
      <c r="J77" s="173"/>
      <c r="K77" s="173"/>
      <c r="L77" s="173"/>
      <c r="M77" s="173"/>
      <c r="N77" s="173"/>
      <c r="O77" s="173"/>
      <c r="P77" s="173"/>
      <c r="Q77" s="173"/>
      <c r="R77" s="173"/>
    </row>
    <row r="78" spans="1:18" ht="12" customHeight="1">
      <c r="A78" s="173" t="s">
        <v>2083</v>
      </c>
      <c r="B78" s="174" t="s">
        <v>2084</v>
      </c>
      <c r="C78" s="173" t="s">
        <v>2083</v>
      </c>
      <c r="D78" s="173"/>
      <c r="E78" s="173"/>
      <c r="F78" s="173"/>
      <c r="G78" s="173"/>
      <c r="H78" s="173"/>
      <c r="I78" s="173"/>
      <c r="J78" s="173"/>
      <c r="K78" s="173"/>
      <c r="L78" s="173"/>
      <c r="M78" s="173"/>
      <c r="N78" s="173"/>
      <c r="O78" s="173"/>
      <c r="P78" s="173"/>
      <c r="Q78" s="173"/>
      <c r="R78" s="173"/>
    </row>
    <row r="79" spans="1:18" ht="12" customHeight="1">
      <c r="A79" s="173" t="s">
        <v>2085</v>
      </c>
      <c r="B79" s="174" t="s">
        <v>2086</v>
      </c>
      <c r="C79" s="173" t="s">
        <v>2085</v>
      </c>
      <c r="D79" s="173"/>
      <c r="E79" s="173"/>
      <c r="F79" s="173"/>
      <c r="G79" s="173"/>
      <c r="H79" s="173"/>
      <c r="I79" s="173"/>
      <c r="J79" s="173"/>
      <c r="K79" s="173"/>
      <c r="L79" s="173"/>
      <c r="M79" s="173"/>
      <c r="N79" s="173"/>
      <c r="O79" s="173"/>
      <c r="P79" s="173"/>
      <c r="Q79" s="173"/>
      <c r="R79" s="173"/>
    </row>
    <row r="80" spans="1:18" ht="12" customHeight="1">
      <c r="A80" s="173" t="s">
        <v>2087</v>
      </c>
      <c r="B80" s="174" t="s">
        <v>2088</v>
      </c>
      <c r="C80" s="173" t="s">
        <v>2087</v>
      </c>
      <c r="D80" s="173"/>
      <c r="E80" s="173"/>
      <c r="F80" s="173"/>
      <c r="G80" s="173"/>
      <c r="H80" s="173"/>
      <c r="I80" s="173"/>
      <c r="J80" s="173"/>
      <c r="K80" s="173"/>
      <c r="L80" s="173"/>
      <c r="M80" s="173"/>
      <c r="N80" s="173"/>
      <c r="O80" s="173"/>
      <c r="P80" s="173"/>
      <c r="Q80" s="173"/>
      <c r="R80" s="173"/>
    </row>
    <row r="81" spans="1:18" ht="12" customHeight="1">
      <c r="A81" s="173" t="s">
        <v>2089</v>
      </c>
      <c r="B81" s="174" t="s">
        <v>2090</v>
      </c>
      <c r="C81" s="173" t="s">
        <v>2089</v>
      </c>
      <c r="D81" s="173"/>
      <c r="E81" s="173"/>
      <c r="F81" s="173"/>
      <c r="G81" s="173"/>
      <c r="H81" s="173"/>
      <c r="I81" s="173"/>
      <c r="J81" s="173"/>
      <c r="K81" s="173"/>
      <c r="L81" s="173"/>
      <c r="M81" s="173"/>
      <c r="N81" s="173"/>
      <c r="O81" s="173"/>
      <c r="P81" s="173"/>
      <c r="Q81" s="173"/>
      <c r="R81" s="173"/>
    </row>
    <row r="82" spans="1:18" ht="12" customHeight="1">
      <c r="A82" s="173" t="s">
        <v>2091</v>
      </c>
      <c r="B82" s="174" t="s">
        <v>2092</v>
      </c>
      <c r="C82" s="180" t="s">
        <v>2093</v>
      </c>
      <c r="D82" s="173"/>
      <c r="E82" s="173"/>
      <c r="F82" s="173"/>
      <c r="G82" s="173"/>
      <c r="H82" s="173"/>
      <c r="I82" s="173"/>
      <c r="J82" s="173"/>
      <c r="K82" s="173"/>
      <c r="L82" s="173"/>
      <c r="M82" s="173"/>
      <c r="N82" s="173"/>
      <c r="O82" s="173"/>
      <c r="P82" s="173"/>
      <c r="Q82" s="173"/>
      <c r="R82" s="173"/>
    </row>
    <row r="83" spans="1:18" ht="12" customHeight="1">
      <c r="A83" s="173" t="s">
        <v>2094</v>
      </c>
      <c r="B83" s="174" t="s">
        <v>2095</v>
      </c>
      <c r="C83" s="180" t="s">
        <v>2096</v>
      </c>
      <c r="D83" s="173"/>
      <c r="E83" s="173"/>
      <c r="F83" s="173"/>
      <c r="G83" s="173"/>
      <c r="H83" s="173"/>
      <c r="I83" s="173"/>
      <c r="J83" s="173"/>
      <c r="K83" s="173"/>
      <c r="L83" s="173"/>
      <c r="M83" s="173"/>
      <c r="N83" s="173"/>
      <c r="O83" s="173"/>
      <c r="P83" s="173"/>
      <c r="Q83" s="173"/>
      <c r="R83" s="173"/>
    </row>
    <row r="84" spans="1:18" ht="12" customHeight="1">
      <c r="A84" s="173" t="s">
        <v>2097</v>
      </c>
      <c r="B84" s="174" t="s">
        <v>2098</v>
      </c>
      <c r="C84" s="173" t="s">
        <v>2097</v>
      </c>
      <c r="D84" s="173"/>
      <c r="E84" s="173"/>
      <c r="F84" s="173"/>
      <c r="G84" s="173"/>
      <c r="H84" s="173"/>
      <c r="I84" s="173"/>
      <c r="J84" s="173"/>
      <c r="K84" s="173"/>
      <c r="L84" s="173"/>
      <c r="M84" s="173"/>
      <c r="N84" s="173"/>
      <c r="O84" s="173"/>
      <c r="P84" s="173"/>
      <c r="Q84" s="173"/>
      <c r="R84" s="173"/>
    </row>
    <row r="85" spans="1:18" ht="12" customHeight="1">
      <c r="A85" s="173" t="s">
        <v>2099</v>
      </c>
      <c r="B85" s="174" t="s">
        <v>2100</v>
      </c>
      <c r="C85" s="173" t="s">
        <v>2099</v>
      </c>
      <c r="D85" s="173"/>
      <c r="E85" s="173"/>
      <c r="F85" s="173"/>
      <c r="G85" s="173"/>
      <c r="H85" s="173"/>
      <c r="I85" s="173"/>
      <c r="J85" s="173"/>
      <c r="K85" s="173"/>
      <c r="L85" s="173"/>
      <c r="M85" s="173"/>
      <c r="N85" s="173"/>
      <c r="O85" s="173"/>
      <c r="P85" s="173"/>
      <c r="Q85" s="173"/>
      <c r="R85" s="173"/>
    </row>
    <row r="86" spans="1:18" ht="12" customHeight="1">
      <c r="A86" s="173" t="s">
        <v>2101</v>
      </c>
      <c r="B86" s="174" t="s">
        <v>2102</v>
      </c>
      <c r="C86" s="173" t="s">
        <v>2101</v>
      </c>
      <c r="D86" s="173"/>
      <c r="E86" s="173"/>
      <c r="F86" s="173"/>
      <c r="G86" s="173"/>
      <c r="H86" s="173"/>
      <c r="I86" s="173"/>
      <c r="J86" s="173"/>
      <c r="K86" s="173"/>
      <c r="L86" s="173"/>
      <c r="M86" s="173"/>
      <c r="N86" s="173"/>
      <c r="O86" s="173"/>
      <c r="P86" s="173"/>
      <c r="Q86" s="173"/>
      <c r="R86" s="173"/>
    </row>
    <row r="87" spans="1:18" ht="12" customHeight="1">
      <c r="A87" s="174"/>
      <c r="B87" s="185"/>
      <c r="C87" s="186" t="s">
        <v>1966</v>
      </c>
      <c r="D87" s="173"/>
      <c r="E87" s="173"/>
      <c r="F87" s="173"/>
      <c r="G87" s="173"/>
      <c r="H87" s="173"/>
      <c r="I87" s="173"/>
      <c r="J87" s="173"/>
      <c r="K87" s="173"/>
      <c r="L87" s="173"/>
      <c r="M87" s="173"/>
      <c r="N87" s="173"/>
      <c r="O87" s="173"/>
      <c r="P87" s="173"/>
      <c r="Q87" s="173"/>
      <c r="R87" s="173"/>
    </row>
    <row r="88" spans="1:18" ht="12" customHeight="1">
      <c r="A88" s="173"/>
      <c r="B88" s="173"/>
      <c r="C88" s="173"/>
      <c r="D88" s="173"/>
      <c r="E88" s="173"/>
      <c r="F88" s="173"/>
      <c r="G88" s="173"/>
      <c r="H88" s="173"/>
      <c r="I88" s="173"/>
      <c r="J88" s="173"/>
      <c r="K88" s="173"/>
      <c r="L88" s="173"/>
      <c r="M88" s="173"/>
      <c r="N88" s="173"/>
      <c r="O88" s="173"/>
      <c r="P88" s="173"/>
      <c r="Q88" s="173"/>
      <c r="R88" s="173"/>
    </row>
    <row r="89" spans="1:18" ht="12" customHeight="1">
      <c r="A89" s="173"/>
      <c r="B89" s="173"/>
      <c r="C89" s="173"/>
      <c r="D89" s="173"/>
      <c r="E89" s="173"/>
      <c r="F89" s="173"/>
      <c r="G89" s="173"/>
      <c r="H89" s="173"/>
      <c r="I89" s="173"/>
      <c r="J89" s="173"/>
      <c r="K89" s="173"/>
      <c r="L89" s="173"/>
      <c r="M89" s="173"/>
      <c r="N89" s="173"/>
      <c r="O89" s="173"/>
      <c r="P89" s="173"/>
      <c r="Q89" s="173"/>
      <c r="R89" s="173"/>
    </row>
    <row r="90" spans="1:18" ht="12" customHeight="1">
      <c r="A90" s="173" t="s">
        <v>1728</v>
      </c>
      <c r="B90" s="174" t="s">
        <v>2103</v>
      </c>
      <c r="C90" s="173"/>
      <c r="D90" s="173"/>
      <c r="E90" s="173"/>
      <c r="F90" s="173"/>
      <c r="G90" s="173"/>
      <c r="H90" s="173"/>
      <c r="I90" s="173"/>
      <c r="J90" s="173"/>
      <c r="K90" s="173"/>
      <c r="L90" s="173"/>
      <c r="M90" s="173"/>
      <c r="N90" s="173"/>
      <c r="O90" s="173"/>
      <c r="P90" s="173"/>
      <c r="Q90" s="173"/>
      <c r="R90" s="173"/>
    </row>
    <row r="91" spans="1:18" ht="12" customHeight="1">
      <c r="A91" s="173" t="s">
        <v>1747</v>
      </c>
      <c r="B91" s="174" t="s">
        <v>2104</v>
      </c>
      <c r="C91" s="173"/>
      <c r="D91" s="173"/>
      <c r="E91" s="173"/>
      <c r="F91" s="173"/>
      <c r="G91" s="173"/>
      <c r="H91" s="173"/>
      <c r="I91" s="173"/>
      <c r="J91" s="173"/>
      <c r="K91" s="173"/>
      <c r="L91" s="173"/>
      <c r="M91" s="173"/>
      <c r="N91" s="173"/>
      <c r="O91" s="173"/>
      <c r="P91" s="173"/>
      <c r="Q91" s="173"/>
      <c r="R91" s="173"/>
    </row>
    <row r="92" spans="1:18" ht="12" customHeight="1">
      <c r="A92" s="173" t="s">
        <v>1759</v>
      </c>
      <c r="B92" s="174" t="s">
        <v>2105</v>
      </c>
      <c r="C92" s="173"/>
      <c r="D92" s="173"/>
      <c r="E92" s="173"/>
      <c r="F92" s="173"/>
      <c r="G92" s="173"/>
      <c r="H92" s="173"/>
      <c r="I92" s="173"/>
      <c r="J92" s="173"/>
      <c r="K92" s="173"/>
      <c r="L92" s="173"/>
      <c r="M92" s="173"/>
      <c r="N92" s="173"/>
      <c r="O92" s="173"/>
      <c r="P92" s="173"/>
      <c r="Q92" s="173"/>
      <c r="R92" s="173"/>
    </row>
    <row r="93" spans="1:18" ht="12" customHeight="1">
      <c r="A93" s="173" t="s">
        <v>1770</v>
      </c>
      <c r="B93" s="174" t="s">
        <v>2106</v>
      </c>
      <c r="C93" s="173"/>
      <c r="D93" s="173"/>
      <c r="E93" s="173"/>
      <c r="F93" s="173"/>
      <c r="G93" s="173"/>
      <c r="H93" s="173"/>
      <c r="I93" s="173"/>
      <c r="J93" s="173"/>
      <c r="K93" s="173"/>
      <c r="L93" s="173"/>
      <c r="M93" s="173"/>
      <c r="N93" s="173"/>
      <c r="O93" s="173"/>
      <c r="P93" s="173"/>
      <c r="Q93" s="173"/>
      <c r="R93" s="173"/>
    </row>
    <row r="94" spans="1:18" ht="12" customHeight="1">
      <c r="A94" s="173" t="s">
        <v>1779</v>
      </c>
      <c r="B94" s="174" t="s">
        <v>2107</v>
      </c>
      <c r="C94" s="173"/>
      <c r="D94" s="173"/>
      <c r="E94" s="173"/>
      <c r="F94" s="173"/>
      <c r="G94" s="173"/>
      <c r="H94" s="173"/>
      <c r="I94" s="173"/>
      <c r="J94" s="173"/>
      <c r="K94" s="173"/>
      <c r="L94" s="173"/>
      <c r="M94" s="173"/>
      <c r="N94" s="173"/>
      <c r="O94" s="173"/>
      <c r="P94" s="173"/>
      <c r="Q94" s="173"/>
      <c r="R94" s="173"/>
    </row>
    <row r="95" spans="1:18" ht="12" customHeight="1">
      <c r="A95" s="173" t="s">
        <v>1789</v>
      </c>
      <c r="B95" s="174" t="s">
        <v>2108</v>
      </c>
      <c r="C95" s="173"/>
      <c r="D95" s="173"/>
      <c r="E95" s="173"/>
      <c r="F95" s="173"/>
      <c r="G95" s="173"/>
      <c r="H95" s="173"/>
      <c r="I95" s="173"/>
      <c r="J95" s="173"/>
      <c r="K95" s="173"/>
      <c r="L95" s="173"/>
      <c r="M95" s="173"/>
      <c r="N95" s="173"/>
      <c r="O95" s="173"/>
      <c r="P95" s="173"/>
      <c r="Q95" s="173"/>
      <c r="R95" s="173"/>
    </row>
    <row r="96" spans="1:18" ht="12" customHeight="1">
      <c r="A96" s="173" t="s">
        <v>1797</v>
      </c>
      <c r="B96" s="174" t="s">
        <v>2109</v>
      </c>
      <c r="C96" s="173"/>
      <c r="D96" s="173"/>
      <c r="E96" s="173"/>
      <c r="F96" s="173"/>
      <c r="G96" s="173"/>
      <c r="H96" s="173"/>
      <c r="I96" s="173"/>
      <c r="J96" s="173"/>
      <c r="K96" s="173"/>
      <c r="L96" s="173"/>
      <c r="M96" s="173"/>
      <c r="N96" s="173"/>
      <c r="O96" s="173"/>
      <c r="P96" s="173"/>
      <c r="Q96" s="173"/>
      <c r="R96" s="173"/>
    </row>
    <row r="97" spans="1:18" ht="12" customHeight="1">
      <c r="A97" s="173" t="s">
        <v>1807</v>
      </c>
      <c r="B97" s="174" t="s">
        <v>2110</v>
      </c>
      <c r="C97" s="173"/>
      <c r="D97" s="173"/>
      <c r="E97" s="173"/>
      <c r="F97" s="173"/>
      <c r="G97" s="173"/>
      <c r="H97" s="173"/>
      <c r="I97" s="173"/>
      <c r="J97" s="173"/>
      <c r="K97" s="173"/>
      <c r="L97" s="173"/>
      <c r="M97" s="173"/>
      <c r="N97" s="173"/>
      <c r="O97" s="173"/>
      <c r="P97" s="173"/>
      <c r="Q97" s="173"/>
      <c r="R97" s="173"/>
    </row>
    <row r="98" spans="1:18" ht="12" customHeight="1">
      <c r="A98" s="173" t="s">
        <v>1815</v>
      </c>
      <c r="B98" s="174" t="s">
        <v>2111</v>
      </c>
      <c r="C98" s="173"/>
      <c r="D98" s="173"/>
      <c r="E98" s="173"/>
      <c r="F98" s="173"/>
      <c r="G98" s="173"/>
      <c r="H98" s="173"/>
      <c r="I98" s="173"/>
      <c r="J98" s="173"/>
      <c r="K98" s="173"/>
      <c r="L98" s="173"/>
      <c r="M98" s="173"/>
      <c r="N98" s="173"/>
      <c r="O98" s="173"/>
      <c r="P98" s="173"/>
      <c r="Q98" s="173"/>
      <c r="R98" s="173"/>
    </row>
    <row r="99" spans="1:18" ht="12" customHeight="1">
      <c r="A99" s="173" t="s">
        <v>1823</v>
      </c>
      <c r="B99" s="174" t="s">
        <v>2112</v>
      </c>
      <c r="C99" s="173"/>
      <c r="D99" s="173"/>
      <c r="E99" s="173"/>
      <c r="F99" s="173"/>
      <c r="G99" s="173"/>
      <c r="H99" s="173"/>
      <c r="I99" s="173"/>
      <c r="J99" s="173"/>
      <c r="K99" s="173"/>
      <c r="L99" s="173"/>
      <c r="M99" s="173"/>
      <c r="N99" s="173"/>
      <c r="O99" s="173"/>
      <c r="P99" s="173"/>
      <c r="Q99" s="173"/>
      <c r="R99" s="173"/>
    </row>
    <row r="100" spans="1:18" ht="12" customHeight="1">
      <c r="A100" s="257" t="s">
        <v>1830</v>
      </c>
      <c r="B100" s="174" t="s">
        <v>2113</v>
      </c>
      <c r="C100" s="173"/>
      <c r="D100" s="173"/>
      <c r="E100" s="173"/>
      <c r="F100" s="173"/>
      <c r="G100" s="173"/>
      <c r="H100" s="173"/>
      <c r="I100" s="173"/>
      <c r="J100" s="173"/>
      <c r="K100" s="173"/>
      <c r="L100" s="173"/>
      <c r="M100" s="173"/>
      <c r="N100" s="173"/>
      <c r="O100" s="187"/>
      <c r="P100" s="173"/>
      <c r="Q100" s="173"/>
      <c r="R100" s="173"/>
    </row>
    <row r="101" spans="1:18" ht="12" customHeight="1">
      <c r="A101" s="257" t="s">
        <v>1839</v>
      </c>
      <c r="B101" s="174" t="s">
        <v>2114</v>
      </c>
      <c r="C101" s="173"/>
      <c r="D101" s="173"/>
      <c r="E101" s="173"/>
      <c r="F101" s="173"/>
      <c r="G101" s="173"/>
      <c r="H101" s="173"/>
      <c r="I101" s="173"/>
      <c r="J101" s="173"/>
      <c r="K101" s="173"/>
      <c r="L101" s="173"/>
      <c r="M101" s="173"/>
      <c r="N101" s="173"/>
      <c r="O101" s="187"/>
      <c r="P101" s="173"/>
      <c r="Q101" s="173"/>
      <c r="R101" s="173"/>
    </row>
    <row r="102" spans="1:18" ht="12" customHeight="1">
      <c r="A102" s="257" t="s">
        <v>1846</v>
      </c>
      <c r="B102" s="174" t="s">
        <v>2115</v>
      </c>
      <c r="C102" s="173"/>
      <c r="D102" s="173"/>
      <c r="E102" s="173"/>
      <c r="F102" s="173"/>
      <c r="G102" s="173"/>
      <c r="H102" s="173"/>
      <c r="I102" s="173"/>
      <c r="J102" s="173"/>
      <c r="K102" s="173"/>
      <c r="L102" s="173"/>
      <c r="M102" s="173"/>
      <c r="N102" s="173"/>
      <c r="O102" s="187"/>
      <c r="P102" s="173"/>
      <c r="Q102" s="173"/>
      <c r="R102" s="173"/>
    </row>
    <row r="103" spans="1:18" ht="12" customHeight="1">
      <c r="A103" s="257" t="s">
        <v>1854</v>
      </c>
      <c r="B103" s="174" t="s">
        <v>2116</v>
      </c>
      <c r="C103" s="173"/>
      <c r="D103" s="173"/>
      <c r="E103" s="173"/>
      <c r="F103" s="173"/>
      <c r="G103" s="173"/>
      <c r="H103" s="173"/>
      <c r="I103" s="173"/>
      <c r="J103" s="173"/>
      <c r="K103" s="173"/>
      <c r="L103" s="173"/>
      <c r="M103" s="173"/>
      <c r="N103" s="173"/>
      <c r="O103" s="187"/>
      <c r="P103" s="173"/>
      <c r="Q103" s="173"/>
      <c r="R103" s="173"/>
    </row>
    <row r="104" spans="1:18" ht="12" customHeight="1">
      <c r="A104" s="173" t="s">
        <v>1862</v>
      </c>
      <c r="B104" s="174" t="s">
        <v>2117</v>
      </c>
      <c r="C104" s="173"/>
      <c r="D104" s="173"/>
      <c r="E104" s="173"/>
      <c r="F104" s="173"/>
      <c r="G104" s="173"/>
      <c r="H104" s="173"/>
      <c r="I104" s="173"/>
      <c r="J104" s="173"/>
      <c r="K104" s="173"/>
      <c r="L104" s="173"/>
      <c r="M104" s="173"/>
      <c r="N104" s="173"/>
      <c r="O104" s="187"/>
      <c r="P104" s="173"/>
      <c r="Q104" s="173"/>
      <c r="R104" s="173"/>
    </row>
    <row r="105" spans="1:18" ht="12" customHeight="1">
      <c r="A105" s="173" t="s">
        <v>1867</v>
      </c>
      <c r="B105" s="174" t="s">
        <v>2118</v>
      </c>
      <c r="C105" s="173"/>
      <c r="D105" s="173"/>
      <c r="E105" s="173"/>
      <c r="F105" s="173"/>
      <c r="G105" s="173"/>
      <c r="H105" s="173"/>
      <c r="I105" s="173"/>
      <c r="J105" s="173"/>
      <c r="K105" s="173"/>
      <c r="L105" s="173"/>
      <c r="M105" s="173"/>
      <c r="N105" s="173"/>
      <c r="O105" s="187"/>
      <c r="P105" s="173"/>
      <c r="Q105" s="173"/>
      <c r="R105" s="173"/>
    </row>
    <row r="106" spans="1:18" ht="12" customHeight="1">
      <c r="A106" s="173" t="s">
        <v>1873</v>
      </c>
      <c r="B106" s="174" t="s">
        <v>2119</v>
      </c>
      <c r="C106" s="173"/>
      <c r="D106" s="173"/>
      <c r="E106" s="173"/>
      <c r="F106" s="173"/>
      <c r="G106" s="173"/>
      <c r="H106" s="173"/>
      <c r="I106" s="173"/>
      <c r="J106" s="173"/>
      <c r="K106" s="173"/>
      <c r="L106" s="173"/>
      <c r="M106" s="173"/>
      <c r="N106" s="173"/>
      <c r="O106" s="187"/>
      <c r="P106" s="173"/>
      <c r="Q106" s="173"/>
      <c r="R106" s="173"/>
    </row>
    <row r="107" spans="1:18" ht="12" customHeight="1">
      <c r="A107" s="173" t="s">
        <v>1877</v>
      </c>
      <c r="B107" s="174" t="s">
        <v>2120</v>
      </c>
      <c r="C107" s="173"/>
      <c r="D107" s="173"/>
      <c r="E107" s="173"/>
      <c r="F107" s="173"/>
      <c r="G107" s="173"/>
      <c r="H107" s="173"/>
      <c r="I107" s="173"/>
      <c r="J107" s="173"/>
      <c r="K107" s="173"/>
      <c r="L107" s="173"/>
      <c r="M107" s="173"/>
      <c r="N107" s="173"/>
      <c r="O107" s="187"/>
      <c r="P107" s="173"/>
      <c r="Q107" s="173"/>
      <c r="R107" s="173"/>
    </row>
    <row r="108" spans="1:18" ht="12" customHeight="1">
      <c r="A108" s="173" t="s">
        <v>1883</v>
      </c>
      <c r="B108" s="174" t="s">
        <v>2121</v>
      </c>
      <c r="C108" s="173"/>
      <c r="D108" s="173"/>
      <c r="E108" s="173"/>
      <c r="F108" s="173"/>
      <c r="G108" s="173"/>
      <c r="H108" s="173"/>
      <c r="I108" s="173"/>
      <c r="J108" s="173"/>
      <c r="K108" s="173"/>
      <c r="L108" s="173"/>
      <c r="M108" s="187"/>
      <c r="N108" s="173"/>
      <c r="O108" s="187"/>
      <c r="P108" s="173"/>
      <c r="Q108" s="173"/>
      <c r="R108" s="173"/>
    </row>
    <row r="109" spans="1:18" ht="12" customHeight="1">
      <c r="A109" s="173" t="s">
        <v>1888</v>
      </c>
      <c r="B109" s="174" t="s">
        <v>2122</v>
      </c>
      <c r="C109" s="173"/>
      <c r="D109" s="173"/>
      <c r="E109" s="173"/>
      <c r="F109" s="173"/>
      <c r="G109" s="173"/>
      <c r="H109" s="173"/>
      <c r="I109" s="173"/>
      <c r="J109" s="173"/>
      <c r="K109" s="173"/>
      <c r="L109" s="173"/>
      <c r="M109" s="187"/>
      <c r="N109" s="173"/>
      <c r="O109" s="187"/>
      <c r="P109" s="173"/>
      <c r="Q109" s="173"/>
      <c r="R109" s="173"/>
    </row>
    <row r="110" spans="1:18" ht="12" customHeight="1">
      <c r="A110" s="173" t="s">
        <v>1892</v>
      </c>
      <c r="B110" s="174" t="s">
        <v>2123</v>
      </c>
      <c r="C110" s="173"/>
      <c r="D110" s="173"/>
      <c r="E110" s="173"/>
      <c r="F110" s="173"/>
      <c r="G110" s="173"/>
      <c r="H110" s="173"/>
      <c r="I110" s="173"/>
      <c r="J110" s="173"/>
      <c r="K110" s="173"/>
      <c r="L110" s="173"/>
      <c r="M110" s="187"/>
      <c r="N110" s="173"/>
      <c r="O110" s="187"/>
      <c r="P110" s="173"/>
      <c r="Q110" s="173"/>
      <c r="R110" s="173"/>
    </row>
    <row r="111" spans="1:18" ht="12" customHeight="1">
      <c r="A111" s="173" t="s">
        <v>1898</v>
      </c>
      <c r="B111" s="174" t="s">
        <v>2124</v>
      </c>
      <c r="C111" s="173"/>
      <c r="D111" s="173"/>
      <c r="E111" s="173"/>
      <c r="F111" s="173"/>
      <c r="G111" s="173"/>
      <c r="H111" s="173"/>
      <c r="I111" s="173"/>
      <c r="J111" s="173"/>
      <c r="K111" s="173"/>
      <c r="L111" s="173"/>
      <c r="M111" s="187"/>
      <c r="N111" s="173"/>
      <c r="O111" s="187"/>
      <c r="P111" s="173"/>
      <c r="Q111" s="173"/>
      <c r="R111" s="173"/>
    </row>
    <row r="112" spans="1:18" ht="12" customHeight="1">
      <c r="A112" s="173" t="s">
        <v>1901</v>
      </c>
      <c r="B112" s="174" t="s">
        <v>2125</v>
      </c>
      <c r="C112" s="173"/>
      <c r="D112" s="173"/>
      <c r="E112" s="173"/>
      <c r="F112" s="173"/>
      <c r="G112" s="173"/>
      <c r="H112" s="173"/>
      <c r="I112" s="173"/>
      <c r="J112" s="173"/>
      <c r="K112" s="173"/>
      <c r="L112" s="173"/>
      <c r="M112" s="187"/>
      <c r="N112" s="173"/>
      <c r="O112" s="187"/>
      <c r="P112" s="173"/>
      <c r="Q112" s="173"/>
      <c r="R112" s="173"/>
    </row>
    <row r="113" spans="1:18" ht="12" customHeight="1">
      <c r="A113" s="173" t="s">
        <v>87</v>
      </c>
      <c r="B113" s="174" t="s">
        <v>2126</v>
      </c>
      <c r="C113" s="173"/>
      <c r="D113" s="173"/>
      <c r="E113" s="173"/>
      <c r="F113" s="173"/>
      <c r="G113" s="173"/>
      <c r="H113" s="173"/>
      <c r="I113" s="173"/>
      <c r="J113" s="173"/>
      <c r="K113" s="173"/>
      <c r="L113" s="173"/>
      <c r="M113" s="187"/>
      <c r="N113" s="173"/>
      <c r="O113" s="187"/>
      <c r="P113" s="173"/>
      <c r="Q113" s="173"/>
      <c r="R113" s="173"/>
    </row>
    <row r="114" spans="1:18" ht="12" customHeight="1">
      <c r="A114" s="173" t="s">
        <v>1910</v>
      </c>
      <c r="B114" s="174" t="s">
        <v>2127</v>
      </c>
      <c r="C114" s="173"/>
      <c r="D114" s="173"/>
      <c r="E114" s="173"/>
      <c r="F114" s="173"/>
      <c r="G114" s="173"/>
      <c r="H114" s="173"/>
      <c r="I114" s="173"/>
      <c r="J114" s="173"/>
      <c r="K114" s="173"/>
      <c r="L114" s="173"/>
      <c r="M114" s="187"/>
      <c r="N114" s="173"/>
      <c r="O114" s="187"/>
      <c r="P114" s="173"/>
      <c r="Q114" s="173"/>
      <c r="R114" s="173"/>
    </row>
    <row r="115" spans="1:18" ht="12" customHeight="1">
      <c r="A115" s="173" t="s">
        <v>1915</v>
      </c>
      <c r="B115" s="174" t="s">
        <v>2128</v>
      </c>
      <c r="C115" s="173"/>
      <c r="D115" s="173"/>
      <c r="E115" s="173"/>
      <c r="F115" s="173"/>
      <c r="G115" s="173"/>
      <c r="H115" s="173"/>
      <c r="I115" s="173"/>
      <c r="J115" s="173"/>
      <c r="K115" s="173"/>
      <c r="L115" s="173"/>
      <c r="M115" s="187"/>
      <c r="N115" s="173"/>
      <c r="O115" s="187"/>
      <c r="P115" s="173"/>
      <c r="Q115" s="173"/>
      <c r="R115" s="173"/>
    </row>
    <row r="116" spans="1:18" ht="12" customHeight="1">
      <c r="A116" s="173" t="s">
        <v>1920</v>
      </c>
      <c r="B116" s="174" t="s">
        <v>2129</v>
      </c>
      <c r="C116" s="173"/>
      <c r="D116" s="173"/>
      <c r="E116" s="173"/>
      <c r="F116" s="173"/>
      <c r="G116" s="173"/>
      <c r="H116" s="173"/>
      <c r="I116" s="173"/>
      <c r="J116" s="173"/>
      <c r="K116" s="173"/>
      <c r="L116" s="173"/>
      <c r="M116" s="187"/>
      <c r="N116" s="173"/>
      <c r="O116" s="187"/>
      <c r="P116" s="173"/>
      <c r="Q116" s="173"/>
      <c r="R116" s="173"/>
    </row>
    <row r="117" spans="1:18" ht="12" customHeight="1">
      <c r="A117" s="173" t="s">
        <v>1925</v>
      </c>
      <c r="B117" s="174" t="s">
        <v>2130</v>
      </c>
      <c r="C117" s="173"/>
      <c r="D117" s="173"/>
      <c r="E117" s="173"/>
      <c r="F117" s="173"/>
      <c r="G117" s="173"/>
      <c r="H117" s="173"/>
      <c r="I117" s="173"/>
      <c r="J117" s="173"/>
      <c r="K117" s="173"/>
      <c r="L117" s="173"/>
      <c r="M117" s="187"/>
      <c r="N117" s="173"/>
      <c r="O117" s="187"/>
      <c r="P117" s="173"/>
      <c r="Q117" s="173"/>
      <c r="R117" s="173"/>
    </row>
    <row r="118" spans="1:18" ht="12" customHeight="1">
      <c r="A118" s="173" t="s">
        <v>1930</v>
      </c>
      <c r="B118" s="174" t="s">
        <v>2131</v>
      </c>
      <c r="C118" s="173"/>
      <c r="D118" s="173"/>
      <c r="E118" s="173"/>
      <c r="F118" s="173"/>
      <c r="G118" s="173"/>
      <c r="H118" s="173"/>
      <c r="I118" s="173"/>
      <c r="J118" s="173"/>
      <c r="K118" s="173"/>
      <c r="L118" s="173"/>
      <c r="M118" s="187"/>
      <c r="N118" s="173"/>
      <c r="O118" s="187"/>
      <c r="P118" s="173"/>
      <c r="Q118" s="173"/>
      <c r="R118" s="173"/>
    </row>
    <row r="119" spans="1:18" ht="12" customHeight="1">
      <c r="A119" s="173" t="s">
        <v>1934</v>
      </c>
      <c r="B119" s="174" t="s">
        <v>2132</v>
      </c>
      <c r="C119" s="173"/>
      <c r="D119" s="173"/>
      <c r="E119" s="173"/>
      <c r="F119" s="173"/>
      <c r="G119" s="173"/>
      <c r="H119" s="173"/>
      <c r="I119" s="173"/>
      <c r="J119" s="173"/>
      <c r="K119" s="173"/>
      <c r="L119" s="173"/>
      <c r="M119" s="187"/>
      <c r="N119" s="173"/>
      <c r="O119" s="187"/>
      <c r="P119" s="173"/>
      <c r="Q119" s="173"/>
      <c r="R119" s="173"/>
    </row>
    <row r="120" spans="1:18" ht="12" customHeight="1">
      <c r="A120" s="173" t="s">
        <v>1939</v>
      </c>
      <c r="B120" s="174" t="s">
        <v>2133</v>
      </c>
      <c r="C120" s="173"/>
      <c r="D120" s="173"/>
      <c r="E120" s="173"/>
      <c r="F120" s="173"/>
      <c r="G120" s="173"/>
      <c r="H120" s="173"/>
      <c r="I120" s="173"/>
      <c r="J120" s="173"/>
      <c r="K120" s="173"/>
      <c r="L120" s="173"/>
      <c r="M120" s="187"/>
      <c r="N120" s="173"/>
      <c r="O120" s="187"/>
      <c r="P120" s="173"/>
      <c r="Q120" s="173"/>
      <c r="R120" s="173"/>
    </row>
    <row r="121" spans="1:18" ht="12" customHeight="1">
      <c r="A121" s="173" t="s">
        <v>1944</v>
      </c>
      <c r="B121" s="174" t="s">
        <v>2134</v>
      </c>
      <c r="C121" s="173"/>
      <c r="D121" s="173"/>
      <c r="E121" s="173"/>
      <c r="F121" s="173"/>
      <c r="G121" s="173"/>
      <c r="H121" s="173"/>
      <c r="I121" s="173"/>
      <c r="J121" s="173"/>
      <c r="K121" s="173"/>
      <c r="L121" s="173"/>
      <c r="M121" s="187"/>
      <c r="N121" s="173"/>
      <c r="O121" s="187"/>
      <c r="P121" s="173"/>
      <c r="Q121" s="173"/>
      <c r="R121" s="173"/>
    </row>
    <row r="122" spans="1:18" ht="12" customHeight="1">
      <c r="A122" s="173" t="s">
        <v>1949</v>
      </c>
      <c r="B122" s="174" t="s">
        <v>2135</v>
      </c>
      <c r="C122" s="173"/>
      <c r="D122" s="173"/>
      <c r="E122" s="173"/>
      <c r="F122" s="173"/>
      <c r="G122" s="173"/>
      <c r="H122" s="173"/>
      <c r="I122" s="173"/>
      <c r="J122" s="173"/>
      <c r="K122" s="173"/>
      <c r="L122" s="173"/>
      <c r="M122" s="187"/>
      <c r="N122" s="173"/>
      <c r="O122" s="187"/>
      <c r="P122" s="173"/>
      <c r="Q122" s="173"/>
      <c r="R122" s="173"/>
    </row>
    <row r="123" spans="1:18" ht="12" customHeight="1">
      <c r="A123" s="173" t="s">
        <v>1954</v>
      </c>
      <c r="B123" s="174" t="s">
        <v>2136</v>
      </c>
      <c r="C123" s="173"/>
      <c r="D123" s="173"/>
      <c r="E123" s="173"/>
      <c r="F123" s="173"/>
      <c r="G123" s="173"/>
      <c r="H123" s="173"/>
      <c r="I123" s="173"/>
      <c r="J123" s="173"/>
      <c r="K123" s="173"/>
      <c r="L123" s="173"/>
      <c r="M123" s="187"/>
      <c r="N123" s="173"/>
      <c r="O123" s="187"/>
      <c r="P123" s="173"/>
      <c r="Q123" s="173"/>
      <c r="R123" s="173"/>
    </row>
    <row r="124" spans="1:18" ht="12" customHeight="1">
      <c r="A124" s="173" t="s">
        <v>1958</v>
      </c>
      <c r="B124" s="174" t="s">
        <v>2137</v>
      </c>
      <c r="C124" s="173"/>
      <c r="D124" s="173"/>
      <c r="E124" s="173"/>
      <c r="F124" s="173"/>
      <c r="G124" s="173"/>
      <c r="H124" s="173"/>
      <c r="I124" s="173"/>
      <c r="J124" s="173"/>
      <c r="K124" s="173"/>
      <c r="L124" s="173"/>
      <c r="M124" s="187"/>
      <c r="N124" s="173"/>
      <c r="O124" s="187"/>
      <c r="P124" s="173"/>
      <c r="Q124" s="173"/>
      <c r="R124" s="173"/>
    </row>
    <row r="125" spans="1:18" ht="12" customHeight="1">
      <c r="A125" s="173" t="s">
        <v>1962</v>
      </c>
      <c r="B125" s="174" t="s">
        <v>2138</v>
      </c>
      <c r="C125" s="173"/>
      <c r="D125" s="173"/>
      <c r="E125" s="173"/>
      <c r="F125" s="173"/>
      <c r="G125" s="173"/>
      <c r="H125" s="173"/>
      <c r="I125" s="173"/>
      <c r="J125" s="173"/>
      <c r="K125" s="173"/>
      <c r="L125" s="173"/>
      <c r="M125" s="187"/>
      <c r="N125" s="173"/>
      <c r="O125" s="187"/>
      <c r="P125" s="173"/>
      <c r="Q125" s="173"/>
      <c r="R125" s="173"/>
    </row>
    <row r="126" spans="1:18" ht="12" customHeight="1">
      <c r="A126" s="173" t="s">
        <v>1966</v>
      </c>
      <c r="B126" s="174" t="s">
        <v>2139</v>
      </c>
      <c r="C126" s="173"/>
      <c r="D126" s="173"/>
      <c r="E126" s="173"/>
      <c r="F126" s="173"/>
      <c r="G126" s="173"/>
      <c r="H126" s="173"/>
      <c r="I126" s="173"/>
      <c r="J126" s="173"/>
      <c r="K126" s="173"/>
      <c r="L126" s="173"/>
      <c r="M126" s="187"/>
      <c r="N126" s="173"/>
      <c r="O126" s="187"/>
      <c r="P126" s="173"/>
      <c r="Q126" s="173"/>
      <c r="R126" s="173"/>
    </row>
    <row r="127" spans="1:18" ht="12" customHeight="1">
      <c r="A127" s="173" t="s">
        <v>1969</v>
      </c>
      <c r="B127" s="174" t="s">
        <v>2140</v>
      </c>
      <c r="C127" s="173"/>
      <c r="D127" s="173"/>
      <c r="E127" s="173"/>
      <c r="F127" s="173"/>
      <c r="G127" s="173"/>
      <c r="H127" s="173"/>
      <c r="I127" s="173"/>
      <c r="J127" s="173"/>
      <c r="K127" s="173"/>
      <c r="L127" s="173"/>
      <c r="M127" s="187"/>
      <c r="N127" s="173"/>
      <c r="O127" s="187"/>
      <c r="P127" s="173"/>
      <c r="Q127" s="173"/>
      <c r="R127" s="173"/>
    </row>
    <row r="128" spans="1:18" ht="12" customHeight="1">
      <c r="A128" s="173" t="s">
        <v>1973</v>
      </c>
      <c r="B128" s="174" t="s">
        <v>2141</v>
      </c>
      <c r="C128" s="173"/>
      <c r="D128" s="173"/>
      <c r="E128" s="173"/>
      <c r="F128" s="173"/>
      <c r="G128" s="173"/>
      <c r="H128" s="173"/>
      <c r="I128" s="173"/>
      <c r="J128" s="173"/>
      <c r="K128" s="173"/>
      <c r="L128" s="173"/>
      <c r="M128" s="187"/>
      <c r="N128" s="173"/>
      <c r="O128" s="187"/>
      <c r="P128" s="173"/>
      <c r="Q128" s="173"/>
      <c r="R128" s="173"/>
    </row>
    <row r="129" spans="1:18" ht="12" customHeight="1">
      <c r="A129" s="173" t="s">
        <v>1977</v>
      </c>
      <c r="B129" s="174" t="s">
        <v>2142</v>
      </c>
      <c r="C129" s="173"/>
      <c r="D129" s="173"/>
      <c r="E129" s="173"/>
      <c r="F129" s="173"/>
      <c r="G129" s="173"/>
      <c r="H129" s="173"/>
      <c r="I129" s="173"/>
      <c r="J129" s="173"/>
      <c r="K129" s="173"/>
      <c r="L129" s="173"/>
      <c r="M129" s="187"/>
      <c r="N129" s="173"/>
      <c r="O129" s="187"/>
      <c r="P129" s="173"/>
      <c r="Q129" s="173"/>
      <c r="R129" s="173"/>
    </row>
    <row r="130" spans="1:18" ht="12" customHeight="1">
      <c r="A130" s="173" t="s">
        <v>1981</v>
      </c>
      <c r="B130" s="174" t="s">
        <v>2143</v>
      </c>
      <c r="C130" s="173"/>
      <c r="D130" s="173"/>
      <c r="E130" s="173"/>
      <c r="F130" s="173"/>
      <c r="G130" s="173"/>
      <c r="H130" s="173"/>
      <c r="I130" s="173"/>
      <c r="J130" s="173"/>
      <c r="K130" s="173"/>
      <c r="L130" s="187"/>
      <c r="M130" s="187"/>
      <c r="N130" s="173"/>
      <c r="O130" s="173"/>
      <c r="P130" s="173"/>
      <c r="Q130" s="173"/>
      <c r="R130" s="173"/>
    </row>
    <row r="131" spans="1:18" ht="12" customHeight="1">
      <c r="A131" s="173" t="s">
        <v>1985</v>
      </c>
      <c r="B131" s="174" t="s">
        <v>2144</v>
      </c>
      <c r="C131" s="173"/>
      <c r="D131" s="173"/>
      <c r="E131" s="173"/>
      <c r="F131" s="173"/>
      <c r="G131" s="173"/>
      <c r="H131" s="173"/>
      <c r="I131" s="173"/>
      <c r="J131" s="173"/>
      <c r="K131" s="173"/>
      <c r="L131" s="187"/>
      <c r="M131" s="187"/>
      <c r="N131" s="173"/>
      <c r="O131" s="173"/>
      <c r="P131" s="173"/>
      <c r="Q131" s="173"/>
      <c r="R131" s="173"/>
    </row>
    <row r="132" spans="1:18" ht="12" customHeight="1">
      <c r="A132" s="173" t="s">
        <v>1989</v>
      </c>
      <c r="B132" s="174" t="s">
        <v>2145</v>
      </c>
      <c r="C132" s="173"/>
      <c r="D132" s="173"/>
      <c r="E132" s="173"/>
      <c r="F132" s="173"/>
      <c r="G132" s="173"/>
      <c r="H132" s="173"/>
      <c r="I132" s="173"/>
      <c r="J132" s="173"/>
      <c r="K132" s="173"/>
      <c r="L132" s="187"/>
      <c r="M132" s="187"/>
      <c r="N132" s="173"/>
      <c r="O132" s="173"/>
      <c r="P132" s="173"/>
      <c r="Q132" s="173"/>
      <c r="R132" s="173"/>
    </row>
    <row r="133" spans="1:18" ht="12" customHeight="1">
      <c r="A133" s="173" t="s">
        <v>1993</v>
      </c>
      <c r="B133" s="174" t="s">
        <v>2146</v>
      </c>
      <c r="C133" s="173"/>
      <c r="D133" s="173"/>
      <c r="E133" s="173"/>
      <c r="F133" s="173"/>
      <c r="G133" s="173"/>
      <c r="H133" s="173"/>
      <c r="I133" s="173"/>
      <c r="J133" s="173"/>
      <c r="K133" s="173"/>
      <c r="L133" s="187"/>
      <c r="M133" s="187"/>
      <c r="N133" s="173"/>
      <c r="O133" s="173"/>
      <c r="P133" s="173"/>
      <c r="Q133" s="173"/>
      <c r="R133" s="173"/>
    </row>
    <row r="134" spans="1:18" ht="12" customHeight="1">
      <c r="A134" s="173" t="s">
        <v>1997</v>
      </c>
      <c r="B134" s="174" t="s">
        <v>2147</v>
      </c>
      <c r="C134" s="173"/>
      <c r="D134" s="173"/>
      <c r="E134" s="173"/>
      <c r="F134" s="173"/>
      <c r="G134" s="173"/>
      <c r="H134" s="173"/>
      <c r="I134" s="173"/>
      <c r="J134" s="173"/>
      <c r="K134" s="173"/>
      <c r="L134" s="187"/>
      <c r="M134" s="187"/>
      <c r="N134" s="173"/>
      <c r="O134" s="173"/>
      <c r="P134" s="173"/>
      <c r="Q134" s="173"/>
      <c r="R134" s="173"/>
    </row>
    <row r="135" spans="1:18" ht="12" customHeight="1">
      <c r="A135" s="173" t="s">
        <v>2001</v>
      </c>
      <c r="B135" s="174" t="s">
        <v>2148</v>
      </c>
      <c r="C135" s="173"/>
      <c r="D135" s="173"/>
      <c r="E135" s="173"/>
      <c r="F135" s="173"/>
      <c r="G135" s="173"/>
      <c r="H135" s="173"/>
      <c r="I135" s="173"/>
      <c r="J135" s="173"/>
      <c r="K135" s="187"/>
      <c r="L135" s="187"/>
      <c r="M135" s="187"/>
      <c r="N135" s="173"/>
      <c r="O135" s="173"/>
      <c r="P135" s="173"/>
      <c r="Q135" s="173"/>
      <c r="R135" s="173"/>
    </row>
    <row r="136" spans="1:18" ht="12" customHeight="1">
      <c r="A136" s="173" t="s">
        <v>2004</v>
      </c>
      <c r="B136" s="174" t="s">
        <v>2149</v>
      </c>
      <c r="C136" s="173"/>
      <c r="D136" s="173"/>
      <c r="E136" s="173"/>
      <c r="F136" s="173"/>
      <c r="G136" s="173"/>
      <c r="H136" s="173"/>
      <c r="I136" s="173"/>
      <c r="J136" s="173"/>
      <c r="K136" s="187"/>
      <c r="L136" s="187"/>
      <c r="M136" s="187"/>
      <c r="N136" s="173"/>
      <c r="O136" s="173"/>
      <c r="P136" s="173"/>
      <c r="Q136" s="173"/>
      <c r="R136" s="173"/>
    </row>
    <row r="137" spans="1:18" ht="12" customHeight="1">
      <c r="A137" s="173" t="s">
        <v>2007</v>
      </c>
      <c r="B137" s="174" t="s">
        <v>2150</v>
      </c>
      <c r="C137" s="173"/>
      <c r="D137" s="173"/>
      <c r="E137" s="173"/>
      <c r="F137" s="173"/>
      <c r="G137" s="173"/>
      <c r="H137" s="173"/>
      <c r="I137" s="173"/>
      <c r="J137" s="173"/>
      <c r="K137" s="187"/>
      <c r="L137" s="187"/>
      <c r="M137" s="187"/>
      <c r="N137" s="173"/>
      <c r="O137" s="173"/>
      <c r="P137" s="173"/>
      <c r="Q137" s="173"/>
      <c r="R137" s="173"/>
    </row>
    <row r="138" spans="1:18" ht="12" customHeight="1">
      <c r="A138" s="173" t="s">
        <v>2010</v>
      </c>
      <c r="B138" s="174" t="s">
        <v>2151</v>
      </c>
      <c r="C138" s="173"/>
      <c r="D138" s="173"/>
      <c r="E138" s="173"/>
      <c r="F138" s="173"/>
      <c r="G138" s="173"/>
      <c r="H138" s="173"/>
      <c r="I138" s="173"/>
      <c r="J138" s="173"/>
      <c r="K138" s="187"/>
      <c r="L138" s="187"/>
      <c r="M138" s="187"/>
      <c r="N138" s="173"/>
      <c r="O138" s="173"/>
      <c r="P138" s="173"/>
      <c r="Q138" s="173"/>
      <c r="R138" s="173"/>
    </row>
    <row r="139" spans="1:18" ht="12" customHeight="1">
      <c r="A139" s="173" t="s">
        <v>2013</v>
      </c>
      <c r="B139" s="174" t="s">
        <v>2152</v>
      </c>
      <c r="C139" s="173"/>
      <c r="D139" s="173"/>
      <c r="E139" s="173"/>
      <c r="F139" s="173"/>
      <c r="G139" s="173"/>
      <c r="H139" s="173"/>
      <c r="I139" s="173"/>
      <c r="J139" s="173"/>
      <c r="K139" s="187"/>
      <c r="L139" s="187"/>
      <c r="M139" s="187"/>
      <c r="N139" s="173"/>
      <c r="O139" s="173"/>
      <c r="P139" s="173"/>
      <c r="Q139" s="173"/>
      <c r="R139" s="173"/>
    </row>
    <row r="140" spans="1:18" ht="12" customHeight="1">
      <c r="A140" s="173" t="s">
        <v>2017</v>
      </c>
      <c r="B140" s="174" t="s">
        <v>2153</v>
      </c>
      <c r="C140" s="173"/>
      <c r="D140" s="173"/>
      <c r="E140" s="173"/>
      <c r="F140" s="173"/>
      <c r="G140" s="173"/>
      <c r="H140" s="173"/>
      <c r="I140" s="173"/>
      <c r="J140" s="173"/>
      <c r="K140" s="187"/>
      <c r="L140" s="187"/>
      <c r="M140" s="187"/>
      <c r="N140" s="173"/>
      <c r="O140" s="173"/>
      <c r="P140" s="173"/>
      <c r="Q140" s="173"/>
      <c r="R140" s="173"/>
    </row>
    <row r="141" spans="1:18" ht="12" customHeight="1">
      <c r="A141" s="173" t="s">
        <v>2020</v>
      </c>
      <c r="B141" s="174" t="s">
        <v>2154</v>
      </c>
      <c r="C141" s="173"/>
      <c r="D141" s="173"/>
      <c r="E141" s="173"/>
      <c r="F141" s="173"/>
      <c r="G141" s="173"/>
      <c r="H141" s="173"/>
      <c r="I141" s="173"/>
      <c r="J141" s="173"/>
      <c r="K141" s="187"/>
      <c r="L141" s="187"/>
      <c r="M141" s="187"/>
      <c r="N141" s="173"/>
      <c r="O141" s="173"/>
      <c r="P141" s="173"/>
      <c r="Q141" s="173"/>
      <c r="R141" s="173"/>
    </row>
    <row r="142" spans="1:18" ht="12" customHeight="1">
      <c r="A142" s="173" t="s">
        <v>2024</v>
      </c>
      <c r="B142" s="174" t="s">
        <v>2155</v>
      </c>
      <c r="C142" s="173"/>
      <c r="D142" s="173"/>
      <c r="E142" s="173"/>
      <c r="F142" s="173"/>
      <c r="G142" s="173"/>
      <c r="H142" s="173"/>
      <c r="I142" s="173"/>
      <c r="J142" s="173"/>
      <c r="K142" s="187"/>
      <c r="L142" s="187"/>
      <c r="M142" s="187"/>
      <c r="N142" s="173"/>
      <c r="O142" s="173"/>
      <c r="P142" s="173"/>
      <c r="Q142" s="173"/>
      <c r="R142" s="173"/>
    </row>
    <row r="143" spans="1:18" ht="12" customHeight="1">
      <c r="A143" s="173" t="s">
        <v>2027</v>
      </c>
      <c r="B143" s="174" t="s">
        <v>2156</v>
      </c>
      <c r="C143" s="173"/>
      <c r="D143" s="173"/>
      <c r="E143" s="173"/>
      <c r="F143" s="173"/>
      <c r="G143" s="173"/>
      <c r="H143" s="173"/>
      <c r="I143" s="173"/>
      <c r="J143" s="173"/>
      <c r="K143" s="187"/>
      <c r="L143" s="187"/>
      <c r="M143" s="187"/>
      <c r="N143" s="173"/>
      <c r="O143" s="173"/>
      <c r="P143" s="173"/>
      <c r="Q143" s="173"/>
      <c r="R143" s="173"/>
    </row>
    <row r="144" spans="1:18" ht="12" customHeight="1">
      <c r="A144" s="173" t="s">
        <v>2030</v>
      </c>
      <c r="B144" s="174" t="s">
        <v>2157</v>
      </c>
      <c r="C144" s="173"/>
      <c r="D144" s="173"/>
      <c r="E144" s="173"/>
      <c r="F144" s="173"/>
      <c r="G144" s="173"/>
      <c r="H144" s="173"/>
      <c r="I144" s="173"/>
      <c r="J144" s="173"/>
      <c r="K144" s="187"/>
      <c r="L144" s="187"/>
      <c r="M144" s="187"/>
      <c r="N144" s="173"/>
      <c r="O144" s="173"/>
      <c r="P144" s="173"/>
      <c r="Q144" s="173"/>
      <c r="R144" s="173"/>
    </row>
    <row r="145" spans="1:18" ht="12" customHeight="1">
      <c r="A145" s="173" t="s">
        <v>2033</v>
      </c>
      <c r="B145" s="174" t="s">
        <v>2158</v>
      </c>
      <c r="C145" s="173"/>
      <c r="D145" s="173"/>
      <c r="E145" s="173"/>
      <c r="F145" s="173"/>
      <c r="G145" s="173"/>
      <c r="H145" s="173"/>
      <c r="I145" s="173"/>
      <c r="J145" s="173"/>
      <c r="K145" s="187"/>
      <c r="L145" s="187"/>
      <c r="M145" s="187"/>
      <c r="N145" s="173"/>
      <c r="O145" s="173"/>
      <c r="P145" s="173"/>
      <c r="R145" s="173"/>
    </row>
    <row r="146" spans="1:18" ht="12" customHeight="1">
      <c r="A146" s="173" t="s">
        <v>2037</v>
      </c>
      <c r="B146" s="174" t="s">
        <v>2159</v>
      </c>
      <c r="C146" s="173"/>
      <c r="D146" s="173"/>
      <c r="E146" s="173"/>
      <c r="F146" s="173"/>
      <c r="G146" s="173"/>
      <c r="H146" s="173"/>
      <c r="I146" s="173"/>
      <c r="J146" s="173"/>
      <c r="K146" s="187"/>
      <c r="L146" s="187"/>
      <c r="M146" s="187"/>
      <c r="N146" s="173"/>
      <c r="O146" s="173"/>
      <c r="P146" s="173"/>
      <c r="R146" s="173"/>
    </row>
    <row r="147" spans="1:18" ht="12" customHeight="1">
      <c r="A147" s="173" t="s">
        <v>2040</v>
      </c>
      <c r="B147" s="174" t="s">
        <v>2160</v>
      </c>
      <c r="C147" s="173"/>
      <c r="D147" s="173"/>
      <c r="E147" s="173"/>
      <c r="F147" s="173"/>
      <c r="G147" s="173"/>
      <c r="H147" s="173"/>
      <c r="I147" s="173"/>
      <c r="J147" s="173"/>
      <c r="K147" s="187"/>
      <c r="L147" s="187"/>
      <c r="M147" s="187"/>
      <c r="N147" s="173"/>
      <c r="O147" s="173"/>
      <c r="P147" s="173"/>
      <c r="R147" s="173"/>
    </row>
    <row r="148" spans="1:18" ht="12" customHeight="1">
      <c r="A148" s="173" t="s">
        <v>2042</v>
      </c>
      <c r="B148" s="174" t="s">
        <v>2161</v>
      </c>
      <c r="C148" s="173"/>
      <c r="D148" s="173"/>
      <c r="E148" s="173"/>
      <c r="F148" s="173"/>
      <c r="G148" s="173"/>
      <c r="H148" s="173"/>
      <c r="I148" s="173"/>
      <c r="J148" s="173"/>
      <c r="K148" s="187"/>
      <c r="L148" s="187"/>
      <c r="M148" s="187"/>
      <c r="N148" s="173"/>
      <c r="O148" s="173"/>
      <c r="P148" s="173"/>
      <c r="R148" s="173"/>
    </row>
    <row r="149" spans="1:18" ht="12" customHeight="1">
      <c r="A149" s="173" t="s">
        <v>2044</v>
      </c>
      <c r="B149" s="174" t="s">
        <v>2162</v>
      </c>
      <c r="C149" s="173"/>
      <c r="D149" s="173"/>
      <c r="E149" s="173"/>
      <c r="F149" s="173"/>
      <c r="G149" s="173"/>
      <c r="H149" s="173"/>
      <c r="I149" s="173"/>
      <c r="J149" s="173"/>
      <c r="K149" s="187"/>
      <c r="L149" s="187"/>
      <c r="M149" s="187"/>
      <c r="N149" s="173"/>
      <c r="O149" s="173"/>
      <c r="P149" s="173"/>
      <c r="R149" s="173"/>
    </row>
    <row r="150" spans="1:18" ht="12" customHeight="1">
      <c r="A150" s="173" t="s">
        <v>2047</v>
      </c>
      <c r="B150" s="174" t="s">
        <v>2163</v>
      </c>
      <c r="C150" s="173"/>
      <c r="D150" s="173"/>
      <c r="E150" s="173"/>
      <c r="F150" s="173"/>
      <c r="G150" s="173"/>
      <c r="H150" s="173"/>
      <c r="I150" s="173"/>
      <c r="J150" s="173"/>
      <c r="K150" s="187"/>
      <c r="L150" s="187"/>
      <c r="M150" s="187"/>
      <c r="N150" s="173"/>
      <c r="O150" s="173"/>
      <c r="P150" s="173"/>
      <c r="R150" s="173"/>
    </row>
    <row r="151" spans="1:18" ht="12" customHeight="1">
      <c r="A151" s="173" t="s">
        <v>2049</v>
      </c>
      <c r="B151" s="174" t="s">
        <v>2164</v>
      </c>
      <c r="C151" s="173"/>
      <c r="D151" s="173"/>
      <c r="E151" s="173"/>
      <c r="F151" s="173"/>
      <c r="G151" s="173"/>
      <c r="H151" s="173"/>
      <c r="I151" s="173"/>
      <c r="J151" s="173"/>
      <c r="K151" s="187"/>
      <c r="L151" s="187"/>
      <c r="M151" s="187"/>
      <c r="N151" s="173"/>
      <c r="O151" s="173"/>
      <c r="P151" s="173"/>
      <c r="R151" s="173"/>
    </row>
    <row r="152" spans="1:18" ht="12" customHeight="1">
      <c r="A152" s="173" t="s">
        <v>2052</v>
      </c>
      <c r="B152" s="174" t="s">
        <v>2165</v>
      </c>
      <c r="C152" s="173"/>
      <c r="D152" s="173"/>
      <c r="E152" s="173"/>
      <c r="F152" s="173"/>
      <c r="G152" s="173"/>
      <c r="H152" s="173"/>
      <c r="I152" s="173"/>
      <c r="J152" s="173"/>
      <c r="K152" s="187"/>
      <c r="L152" s="187"/>
      <c r="M152" s="187"/>
      <c r="N152" s="173"/>
      <c r="O152" s="173"/>
      <c r="P152" s="173"/>
      <c r="R152" s="173"/>
    </row>
    <row r="153" spans="1:18" ht="12" customHeight="1">
      <c r="A153" s="173" t="s">
        <v>2054</v>
      </c>
      <c r="B153" s="174" t="s">
        <v>2166</v>
      </c>
      <c r="C153" s="173"/>
      <c r="D153" s="173"/>
      <c r="E153" s="173"/>
      <c r="F153" s="173"/>
      <c r="G153" s="173"/>
      <c r="H153" s="173"/>
      <c r="I153" s="173"/>
      <c r="J153" s="173"/>
      <c r="K153" s="187"/>
      <c r="L153" s="187"/>
      <c r="M153" s="187"/>
      <c r="N153" s="173"/>
      <c r="O153" s="173"/>
      <c r="P153" s="173"/>
      <c r="R153" s="173"/>
    </row>
    <row r="154" spans="1:18" ht="12" customHeight="1">
      <c r="A154" s="173" t="s">
        <v>2056</v>
      </c>
      <c r="B154" s="174" t="s">
        <v>2167</v>
      </c>
      <c r="C154" s="173"/>
      <c r="D154" s="173"/>
      <c r="E154" s="173"/>
      <c r="F154" s="173"/>
      <c r="G154" s="173"/>
      <c r="H154" s="173"/>
      <c r="I154" s="173"/>
      <c r="J154" s="173"/>
      <c r="K154" s="187"/>
      <c r="L154" s="187"/>
      <c r="M154" s="187"/>
      <c r="N154" s="173"/>
      <c r="O154" s="173"/>
      <c r="P154" s="173"/>
      <c r="R154" s="173"/>
    </row>
    <row r="155" spans="1:18" ht="12" customHeight="1">
      <c r="A155" s="173" t="s">
        <v>2058</v>
      </c>
      <c r="B155" s="174" t="s">
        <v>2168</v>
      </c>
      <c r="C155" s="173"/>
      <c r="D155" s="173"/>
      <c r="E155" s="173"/>
      <c r="F155" s="173"/>
      <c r="G155" s="173"/>
      <c r="H155" s="173"/>
      <c r="I155" s="173"/>
      <c r="J155" s="173"/>
      <c r="K155" s="187"/>
      <c r="L155" s="187"/>
      <c r="M155" s="187"/>
      <c r="N155" s="173"/>
      <c r="O155" s="173"/>
      <c r="P155" s="173"/>
      <c r="R155" s="173"/>
    </row>
    <row r="156" spans="1:18" ht="12" customHeight="1">
      <c r="A156" s="173" t="s">
        <v>2060</v>
      </c>
      <c r="B156" s="174" t="s">
        <v>2169</v>
      </c>
      <c r="C156" s="173"/>
      <c r="D156" s="173"/>
      <c r="E156" s="173"/>
      <c r="F156" s="173"/>
      <c r="G156" s="173"/>
      <c r="H156" s="173"/>
      <c r="I156" s="173"/>
      <c r="J156" s="173"/>
      <c r="K156" s="187"/>
      <c r="L156" s="187"/>
      <c r="M156" s="187"/>
      <c r="N156" s="173"/>
      <c r="O156" s="173"/>
      <c r="P156" s="173"/>
      <c r="R156" s="173"/>
    </row>
    <row r="157" spans="1:18" ht="12" customHeight="1">
      <c r="A157" s="173" t="s">
        <v>2062</v>
      </c>
      <c r="B157" s="174" t="s">
        <v>2170</v>
      </c>
      <c r="C157" s="173"/>
      <c r="D157" s="173"/>
      <c r="E157" s="173"/>
      <c r="F157" s="173"/>
      <c r="G157" s="173"/>
      <c r="H157" s="173"/>
      <c r="I157" s="173"/>
      <c r="J157" s="173"/>
      <c r="K157" s="187"/>
      <c r="L157" s="187"/>
      <c r="M157" s="187"/>
      <c r="N157" s="173"/>
      <c r="O157" s="173"/>
      <c r="P157" s="173"/>
      <c r="R157" s="173"/>
    </row>
    <row r="158" spans="1:18" ht="12" customHeight="1">
      <c r="A158" s="173" t="s">
        <v>2064</v>
      </c>
      <c r="B158" s="174" t="s">
        <v>2171</v>
      </c>
      <c r="C158" s="173"/>
      <c r="D158" s="173"/>
      <c r="E158" s="173"/>
      <c r="F158" s="173"/>
      <c r="G158" s="173"/>
      <c r="H158" s="173"/>
      <c r="I158" s="173"/>
      <c r="J158" s="173"/>
      <c r="K158" s="187"/>
      <c r="L158" s="187"/>
      <c r="M158" s="187"/>
      <c r="N158" s="173"/>
      <c r="O158" s="173"/>
      <c r="P158" s="173"/>
      <c r="R158" s="173"/>
    </row>
    <row r="159" spans="1:18" ht="12" customHeight="1">
      <c r="A159" s="173" t="s">
        <v>2066</v>
      </c>
      <c r="B159" s="174" t="s">
        <v>2172</v>
      </c>
      <c r="C159" s="173"/>
      <c r="D159" s="173"/>
      <c r="E159" s="173"/>
      <c r="F159" s="173"/>
      <c r="G159" s="173"/>
      <c r="H159" s="173"/>
      <c r="I159" s="173"/>
      <c r="J159" s="173"/>
      <c r="K159" s="187"/>
      <c r="L159" s="187"/>
      <c r="M159" s="187"/>
      <c r="N159" s="173"/>
      <c r="O159" s="173"/>
      <c r="P159" s="173"/>
      <c r="R159" s="173"/>
    </row>
    <row r="160" spans="1:18" ht="12" customHeight="1">
      <c r="A160" s="173" t="s">
        <v>2068</v>
      </c>
      <c r="B160" s="174" t="s">
        <v>2173</v>
      </c>
      <c r="C160" s="173"/>
      <c r="D160" s="173"/>
      <c r="E160" s="173"/>
      <c r="F160" s="173"/>
      <c r="G160" s="173"/>
      <c r="H160" s="173"/>
      <c r="I160" s="173"/>
      <c r="J160" s="173"/>
      <c r="K160" s="187"/>
      <c r="L160" s="187"/>
      <c r="M160" s="187"/>
      <c r="N160" s="173"/>
      <c r="O160" s="173"/>
      <c r="P160" s="173"/>
      <c r="R160" s="173"/>
    </row>
    <row r="161" spans="1:18" ht="12" customHeight="1">
      <c r="A161" s="173" t="s">
        <v>2070</v>
      </c>
      <c r="B161" s="174" t="s">
        <v>2174</v>
      </c>
      <c r="C161" s="173"/>
      <c r="D161" s="173"/>
      <c r="E161" s="173"/>
      <c r="F161" s="173"/>
      <c r="G161" s="173"/>
      <c r="H161" s="173"/>
      <c r="I161" s="173"/>
      <c r="J161" s="173"/>
      <c r="K161" s="187"/>
      <c r="L161" s="187"/>
      <c r="M161" s="187"/>
      <c r="N161" s="173"/>
      <c r="O161" s="173"/>
      <c r="P161" s="173"/>
      <c r="R161" s="173"/>
    </row>
    <row r="162" spans="1:18" ht="12" customHeight="1">
      <c r="A162" s="173" t="s">
        <v>2072</v>
      </c>
      <c r="B162" s="174" t="s">
        <v>2175</v>
      </c>
      <c r="C162" s="173"/>
      <c r="D162" s="173"/>
      <c r="E162" s="173"/>
      <c r="F162" s="173"/>
      <c r="G162" s="173"/>
      <c r="H162" s="173"/>
      <c r="I162" s="173"/>
      <c r="J162" s="173"/>
      <c r="K162" s="187"/>
      <c r="L162" s="187"/>
      <c r="M162" s="187"/>
      <c r="N162" s="173"/>
      <c r="O162" s="173"/>
      <c r="P162" s="173"/>
      <c r="R162" s="173"/>
    </row>
    <row r="163" spans="1:18" ht="12" customHeight="1">
      <c r="A163" s="173" t="s">
        <v>2074</v>
      </c>
      <c r="B163" s="174" t="s">
        <v>2176</v>
      </c>
      <c r="C163" s="173"/>
      <c r="D163" s="173"/>
      <c r="E163" s="173"/>
      <c r="F163" s="173"/>
      <c r="G163" s="173"/>
      <c r="H163" s="173"/>
      <c r="I163" s="173"/>
      <c r="J163" s="173"/>
      <c r="K163" s="187"/>
      <c r="L163" s="187"/>
      <c r="M163" s="187"/>
      <c r="N163" s="173"/>
      <c r="O163" s="173"/>
      <c r="P163" s="173"/>
      <c r="R163" s="173"/>
    </row>
    <row r="164" spans="1:18" ht="12" customHeight="1">
      <c r="A164" s="173" t="s">
        <v>2076</v>
      </c>
      <c r="B164" s="174" t="s">
        <v>2177</v>
      </c>
      <c r="C164" s="173"/>
      <c r="D164" s="173"/>
      <c r="E164" s="173"/>
      <c r="F164" s="173"/>
      <c r="G164" s="173"/>
      <c r="H164" s="173"/>
      <c r="I164" s="173"/>
      <c r="J164" s="173"/>
      <c r="L164" s="187"/>
      <c r="M164" s="187"/>
      <c r="N164" s="173"/>
      <c r="O164" s="173"/>
      <c r="P164" s="173"/>
      <c r="R164" s="173"/>
    </row>
    <row r="165" spans="1:18" ht="12" customHeight="1">
      <c r="A165" s="173" t="s">
        <v>2078</v>
      </c>
      <c r="B165" s="174" t="s">
        <v>2178</v>
      </c>
      <c r="C165" s="173"/>
      <c r="D165" s="173"/>
      <c r="E165" s="173"/>
      <c r="F165" s="173"/>
      <c r="G165" s="173"/>
      <c r="H165" s="173"/>
      <c r="I165" s="173"/>
      <c r="J165" s="173"/>
      <c r="L165" s="187"/>
      <c r="M165" s="187"/>
      <c r="N165" s="173"/>
      <c r="O165" s="173"/>
      <c r="P165" s="173"/>
      <c r="R165" s="173"/>
    </row>
    <row r="166" spans="1:18" ht="12" customHeight="1">
      <c r="A166" s="173" t="s">
        <v>2080</v>
      </c>
      <c r="B166" s="174" t="s">
        <v>2179</v>
      </c>
      <c r="C166" s="173"/>
      <c r="D166" s="173"/>
      <c r="E166" s="173"/>
      <c r="F166" s="173"/>
      <c r="G166" s="173"/>
      <c r="H166" s="173"/>
      <c r="I166" s="173"/>
      <c r="J166" s="173"/>
      <c r="L166" s="187"/>
      <c r="M166" s="187"/>
      <c r="N166" s="173"/>
      <c r="O166" s="173"/>
      <c r="P166" s="173"/>
      <c r="R166" s="173"/>
    </row>
    <row r="167" spans="1:18" ht="12" customHeight="1">
      <c r="A167" s="173" t="s">
        <v>2083</v>
      </c>
      <c r="B167" s="174" t="s">
        <v>2180</v>
      </c>
      <c r="C167" s="173"/>
      <c r="D167" s="173"/>
      <c r="E167" s="173"/>
      <c r="F167" s="173"/>
      <c r="G167" s="173"/>
      <c r="H167" s="173"/>
      <c r="I167" s="173"/>
      <c r="J167" s="173"/>
      <c r="L167" s="187"/>
      <c r="M167" s="187"/>
      <c r="N167" s="173"/>
      <c r="O167" s="173"/>
      <c r="P167" s="173"/>
      <c r="R167" s="173"/>
    </row>
    <row r="168" spans="1:18" ht="12" customHeight="1">
      <c r="A168" s="173" t="s">
        <v>2085</v>
      </c>
      <c r="B168" s="174" t="s">
        <v>2181</v>
      </c>
      <c r="C168" s="173"/>
      <c r="D168" s="173"/>
      <c r="E168" s="173"/>
      <c r="F168" s="173"/>
      <c r="G168" s="173"/>
      <c r="H168" s="173"/>
      <c r="I168" s="173"/>
      <c r="J168" s="173"/>
      <c r="L168" s="187"/>
      <c r="M168" s="187"/>
      <c r="N168" s="173"/>
      <c r="O168" s="173"/>
      <c r="P168" s="173"/>
      <c r="R168" s="173"/>
    </row>
    <row r="169" spans="1:18" ht="12" customHeight="1">
      <c r="A169" s="173" t="s">
        <v>2087</v>
      </c>
      <c r="B169" s="174" t="s">
        <v>2182</v>
      </c>
      <c r="C169" s="173"/>
      <c r="D169" s="173"/>
      <c r="E169" s="173"/>
      <c r="F169" s="173"/>
      <c r="H169" s="173"/>
      <c r="I169" s="173"/>
      <c r="J169" s="173"/>
      <c r="L169" s="187"/>
      <c r="M169" s="187"/>
      <c r="N169" s="173"/>
      <c r="O169" s="173"/>
      <c r="P169" s="173"/>
      <c r="R169" s="173"/>
    </row>
    <row r="170" spans="1:18" ht="12" customHeight="1">
      <c r="A170" s="173" t="s">
        <v>2089</v>
      </c>
      <c r="B170" s="174" t="s">
        <v>2183</v>
      </c>
      <c r="C170" s="173"/>
      <c r="D170" s="173"/>
      <c r="E170" s="173"/>
      <c r="F170" s="173"/>
      <c r="H170" s="173"/>
      <c r="I170" s="173"/>
      <c r="J170" s="173"/>
      <c r="L170" s="187"/>
      <c r="M170" s="187"/>
      <c r="N170" s="173"/>
      <c r="O170" s="173"/>
      <c r="P170" s="173"/>
      <c r="R170" s="173"/>
    </row>
    <row r="171" spans="1:18" ht="12" customHeight="1">
      <c r="A171" s="173" t="s">
        <v>2091</v>
      </c>
      <c r="B171" s="174" t="s">
        <v>2184</v>
      </c>
      <c r="C171" s="173"/>
      <c r="D171" s="173"/>
      <c r="E171" s="173"/>
      <c r="F171" s="173"/>
      <c r="H171" s="173"/>
      <c r="I171" s="173"/>
      <c r="J171" s="173"/>
      <c r="L171" s="187"/>
      <c r="M171" s="187"/>
      <c r="N171" s="173"/>
      <c r="O171" s="173"/>
      <c r="P171" s="173"/>
      <c r="R171" s="173"/>
    </row>
    <row r="172" spans="1:18" ht="12" customHeight="1">
      <c r="A172" s="173" t="s">
        <v>2094</v>
      </c>
      <c r="B172" s="174" t="s">
        <v>2185</v>
      </c>
      <c r="C172" s="173"/>
      <c r="D172" s="173"/>
      <c r="E172" s="173"/>
      <c r="F172" s="173"/>
      <c r="H172" s="173"/>
      <c r="I172" s="173"/>
      <c r="J172" s="173"/>
      <c r="L172" s="187"/>
      <c r="M172" s="187"/>
      <c r="N172" s="173"/>
      <c r="O172" s="173"/>
      <c r="P172" s="173"/>
      <c r="R172" s="173"/>
    </row>
    <row r="173" spans="1:18" ht="12" customHeight="1">
      <c r="A173" s="173" t="s">
        <v>2097</v>
      </c>
      <c r="B173" s="174" t="s">
        <v>2186</v>
      </c>
      <c r="C173" s="173"/>
      <c r="D173" s="173"/>
      <c r="E173" s="173"/>
      <c r="F173" s="173"/>
      <c r="H173" s="173"/>
      <c r="I173" s="173"/>
      <c r="J173" s="173"/>
      <c r="L173" s="187"/>
      <c r="M173" s="187"/>
      <c r="N173" s="173"/>
      <c r="O173" s="173"/>
      <c r="P173" s="173"/>
      <c r="R173" s="173"/>
    </row>
    <row r="174" spans="1:18" ht="12" customHeight="1">
      <c r="A174" s="173" t="s">
        <v>2099</v>
      </c>
      <c r="B174" s="174" t="s">
        <v>2187</v>
      </c>
      <c r="C174" s="173"/>
      <c r="D174" s="173"/>
      <c r="E174" s="173"/>
      <c r="F174" s="173"/>
      <c r="H174" s="173"/>
      <c r="I174" s="173"/>
      <c r="J174" s="173"/>
      <c r="L174" s="187"/>
      <c r="M174" s="187"/>
      <c r="N174" s="173"/>
      <c r="O174" s="173"/>
      <c r="P174" s="173"/>
      <c r="R174" s="173"/>
    </row>
    <row r="175" spans="1:18" ht="12" customHeight="1">
      <c r="A175" s="173" t="s">
        <v>2101</v>
      </c>
      <c r="B175" s="174" t="s">
        <v>2188</v>
      </c>
      <c r="C175" s="173"/>
      <c r="D175" s="173"/>
      <c r="E175" s="173"/>
      <c r="F175" s="173"/>
      <c r="H175" s="173"/>
      <c r="I175" s="173"/>
      <c r="J175" s="173"/>
      <c r="L175" s="187"/>
      <c r="M175" s="187"/>
      <c r="N175" s="173"/>
      <c r="O175" s="173"/>
      <c r="P175" s="173"/>
      <c r="R175" s="173"/>
    </row>
  </sheetData>
  <sheetProtection insertRows="0" deleteColumns="0" deleteRows="0" sort="0" autoFilter="0"/>
  <pageMargins left="0.7" right="0.7" top="0.75" bottom="0.75" header="0.3" footer="0.3"/>
  <pageSetup orientation="portrait"/>
  <headerFooter>
    <oddHeader>&amp;L&amp;C&amp;R</oddHeader>
    <oddFooter>&amp;L&amp;C&amp;R</oddFooter>
    <evenHeader>&amp;L&amp;C&amp;R</evenHeader>
    <evenFooter>&amp;L&amp;C&amp;R</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CV2"/>
  <sheetViews>
    <sheetView showGridLines="0" workbookViewId="0"/>
  </sheetViews>
  <sheetFormatPr defaultRowHeight="11.25" customHeight="1"/>
  <cols>
    <col min="1" max="1" width="23.140625" customWidth="1"/>
  </cols>
  <sheetData>
    <row r="1" spans="1:100" ht="11.25" customHeight="1">
      <c r="A1" t="s">
        <v>2189</v>
      </c>
      <c r="B1" t="s">
        <v>2190</v>
      </c>
      <c r="C1" t="s">
        <v>2191</v>
      </c>
      <c r="D1" t="s">
        <v>2192</v>
      </c>
      <c r="E1" t="s">
        <v>2193</v>
      </c>
      <c r="F1" t="s">
        <v>2194</v>
      </c>
      <c r="G1" t="s">
        <v>2195</v>
      </c>
      <c r="H1" t="s">
        <v>2196</v>
      </c>
      <c r="I1" t="s">
        <v>2197</v>
      </c>
      <c r="J1" t="s">
        <v>2198</v>
      </c>
      <c r="K1" t="s">
        <v>2199</v>
      </c>
      <c r="L1" t="s">
        <v>2200</v>
      </c>
      <c r="M1" t="s">
        <v>2201</v>
      </c>
      <c r="N1" t="s">
        <v>2202</v>
      </c>
      <c r="O1" t="s">
        <v>2203</v>
      </c>
      <c r="P1" t="s">
        <v>2204</v>
      </c>
      <c r="Q1" t="s">
        <v>2205</v>
      </c>
      <c r="R1" t="s">
        <v>2206</v>
      </c>
      <c r="S1" t="s">
        <v>2207</v>
      </c>
      <c r="T1" t="s">
        <v>2208</v>
      </c>
      <c r="U1" t="s">
        <v>2209</v>
      </c>
      <c r="V1" t="s">
        <v>2210</v>
      </c>
      <c r="W1" t="s">
        <v>2211</v>
      </c>
      <c r="X1" t="s">
        <v>2212</v>
      </c>
      <c r="Y1" t="s">
        <v>2213</v>
      </c>
      <c r="Z1" t="s">
        <v>2214</v>
      </c>
      <c r="AA1" t="s">
        <v>2215</v>
      </c>
      <c r="AB1" t="s">
        <v>2216</v>
      </c>
      <c r="AC1" t="s">
        <v>2217</v>
      </c>
      <c r="AD1" t="s">
        <v>2218</v>
      </c>
      <c r="AE1" t="s">
        <v>2219</v>
      </c>
      <c r="AF1" t="s">
        <v>2220</v>
      </c>
      <c r="AG1" t="s">
        <v>2221</v>
      </c>
      <c r="AH1" t="s">
        <v>2222</v>
      </c>
      <c r="AI1" t="s">
        <v>2223</v>
      </c>
      <c r="AJ1" t="s">
        <v>2224</v>
      </c>
      <c r="AK1" t="s">
        <v>2225</v>
      </c>
      <c r="AL1" t="s">
        <v>2226</v>
      </c>
      <c r="AM1" t="s">
        <v>2227</v>
      </c>
      <c r="AN1" t="s">
        <v>2228</v>
      </c>
      <c r="AO1" t="s">
        <v>2229</v>
      </c>
      <c r="AP1" t="s">
        <v>2230</v>
      </c>
      <c r="AQ1" t="s">
        <v>2231</v>
      </c>
      <c r="AR1" t="s">
        <v>2232</v>
      </c>
      <c r="AS1" t="s">
        <v>2233</v>
      </c>
      <c r="AT1" t="s">
        <v>2234</v>
      </c>
      <c r="AU1" t="s">
        <v>2235</v>
      </c>
      <c r="AV1" t="s">
        <v>2236</v>
      </c>
      <c r="AW1" t="s">
        <v>2237</v>
      </c>
      <c r="AX1" t="s">
        <v>2238</v>
      </c>
      <c r="AY1" t="s">
        <v>2239</v>
      </c>
      <c r="AZ1" t="s">
        <v>2240</v>
      </c>
      <c r="BA1" t="s">
        <v>2241</v>
      </c>
      <c r="BB1" t="s">
        <v>2242</v>
      </c>
      <c r="BC1" t="s">
        <v>2243</v>
      </c>
      <c r="BD1" t="s">
        <v>2244</v>
      </c>
      <c r="BE1" t="s">
        <v>2245</v>
      </c>
      <c r="BF1" t="s">
        <v>2246</v>
      </c>
      <c r="BG1" t="s">
        <v>2247</v>
      </c>
      <c r="BH1" t="s">
        <v>2248</v>
      </c>
      <c r="BI1" t="s">
        <v>2249</v>
      </c>
      <c r="BJ1" t="s">
        <v>2250</v>
      </c>
      <c r="BK1" t="s">
        <v>2251</v>
      </c>
      <c r="BL1" t="s">
        <v>2252</v>
      </c>
      <c r="BM1" t="s">
        <v>2253</v>
      </c>
      <c r="BN1" t="s">
        <v>2254</v>
      </c>
      <c r="BO1" t="s">
        <v>2255</v>
      </c>
      <c r="BP1" t="s">
        <v>2256</v>
      </c>
      <c r="BQ1" t="s">
        <v>2257</v>
      </c>
      <c r="BR1" t="s">
        <v>2258</v>
      </c>
      <c r="BS1" t="s">
        <v>2259</v>
      </c>
      <c r="BT1" t="s">
        <v>2260</v>
      </c>
      <c r="BU1" t="s">
        <v>2261</v>
      </c>
      <c r="BV1" t="s">
        <v>2262</v>
      </c>
      <c r="BW1" t="s">
        <v>2263</v>
      </c>
      <c r="BX1" t="s">
        <v>2264</v>
      </c>
      <c r="BY1" t="s">
        <v>2265</v>
      </c>
      <c r="BZ1" t="s">
        <v>2266</v>
      </c>
      <c r="CA1" t="s">
        <v>2267</v>
      </c>
      <c r="CB1" t="s">
        <v>2268</v>
      </c>
      <c r="CC1" t="s">
        <v>2269</v>
      </c>
      <c r="CD1" t="s">
        <v>2270</v>
      </c>
      <c r="CE1" t="s">
        <v>2271</v>
      </c>
      <c r="CF1" t="s">
        <v>2272</v>
      </c>
      <c r="CG1" t="s">
        <v>2273</v>
      </c>
      <c r="CH1" t="s">
        <v>2274</v>
      </c>
      <c r="CI1" t="s">
        <v>2275</v>
      </c>
      <c r="CJ1" t="s">
        <v>2276</v>
      </c>
      <c r="CK1" t="s">
        <v>2277</v>
      </c>
      <c r="CL1" t="s">
        <v>2278</v>
      </c>
      <c r="CM1" t="s">
        <v>2279</v>
      </c>
      <c r="CN1" t="s">
        <v>2280</v>
      </c>
      <c r="CO1" t="s">
        <v>2281</v>
      </c>
      <c r="CP1" t="s">
        <v>2282</v>
      </c>
      <c r="CQ1" t="s">
        <v>2283</v>
      </c>
      <c r="CR1" t="s">
        <v>2284</v>
      </c>
      <c r="CS1" t="s">
        <v>2285</v>
      </c>
      <c r="CT1" t="s">
        <v>2286</v>
      </c>
      <c r="CU1" t="s">
        <v>2287</v>
      </c>
      <c r="CV1" t="s">
        <v>2288</v>
      </c>
    </row>
    <row r="2" spans="1:100" ht="11.25" customHeight="1">
      <c r="A2" t="s">
        <v>162</v>
      </c>
      <c r="B2" t="s">
        <v>162</v>
      </c>
      <c r="C2" t="s">
        <v>162</v>
      </c>
      <c r="D2" t="s">
        <v>162</v>
      </c>
      <c r="E2" t="s">
        <v>162</v>
      </c>
      <c r="F2" t="s">
        <v>2289</v>
      </c>
      <c r="G2" t="s">
        <v>162</v>
      </c>
      <c r="H2" t="s">
        <v>162</v>
      </c>
      <c r="I2" t="s">
        <v>247</v>
      </c>
      <c r="J2" t="s">
        <v>162</v>
      </c>
      <c r="K2" t="s">
        <v>320</v>
      </c>
      <c r="L2" t="s">
        <v>162</v>
      </c>
      <c r="M2" t="s">
        <v>87</v>
      </c>
      <c r="N2" t="s">
        <v>162</v>
      </c>
      <c r="O2" t="s">
        <v>2290</v>
      </c>
      <c r="P2" t="s">
        <v>2291</v>
      </c>
      <c r="Q2" t="s">
        <v>2292</v>
      </c>
      <c r="R2" t="s">
        <v>138</v>
      </c>
      <c r="S2" t="s">
        <v>138</v>
      </c>
      <c r="T2" t="s">
        <v>297</v>
      </c>
      <c r="U2" t="s">
        <v>297</v>
      </c>
      <c r="V2" t="s">
        <v>298</v>
      </c>
      <c r="W2" t="s">
        <v>2293</v>
      </c>
      <c r="X2" t="s">
        <v>2294</v>
      </c>
      <c r="Y2" t="s">
        <v>2295</v>
      </c>
      <c r="Z2" t="s">
        <v>247</v>
      </c>
      <c r="AA2" t="s">
        <v>2296</v>
      </c>
      <c r="AB2" t="s">
        <v>2297</v>
      </c>
      <c r="AC2" t="s">
        <v>2298</v>
      </c>
      <c r="AD2" t="s">
        <v>2299</v>
      </c>
      <c r="AE2" t="s">
        <v>2300</v>
      </c>
      <c r="AF2" t="s">
        <v>2301</v>
      </c>
      <c r="AG2" t="s">
        <v>2302</v>
      </c>
      <c r="AH2" t="s">
        <v>2303</v>
      </c>
      <c r="AI2" t="s">
        <v>2304</v>
      </c>
      <c r="AJ2" t="s">
        <v>2305</v>
      </c>
      <c r="AK2" t="s">
        <v>2306</v>
      </c>
      <c r="AL2" t="s">
        <v>162</v>
      </c>
      <c r="AM2" t="s">
        <v>162</v>
      </c>
      <c r="AN2" t="s">
        <v>162</v>
      </c>
      <c r="AO2" t="s">
        <v>162</v>
      </c>
      <c r="AP2" t="s">
        <v>162</v>
      </c>
      <c r="AQ2" t="s">
        <v>162</v>
      </c>
      <c r="AR2" t="s">
        <v>162</v>
      </c>
      <c r="AS2" t="s">
        <v>162</v>
      </c>
      <c r="AT2" t="s">
        <v>162</v>
      </c>
      <c r="AU2" t="s">
        <v>162</v>
      </c>
      <c r="AV2" t="s">
        <v>162</v>
      </c>
      <c r="AW2" t="s">
        <v>162</v>
      </c>
      <c r="AX2" t="s">
        <v>162</v>
      </c>
      <c r="AY2" t="s">
        <v>162</v>
      </c>
      <c r="AZ2" t="s">
        <v>162</v>
      </c>
      <c r="BA2" t="s">
        <v>162</v>
      </c>
      <c r="BB2" t="s">
        <v>162</v>
      </c>
      <c r="BC2" t="s">
        <v>162</v>
      </c>
      <c r="BD2" t="s">
        <v>162</v>
      </c>
      <c r="BE2" t="s">
        <v>162</v>
      </c>
      <c r="BF2" t="s">
        <v>162</v>
      </c>
      <c r="BG2" t="s">
        <v>162</v>
      </c>
      <c r="BH2" t="s">
        <v>162</v>
      </c>
      <c r="BI2" t="s">
        <v>162</v>
      </c>
      <c r="BJ2" t="s">
        <v>162</v>
      </c>
      <c r="BK2" t="s">
        <v>162</v>
      </c>
      <c r="BL2" t="s">
        <v>162</v>
      </c>
      <c r="BM2" t="s">
        <v>162</v>
      </c>
      <c r="BN2" t="s">
        <v>162</v>
      </c>
      <c r="BO2" t="s">
        <v>162</v>
      </c>
      <c r="BP2" t="s">
        <v>162</v>
      </c>
      <c r="BQ2" t="s">
        <v>162</v>
      </c>
      <c r="BR2" t="s">
        <v>162</v>
      </c>
      <c r="BS2" t="s">
        <v>162</v>
      </c>
      <c r="BT2" t="s">
        <v>162</v>
      </c>
      <c r="BU2" t="s">
        <v>162</v>
      </c>
      <c r="BV2" t="s">
        <v>162</v>
      </c>
      <c r="BW2" t="s">
        <v>162</v>
      </c>
      <c r="BX2" t="s">
        <v>162</v>
      </c>
      <c r="BY2" t="s">
        <v>162</v>
      </c>
      <c r="BZ2" t="s">
        <v>162</v>
      </c>
      <c r="CA2" t="s">
        <v>162</v>
      </c>
      <c r="CB2" t="s">
        <v>162</v>
      </c>
      <c r="CC2" t="s">
        <v>162</v>
      </c>
      <c r="CD2" t="s">
        <v>162</v>
      </c>
      <c r="CE2" t="s">
        <v>162</v>
      </c>
      <c r="CF2" t="s">
        <v>162</v>
      </c>
      <c r="CG2" t="s">
        <v>162</v>
      </c>
      <c r="CH2" t="s">
        <v>162</v>
      </c>
      <c r="CI2" t="s">
        <v>162</v>
      </c>
      <c r="CJ2" t="s">
        <v>162</v>
      </c>
      <c r="CK2" t="s">
        <v>162</v>
      </c>
      <c r="CL2" t="s">
        <v>2307</v>
      </c>
      <c r="CM2" t="s">
        <v>2308</v>
      </c>
      <c r="CN2" t="s">
        <v>2309</v>
      </c>
      <c r="CO2" t="s">
        <v>2310</v>
      </c>
      <c r="CP2" t="s">
        <v>323</v>
      </c>
      <c r="CQ2" t="s">
        <v>322</v>
      </c>
      <c r="CR2" t="s">
        <v>324</v>
      </c>
      <c r="CS2" t="s">
        <v>325</v>
      </c>
      <c r="CT2" t="s">
        <v>2310</v>
      </c>
      <c r="CU2" t="s">
        <v>2311</v>
      </c>
      <c r="CV2" t="s">
        <v>321</v>
      </c>
    </row>
  </sheetData>
  <sheetProtection insertRows="0" deleteColumns="0" deleteRows="0" sort="0" autoFilter="0"/>
  <pageMargins left="0.7" right="0.7" top="0.75" bottom="0.75" header="0.3" footer="0.3"/>
  <pageSetup orientation="portrait"/>
  <headerFooter>
    <oddHeader>&amp;L&amp;C&amp;R</oddHeader>
    <oddFooter>&amp;L&amp;C&amp;R</oddFooter>
    <evenHeader>&amp;L&amp;C&amp;R</evenHeader>
    <evenFooter>&amp;L&amp;C&amp;R</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C230"/>
  <sheetViews>
    <sheetView showGridLines="0" workbookViewId="0"/>
  </sheetViews>
  <sheetFormatPr defaultRowHeight="11.25" customHeight="1"/>
  <sheetData>
    <row r="1" spans="1:3" ht="11.25" customHeight="1">
      <c r="A1" t="s">
        <v>2312</v>
      </c>
      <c r="B1" t="s">
        <v>2313</v>
      </c>
      <c r="C1" t="s">
        <v>2314</v>
      </c>
    </row>
    <row r="2" spans="1:3" ht="11.25" customHeight="1">
      <c r="A2" t="s">
        <v>2315</v>
      </c>
      <c r="B2" t="s">
        <v>2315</v>
      </c>
      <c r="C2" t="s">
        <v>2316</v>
      </c>
    </row>
    <row r="3" spans="1:3" ht="11.25" customHeight="1">
      <c r="A3" t="s">
        <v>2317</v>
      </c>
      <c r="B3" t="s">
        <v>2317</v>
      </c>
      <c r="C3" t="s">
        <v>2318</v>
      </c>
    </row>
    <row r="4" spans="1:3" ht="11.25" customHeight="1">
      <c r="A4" t="s">
        <v>2319</v>
      </c>
      <c r="B4" t="s">
        <v>2319</v>
      </c>
      <c r="C4" t="s">
        <v>2320</v>
      </c>
    </row>
    <row r="5" spans="1:3" ht="11.25" customHeight="1">
      <c r="A5" t="s">
        <v>2321</v>
      </c>
      <c r="B5" t="s">
        <v>2321</v>
      </c>
      <c r="C5" t="s">
        <v>2322</v>
      </c>
    </row>
    <row r="6" spans="1:3" ht="11.25" customHeight="1">
      <c r="A6" t="s">
        <v>2323</v>
      </c>
      <c r="B6" t="s">
        <v>2323</v>
      </c>
      <c r="C6" t="s">
        <v>2324</v>
      </c>
    </row>
    <row r="7" spans="1:3" ht="11.25" customHeight="1">
      <c r="A7" t="s">
        <v>297</v>
      </c>
      <c r="B7" t="s">
        <v>297</v>
      </c>
      <c r="C7" t="s">
        <v>2325</v>
      </c>
    </row>
    <row r="8" spans="1:3" ht="11.25" customHeight="1">
      <c r="A8" t="s">
        <v>297</v>
      </c>
      <c r="B8" t="s">
        <v>297</v>
      </c>
      <c r="C8" t="s">
        <v>298</v>
      </c>
    </row>
    <row r="9" spans="1:3" ht="11.25" customHeight="1">
      <c r="A9" t="s">
        <v>2326</v>
      </c>
      <c r="B9" t="s">
        <v>2326</v>
      </c>
      <c r="C9" t="s">
        <v>2327</v>
      </c>
    </row>
    <row r="10" spans="1:3" ht="11.25" customHeight="1">
      <c r="A10" t="s">
        <v>2328</v>
      </c>
      <c r="B10" t="s">
        <v>2328</v>
      </c>
      <c r="C10" t="s">
        <v>2329</v>
      </c>
    </row>
    <row r="11" spans="1:3" ht="11.25" customHeight="1">
      <c r="A11" t="s">
        <v>2330</v>
      </c>
      <c r="B11" t="s">
        <v>2330</v>
      </c>
      <c r="C11" t="s">
        <v>2331</v>
      </c>
    </row>
    <row r="12" spans="1:3" ht="11.25" customHeight="1">
      <c r="A12" t="s">
        <v>2332</v>
      </c>
      <c r="B12" t="s">
        <v>2332</v>
      </c>
      <c r="C12" t="s">
        <v>2333</v>
      </c>
    </row>
    <row r="13" spans="1:3" ht="11.25" customHeight="1">
      <c r="A13" t="s">
        <v>2334</v>
      </c>
      <c r="B13" t="s">
        <v>2334</v>
      </c>
      <c r="C13" t="s">
        <v>2335</v>
      </c>
    </row>
    <row r="14" spans="1:3" ht="11.25" customHeight="1">
      <c r="A14" t="s">
        <v>2336</v>
      </c>
      <c r="B14" t="s">
        <v>2336</v>
      </c>
      <c r="C14" t="s">
        <v>2337</v>
      </c>
    </row>
    <row r="15" spans="1:3" ht="11.25" customHeight="1">
      <c r="A15" t="s">
        <v>2338</v>
      </c>
      <c r="B15" t="s">
        <v>2338</v>
      </c>
      <c r="C15" t="s">
        <v>2339</v>
      </c>
    </row>
    <row r="16" spans="1:3" ht="11.25" customHeight="1">
      <c r="A16" t="s">
        <v>2340</v>
      </c>
      <c r="B16" t="s">
        <v>2340</v>
      </c>
      <c r="C16" t="s">
        <v>2341</v>
      </c>
    </row>
    <row r="17" spans="1:3" ht="11.25" customHeight="1">
      <c r="A17" t="s">
        <v>2342</v>
      </c>
      <c r="B17" t="s">
        <v>2342</v>
      </c>
      <c r="C17" t="s">
        <v>2343</v>
      </c>
    </row>
    <row r="18" spans="1:3" ht="11.25" customHeight="1">
      <c r="A18" t="s">
        <v>2344</v>
      </c>
      <c r="B18" t="s">
        <v>2344</v>
      </c>
      <c r="C18" t="s">
        <v>2345</v>
      </c>
    </row>
    <row r="19" spans="1:3" ht="11.25" customHeight="1">
      <c r="A19" t="s">
        <v>2346</v>
      </c>
      <c r="B19" t="s">
        <v>2346</v>
      </c>
      <c r="C19" t="s">
        <v>2347</v>
      </c>
    </row>
    <row r="20" spans="1:3" ht="11.25" customHeight="1">
      <c r="A20" t="s">
        <v>2348</v>
      </c>
      <c r="B20" t="s">
        <v>2348</v>
      </c>
      <c r="C20" t="s">
        <v>2349</v>
      </c>
    </row>
    <row r="21" spans="1:3" ht="11.25" customHeight="1">
      <c r="A21" t="s">
        <v>2350</v>
      </c>
      <c r="B21" t="s">
        <v>2350</v>
      </c>
      <c r="C21" t="s">
        <v>2351</v>
      </c>
    </row>
    <row r="22" spans="1:3" ht="11.25" customHeight="1">
      <c r="A22" t="s">
        <v>2352</v>
      </c>
      <c r="B22" t="s">
        <v>2353</v>
      </c>
      <c r="C22" t="s">
        <v>2354</v>
      </c>
    </row>
    <row r="23" spans="1:3" ht="11.25" customHeight="1">
      <c r="A23" t="s">
        <v>2352</v>
      </c>
      <c r="B23" t="s">
        <v>2355</v>
      </c>
      <c r="C23" t="s">
        <v>2356</v>
      </c>
    </row>
    <row r="24" spans="1:3" ht="11.25" customHeight="1">
      <c r="A24" t="s">
        <v>2352</v>
      </c>
      <c r="B24" t="s">
        <v>2357</v>
      </c>
      <c r="C24" t="s">
        <v>2358</v>
      </c>
    </row>
    <row r="25" spans="1:3" ht="11.25" customHeight="1">
      <c r="A25" t="s">
        <v>2352</v>
      </c>
      <c r="B25" t="s">
        <v>2359</v>
      </c>
      <c r="C25" t="s">
        <v>2360</v>
      </c>
    </row>
    <row r="26" spans="1:3" ht="11.25" customHeight="1">
      <c r="A26" t="s">
        <v>2352</v>
      </c>
      <c r="B26" t="s">
        <v>2361</v>
      </c>
      <c r="C26" t="s">
        <v>2362</v>
      </c>
    </row>
    <row r="27" spans="1:3" ht="11.25" customHeight="1">
      <c r="A27" t="s">
        <v>2352</v>
      </c>
      <c r="B27" t="s">
        <v>2363</v>
      </c>
      <c r="C27" t="s">
        <v>2364</v>
      </c>
    </row>
    <row r="28" spans="1:3" ht="11.25" customHeight="1">
      <c r="A28" t="s">
        <v>2352</v>
      </c>
      <c r="B28" t="s">
        <v>2365</v>
      </c>
      <c r="C28" t="s">
        <v>2366</v>
      </c>
    </row>
    <row r="29" spans="1:3" ht="11.25" customHeight="1">
      <c r="A29" t="s">
        <v>2352</v>
      </c>
      <c r="B29" t="s">
        <v>2367</v>
      </c>
      <c r="C29" t="s">
        <v>2368</v>
      </c>
    </row>
    <row r="30" spans="1:3" ht="11.25" customHeight="1">
      <c r="A30" t="s">
        <v>2369</v>
      </c>
      <c r="B30" t="s">
        <v>2370</v>
      </c>
      <c r="C30" t="s">
        <v>2371</v>
      </c>
    </row>
    <row r="31" spans="1:3" ht="11.25" customHeight="1">
      <c r="A31" t="s">
        <v>2369</v>
      </c>
      <c r="B31" t="s">
        <v>2372</v>
      </c>
      <c r="C31" t="s">
        <v>2373</v>
      </c>
    </row>
    <row r="32" spans="1:3" ht="11.25" customHeight="1">
      <c r="A32" t="s">
        <v>2369</v>
      </c>
      <c r="B32" t="s">
        <v>2374</v>
      </c>
      <c r="C32" t="s">
        <v>2375</v>
      </c>
    </row>
    <row r="33" spans="1:3" ht="11.25" customHeight="1">
      <c r="A33" t="s">
        <v>2369</v>
      </c>
      <c r="B33" t="s">
        <v>2376</v>
      </c>
      <c r="C33" t="s">
        <v>2377</v>
      </c>
    </row>
    <row r="34" spans="1:3" ht="11.25" customHeight="1">
      <c r="A34" t="s">
        <v>2369</v>
      </c>
      <c r="B34" t="s">
        <v>2378</v>
      </c>
      <c r="C34" t="s">
        <v>2379</v>
      </c>
    </row>
    <row r="35" spans="1:3" ht="11.25" customHeight="1">
      <c r="A35" t="s">
        <v>2369</v>
      </c>
      <c r="B35" t="s">
        <v>2380</v>
      </c>
      <c r="C35" t="s">
        <v>2381</v>
      </c>
    </row>
    <row r="36" spans="1:3" ht="11.25" customHeight="1">
      <c r="A36" t="s">
        <v>2369</v>
      </c>
      <c r="B36" t="s">
        <v>2382</v>
      </c>
      <c r="C36" t="s">
        <v>2383</v>
      </c>
    </row>
    <row r="37" spans="1:3" ht="11.25" customHeight="1">
      <c r="A37" t="s">
        <v>2369</v>
      </c>
      <c r="B37" t="s">
        <v>2384</v>
      </c>
      <c r="C37" t="s">
        <v>2385</v>
      </c>
    </row>
    <row r="38" spans="1:3" ht="11.25" customHeight="1">
      <c r="A38" t="s">
        <v>2369</v>
      </c>
      <c r="B38" t="s">
        <v>2386</v>
      </c>
      <c r="C38" t="s">
        <v>2387</v>
      </c>
    </row>
    <row r="39" spans="1:3" ht="11.25" customHeight="1">
      <c r="A39" t="s">
        <v>2388</v>
      </c>
      <c r="B39" t="s">
        <v>2389</v>
      </c>
      <c r="C39" t="s">
        <v>2390</v>
      </c>
    </row>
    <row r="40" spans="1:3" ht="11.25" customHeight="1">
      <c r="A40" t="s">
        <v>2388</v>
      </c>
      <c r="B40" t="s">
        <v>2391</v>
      </c>
      <c r="C40" t="s">
        <v>2392</v>
      </c>
    </row>
    <row r="41" spans="1:3" ht="11.25" customHeight="1">
      <c r="A41" t="s">
        <v>2388</v>
      </c>
      <c r="B41" t="s">
        <v>2393</v>
      </c>
      <c r="C41" t="s">
        <v>2394</v>
      </c>
    </row>
    <row r="42" spans="1:3" ht="11.25" customHeight="1">
      <c r="A42" t="s">
        <v>2388</v>
      </c>
      <c r="B42" t="s">
        <v>2395</v>
      </c>
      <c r="C42" t="s">
        <v>2396</v>
      </c>
    </row>
    <row r="43" spans="1:3" ht="11.25" customHeight="1">
      <c r="A43" t="s">
        <v>2388</v>
      </c>
      <c r="B43" t="s">
        <v>2397</v>
      </c>
      <c r="C43" t="s">
        <v>2398</v>
      </c>
    </row>
    <row r="44" spans="1:3" ht="11.25" customHeight="1">
      <c r="A44" t="s">
        <v>2388</v>
      </c>
      <c r="B44" t="s">
        <v>2399</v>
      </c>
      <c r="C44" t="s">
        <v>2400</v>
      </c>
    </row>
    <row r="45" spans="1:3" ht="11.25" customHeight="1">
      <c r="A45" t="s">
        <v>2388</v>
      </c>
      <c r="B45" t="s">
        <v>2401</v>
      </c>
      <c r="C45" t="s">
        <v>2402</v>
      </c>
    </row>
    <row r="46" spans="1:3" ht="11.25" customHeight="1">
      <c r="A46" t="s">
        <v>2403</v>
      </c>
      <c r="B46" t="s">
        <v>2404</v>
      </c>
      <c r="C46" t="s">
        <v>2405</v>
      </c>
    </row>
    <row r="47" spans="1:3" ht="11.25" customHeight="1">
      <c r="A47" t="s">
        <v>2403</v>
      </c>
      <c r="B47" t="s">
        <v>2406</v>
      </c>
      <c r="C47" t="s">
        <v>2407</v>
      </c>
    </row>
    <row r="48" spans="1:3" ht="11.25" customHeight="1">
      <c r="A48" t="s">
        <v>2403</v>
      </c>
      <c r="B48" t="s">
        <v>2408</v>
      </c>
      <c r="C48" t="s">
        <v>2409</v>
      </c>
    </row>
    <row r="49" spans="1:3" ht="11.25" customHeight="1">
      <c r="A49" t="s">
        <v>2403</v>
      </c>
      <c r="B49" t="s">
        <v>2410</v>
      </c>
      <c r="C49" t="s">
        <v>2411</v>
      </c>
    </row>
    <row r="50" spans="1:3" ht="11.25" customHeight="1">
      <c r="A50" t="s">
        <v>2403</v>
      </c>
      <c r="B50" t="s">
        <v>2412</v>
      </c>
      <c r="C50" t="s">
        <v>2413</v>
      </c>
    </row>
    <row r="51" spans="1:3" ht="11.25" customHeight="1">
      <c r="A51" t="s">
        <v>2403</v>
      </c>
      <c r="B51" t="s">
        <v>2414</v>
      </c>
      <c r="C51" t="s">
        <v>2415</v>
      </c>
    </row>
    <row r="52" spans="1:3" ht="11.25" customHeight="1">
      <c r="A52" t="s">
        <v>2403</v>
      </c>
      <c r="B52" t="s">
        <v>2416</v>
      </c>
      <c r="C52" t="s">
        <v>2417</v>
      </c>
    </row>
    <row r="53" spans="1:3" ht="11.25" customHeight="1">
      <c r="A53" t="s">
        <v>2403</v>
      </c>
      <c r="B53" t="s">
        <v>2418</v>
      </c>
      <c r="C53" t="s">
        <v>2419</v>
      </c>
    </row>
    <row r="54" spans="1:3" ht="11.25" customHeight="1">
      <c r="A54" t="s">
        <v>2403</v>
      </c>
      <c r="B54" t="s">
        <v>2420</v>
      </c>
      <c r="C54" t="s">
        <v>2421</v>
      </c>
    </row>
    <row r="55" spans="1:3" ht="11.25" customHeight="1">
      <c r="A55" t="s">
        <v>2422</v>
      </c>
      <c r="B55" t="s">
        <v>2422</v>
      </c>
      <c r="C55" t="s">
        <v>2423</v>
      </c>
    </row>
    <row r="56" spans="1:3" ht="11.25" customHeight="1">
      <c r="A56" t="s">
        <v>2422</v>
      </c>
      <c r="B56" t="s">
        <v>2424</v>
      </c>
      <c r="C56" t="s">
        <v>2425</v>
      </c>
    </row>
    <row r="57" spans="1:3" ht="11.25" customHeight="1">
      <c r="A57" t="s">
        <v>2422</v>
      </c>
      <c r="B57" t="s">
        <v>2426</v>
      </c>
      <c r="C57" t="s">
        <v>2427</v>
      </c>
    </row>
    <row r="58" spans="1:3" ht="11.25" customHeight="1">
      <c r="A58" t="s">
        <v>2422</v>
      </c>
      <c r="B58" t="s">
        <v>2428</v>
      </c>
      <c r="C58" t="s">
        <v>2429</v>
      </c>
    </row>
    <row r="59" spans="1:3" ht="11.25" customHeight="1">
      <c r="A59" t="s">
        <v>2422</v>
      </c>
      <c r="B59" t="s">
        <v>2430</v>
      </c>
      <c r="C59" t="s">
        <v>2431</v>
      </c>
    </row>
    <row r="60" spans="1:3" ht="11.25" customHeight="1">
      <c r="A60" t="s">
        <v>2422</v>
      </c>
      <c r="B60" t="s">
        <v>2432</v>
      </c>
      <c r="C60" t="s">
        <v>2433</v>
      </c>
    </row>
    <row r="61" spans="1:3" ht="11.25" customHeight="1">
      <c r="A61" t="s">
        <v>2422</v>
      </c>
      <c r="B61" t="s">
        <v>2434</v>
      </c>
      <c r="C61" t="s">
        <v>2435</v>
      </c>
    </row>
    <row r="62" spans="1:3" ht="11.25" customHeight="1">
      <c r="A62" t="s">
        <v>2422</v>
      </c>
      <c r="B62" t="s">
        <v>2436</v>
      </c>
      <c r="C62" t="s">
        <v>2437</v>
      </c>
    </row>
    <row r="63" spans="1:3" ht="11.25" customHeight="1">
      <c r="A63" t="s">
        <v>2422</v>
      </c>
      <c r="B63" t="s">
        <v>2438</v>
      </c>
      <c r="C63" t="s">
        <v>2439</v>
      </c>
    </row>
    <row r="64" spans="1:3" ht="11.25" customHeight="1">
      <c r="A64" t="s">
        <v>2422</v>
      </c>
      <c r="B64" t="s">
        <v>2440</v>
      </c>
      <c r="C64" t="s">
        <v>2441</v>
      </c>
    </row>
    <row r="65" spans="1:3" ht="11.25" customHeight="1">
      <c r="A65" t="s">
        <v>2422</v>
      </c>
      <c r="B65" t="s">
        <v>2442</v>
      </c>
      <c r="C65" t="s">
        <v>2443</v>
      </c>
    </row>
    <row r="66" spans="1:3" ht="11.25" customHeight="1">
      <c r="A66" t="s">
        <v>2422</v>
      </c>
      <c r="B66" t="s">
        <v>2444</v>
      </c>
      <c r="C66" t="s">
        <v>2445</v>
      </c>
    </row>
    <row r="67" spans="1:3" ht="11.25" customHeight="1">
      <c r="A67" t="s">
        <v>2446</v>
      </c>
      <c r="B67" t="s">
        <v>2446</v>
      </c>
      <c r="C67" t="s">
        <v>2447</v>
      </c>
    </row>
    <row r="68" spans="1:3" ht="11.25" customHeight="1">
      <c r="A68" t="s">
        <v>2446</v>
      </c>
      <c r="B68" t="s">
        <v>2448</v>
      </c>
      <c r="C68" t="s">
        <v>2449</v>
      </c>
    </row>
    <row r="69" spans="1:3" ht="11.25" customHeight="1">
      <c r="A69" t="s">
        <v>2446</v>
      </c>
      <c r="B69" t="s">
        <v>2450</v>
      </c>
      <c r="C69" t="s">
        <v>2451</v>
      </c>
    </row>
    <row r="70" spans="1:3" ht="11.25" customHeight="1">
      <c r="A70" t="s">
        <v>2446</v>
      </c>
      <c r="B70" t="s">
        <v>2452</v>
      </c>
      <c r="C70" t="s">
        <v>2453</v>
      </c>
    </row>
    <row r="71" spans="1:3" ht="11.25" customHeight="1">
      <c r="A71" t="s">
        <v>2446</v>
      </c>
      <c r="B71" t="s">
        <v>2454</v>
      </c>
      <c r="C71" t="s">
        <v>2455</v>
      </c>
    </row>
    <row r="72" spans="1:3" ht="11.25" customHeight="1">
      <c r="A72" t="s">
        <v>2446</v>
      </c>
      <c r="B72" t="s">
        <v>2456</v>
      </c>
      <c r="C72" t="s">
        <v>2457</v>
      </c>
    </row>
    <row r="73" spans="1:3" ht="11.25" customHeight="1">
      <c r="A73" t="s">
        <v>2446</v>
      </c>
      <c r="B73" t="s">
        <v>2458</v>
      </c>
      <c r="C73" t="s">
        <v>2459</v>
      </c>
    </row>
    <row r="74" spans="1:3" ht="11.25" customHeight="1">
      <c r="A74" t="s">
        <v>2446</v>
      </c>
      <c r="B74" t="s">
        <v>2460</v>
      </c>
      <c r="C74" t="s">
        <v>2461</v>
      </c>
    </row>
    <row r="75" spans="1:3" ht="11.25" customHeight="1">
      <c r="A75" t="s">
        <v>2446</v>
      </c>
      <c r="B75" t="s">
        <v>2462</v>
      </c>
      <c r="C75" t="s">
        <v>2463</v>
      </c>
    </row>
    <row r="76" spans="1:3" ht="11.25" customHeight="1">
      <c r="A76" t="s">
        <v>2464</v>
      </c>
      <c r="B76" t="s">
        <v>2465</v>
      </c>
      <c r="C76" t="s">
        <v>2466</v>
      </c>
    </row>
    <row r="77" spans="1:3" ht="11.25" customHeight="1">
      <c r="A77" t="s">
        <v>2464</v>
      </c>
      <c r="B77" t="s">
        <v>2467</v>
      </c>
      <c r="C77" t="s">
        <v>2468</v>
      </c>
    </row>
    <row r="78" spans="1:3" ht="11.25" customHeight="1">
      <c r="A78" t="s">
        <v>2464</v>
      </c>
      <c r="B78" t="s">
        <v>2469</v>
      </c>
      <c r="C78" t="s">
        <v>2470</v>
      </c>
    </row>
    <row r="79" spans="1:3" ht="11.25" customHeight="1">
      <c r="A79" t="s">
        <v>2464</v>
      </c>
      <c r="B79" t="s">
        <v>2471</v>
      </c>
      <c r="C79" t="s">
        <v>2472</v>
      </c>
    </row>
    <row r="80" spans="1:3" ht="11.25" customHeight="1">
      <c r="A80" t="s">
        <v>2464</v>
      </c>
      <c r="B80" t="s">
        <v>2473</v>
      </c>
      <c r="C80" t="s">
        <v>2474</v>
      </c>
    </row>
    <row r="81" spans="1:3" ht="11.25" customHeight="1">
      <c r="A81" t="s">
        <v>2464</v>
      </c>
      <c r="B81" t="s">
        <v>2475</v>
      </c>
      <c r="C81" t="s">
        <v>2476</v>
      </c>
    </row>
    <row r="82" spans="1:3" ht="11.25" customHeight="1">
      <c r="A82" t="s">
        <v>2464</v>
      </c>
      <c r="B82" t="s">
        <v>2477</v>
      </c>
      <c r="C82" t="s">
        <v>2478</v>
      </c>
    </row>
    <row r="83" spans="1:3" ht="11.25" customHeight="1">
      <c r="A83" t="s">
        <v>2464</v>
      </c>
      <c r="B83" t="s">
        <v>2479</v>
      </c>
      <c r="C83" t="s">
        <v>2480</v>
      </c>
    </row>
    <row r="84" spans="1:3" ht="11.25" customHeight="1">
      <c r="A84" t="s">
        <v>2464</v>
      </c>
      <c r="B84" t="s">
        <v>2481</v>
      </c>
      <c r="C84" t="s">
        <v>2482</v>
      </c>
    </row>
    <row r="85" spans="1:3" ht="11.25" customHeight="1">
      <c r="A85" t="s">
        <v>2464</v>
      </c>
      <c r="B85" t="s">
        <v>2483</v>
      </c>
      <c r="C85" t="s">
        <v>2484</v>
      </c>
    </row>
    <row r="86" spans="1:3" ht="11.25" customHeight="1">
      <c r="A86" t="s">
        <v>2464</v>
      </c>
      <c r="B86" t="s">
        <v>2485</v>
      </c>
      <c r="C86" t="s">
        <v>2486</v>
      </c>
    </row>
    <row r="87" spans="1:3" ht="11.25" customHeight="1">
      <c r="A87" t="s">
        <v>2464</v>
      </c>
      <c r="B87" t="s">
        <v>2487</v>
      </c>
      <c r="C87" t="s">
        <v>2488</v>
      </c>
    </row>
    <row r="88" spans="1:3" ht="11.25" customHeight="1">
      <c r="A88" t="s">
        <v>2464</v>
      </c>
      <c r="B88" t="s">
        <v>2489</v>
      </c>
      <c r="C88" t="s">
        <v>2490</v>
      </c>
    </row>
    <row r="89" spans="1:3" ht="11.25" customHeight="1">
      <c r="A89" t="s">
        <v>2491</v>
      </c>
      <c r="B89" t="s">
        <v>2491</v>
      </c>
      <c r="C89" t="s">
        <v>2492</v>
      </c>
    </row>
    <row r="90" spans="1:3" ht="11.25" customHeight="1">
      <c r="A90" t="s">
        <v>2491</v>
      </c>
      <c r="B90" t="s">
        <v>2493</v>
      </c>
      <c r="C90" t="s">
        <v>2494</v>
      </c>
    </row>
    <row r="91" spans="1:3" ht="11.25" customHeight="1">
      <c r="A91" t="s">
        <v>2491</v>
      </c>
      <c r="B91" t="s">
        <v>2495</v>
      </c>
      <c r="C91" t="s">
        <v>2496</v>
      </c>
    </row>
    <row r="92" spans="1:3" ht="11.25" customHeight="1">
      <c r="A92" t="s">
        <v>2491</v>
      </c>
      <c r="B92" t="s">
        <v>2497</v>
      </c>
      <c r="C92" t="s">
        <v>2498</v>
      </c>
    </row>
    <row r="93" spans="1:3" ht="11.25" customHeight="1">
      <c r="A93" t="s">
        <v>2491</v>
      </c>
      <c r="B93" t="s">
        <v>2499</v>
      </c>
      <c r="C93" t="s">
        <v>2500</v>
      </c>
    </row>
    <row r="94" spans="1:3" ht="11.25" customHeight="1">
      <c r="A94" t="s">
        <v>2491</v>
      </c>
      <c r="B94" t="s">
        <v>2501</v>
      </c>
      <c r="C94" t="s">
        <v>2502</v>
      </c>
    </row>
    <row r="95" spans="1:3" ht="11.25" customHeight="1">
      <c r="A95" t="s">
        <v>2491</v>
      </c>
      <c r="B95" t="s">
        <v>2503</v>
      </c>
      <c r="C95" t="s">
        <v>2504</v>
      </c>
    </row>
    <row r="96" spans="1:3" ht="11.25" customHeight="1">
      <c r="A96" t="s">
        <v>2491</v>
      </c>
      <c r="B96" t="s">
        <v>2501</v>
      </c>
      <c r="C96" t="s">
        <v>2505</v>
      </c>
    </row>
    <row r="97" spans="1:3" ht="11.25" customHeight="1">
      <c r="A97" t="s">
        <v>2491</v>
      </c>
      <c r="B97" t="s">
        <v>2506</v>
      </c>
      <c r="C97" t="s">
        <v>2507</v>
      </c>
    </row>
    <row r="98" spans="1:3" ht="11.25" customHeight="1">
      <c r="A98" t="s">
        <v>2491</v>
      </c>
      <c r="B98" t="s">
        <v>2508</v>
      </c>
      <c r="C98" t="s">
        <v>2509</v>
      </c>
    </row>
    <row r="99" spans="1:3" ht="11.25" customHeight="1">
      <c r="A99" t="s">
        <v>2491</v>
      </c>
      <c r="B99" t="s">
        <v>2510</v>
      </c>
      <c r="C99" t="s">
        <v>2511</v>
      </c>
    </row>
    <row r="100" spans="1:3" ht="11.25" customHeight="1">
      <c r="A100" t="s">
        <v>2491</v>
      </c>
      <c r="B100" t="s">
        <v>2512</v>
      </c>
      <c r="C100" t="s">
        <v>2513</v>
      </c>
    </row>
    <row r="101" spans="1:3" ht="11.25" customHeight="1">
      <c r="A101" t="s">
        <v>2491</v>
      </c>
      <c r="B101" t="s">
        <v>2514</v>
      </c>
      <c r="C101" t="s">
        <v>2515</v>
      </c>
    </row>
    <row r="102" spans="1:3" ht="11.25" customHeight="1">
      <c r="A102" t="s">
        <v>2491</v>
      </c>
      <c r="B102" t="s">
        <v>2516</v>
      </c>
      <c r="C102" t="s">
        <v>2517</v>
      </c>
    </row>
    <row r="103" spans="1:3" ht="11.25" customHeight="1">
      <c r="A103" t="s">
        <v>2491</v>
      </c>
      <c r="B103" t="s">
        <v>2518</v>
      </c>
      <c r="C103" t="s">
        <v>2519</v>
      </c>
    </row>
    <row r="104" spans="1:3" ht="11.25" customHeight="1">
      <c r="A104" t="s">
        <v>2491</v>
      </c>
      <c r="B104" t="s">
        <v>2520</v>
      </c>
      <c r="C104" t="s">
        <v>2521</v>
      </c>
    </row>
    <row r="105" spans="1:3" ht="11.25" customHeight="1">
      <c r="A105" t="s">
        <v>2491</v>
      </c>
      <c r="B105" t="s">
        <v>2522</v>
      </c>
      <c r="C105" t="s">
        <v>2523</v>
      </c>
    </row>
    <row r="106" spans="1:3" ht="11.25" customHeight="1">
      <c r="A106" t="s">
        <v>2491</v>
      </c>
      <c r="B106" t="s">
        <v>2522</v>
      </c>
      <c r="C106" t="s">
        <v>2524</v>
      </c>
    </row>
    <row r="107" spans="1:3" ht="11.25" customHeight="1">
      <c r="A107" t="s">
        <v>2491</v>
      </c>
      <c r="B107" t="s">
        <v>2493</v>
      </c>
      <c r="C107" t="s">
        <v>2525</v>
      </c>
    </row>
    <row r="108" spans="1:3" ht="11.25" customHeight="1">
      <c r="A108" t="s">
        <v>2526</v>
      </c>
      <c r="B108" t="s">
        <v>2527</v>
      </c>
      <c r="C108" t="s">
        <v>2528</v>
      </c>
    </row>
    <row r="109" spans="1:3" ht="11.25" customHeight="1">
      <c r="A109" t="s">
        <v>2526</v>
      </c>
      <c r="B109" t="s">
        <v>2529</v>
      </c>
      <c r="C109" t="s">
        <v>2530</v>
      </c>
    </row>
    <row r="110" spans="1:3" ht="11.25" customHeight="1">
      <c r="A110" t="s">
        <v>2526</v>
      </c>
      <c r="B110" t="s">
        <v>2531</v>
      </c>
      <c r="C110" t="s">
        <v>2532</v>
      </c>
    </row>
    <row r="111" spans="1:3" ht="11.25" customHeight="1">
      <c r="A111" t="s">
        <v>2526</v>
      </c>
      <c r="B111" t="s">
        <v>2533</v>
      </c>
      <c r="C111" t="s">
        <v>2534</v>
      </c>
    </row>
    <row r="112" spans="1:3" ht="11.25" customHeight="1">
      <c r="A112" t="s">
        <v>2526</v>
      </c>
      <c r="B112" t="s">
        <v>2535</v>
      </c>
      <c r="C112" t="s">
        <v>2536</v>
      </c>
    </row>
    <row r="113" spans="1:3" ht="11.25" customHeight="1">
      <c r="A113" t="s">
        <v>2526</v>
      </c>
      <c r="B113" t="s">
        <v>2537</v>
      </c>
      <c r="C113" t="s">
        <v>2538</v>
      </c>
    </row>
    <row r="114" spans="1:3" ht="11.25" customHeight="1">
      <c r="A114" t="s">
        <v>2526</v>
      </c>
      <c r="B114" t="s">
        <v>2539</v>
      </c>
      <c r="C114" t="s">
        <v>2540</v>
      </c>
    </row>
    <row r="115" spans="1:3" ht="11.25" customHeight="1">
      <c r="A115" t="s">
        <v>2526</v>
      </c>
      <c r="B115" t="s">
        <v>2541</v>
      </c>
      <c r="C115" t="s">
        <v>2542</v>
      </c>
    </row>
    <row r="116" spans="1:3" ht="11.25" customHeight="1">
      <c r="A116" t="s">
        <v>2526</v>
      </c>
      <c r="B116" t="s">
        <v>2543</v>
      </c>
      <c r="C116" t="s">
        <v>2544</v>
      </c>
    </row>
    <row r="117" spans="1:3" ht="11.25" customHeight="1">
      <c r="A117" t="s">
        <v>2526</v>
      </c>
      <c r="B117" t="s">
        <v>2545</v>
      </c>
      <c r="C117" t="s">
        <v>2546</v>
      </c>
    </row>
    <row r="118" spans="1:3" ht="11.25" customHeight="1">
      <c r="A118" t="s">
        <v>2547</v>
      </c>
      <c r="B118" t="s">
        <v>2547</v>
      </c>
      <c r="C118" t="s">
        <v>2548</v>
      </c>
    </row>
    <row r="119" spans="1:3" ht="11.25" customHeight="1">
      <c r="A119" t="s">
        <v>2547</v>
      </c>
      <c r="B119" t="s">
        <v>2549</v>
      </c>
      <c r="C119" t="s">
        <v>2550</v>
      </c>
    </row>
    <row r="120" spans="1:3" ht="11.25" customHeight="1">
      <c r="A120" t="s">
        <v>2547</v>
      </c>
      <c r="B120" t="s">
        <v>2551</v>
      </c>
      <c r="C120" t="s">
        <v>2552</v>
      </c>
    </row>
    <row r="121" spans="1:3" ht="11.25" customHeight="1">
      <c r="A121" t="s">
        <v>2547</v>
      </c>
      <c r="B121" t="s">
        <v>2553</v>
      </c>
      <c r="C121" t="s">
        <v>2554</v>
      </c>
    </row>
    <row r="122" spans="1:3" ht="11.25" customHeight="1">
      <c r="A122" t="s">
        <v>2547</v>
      </c>
      <c r="B122" t="s">
        <v>2555</v>
      </c>
      <c r="C122" t="s">
        <v>2556</v>
      </c>
    </row>
    <row r="123" spans="1:3" ht="11.25" customHeight="1">
      <c r="A123" t="s">
        <v>2547</v>
      </c>
      <c r="B123" t="s">
        <v>2557</v>
      </c>
      <c r="C123" t="s">
        <v>2558</v>
      </c>
    </row>
    <row r="124" spans="1:3" ht="11.25" customHeight="1">
      <c r="A124" t="s">
        <v>2547</v>
      </c>
      <c r="B124" t="s">
        <v>2559</v>
      </c>
      <c r="C124" t="s">
        <v>2560</v>
      </c>
    </row>
    <row r="125" spans="1:3" ht="11.25" customHeight="1">
      <c r="A125" t="s">
        <v>2547</v>
      </c>
      <c r="B125" t="s">
        <v>2561</v>
      </c>
      <c r="C125" t="s">
        <v>2562</v>
      </c>
    </row>
    <row r="126" spans="1:3" ht="11.25" customHeight="1">
      <c r="A126" t="s">
        <v>2547</v>
      </c>
      <c r="B126" t="s">
        <v>2563</v>
      </c>
      <c r="C126" t="s">
        <v>2564</v>
      </c>
    </row>
    <row r="127" spans="1:3" ht="11.25" customHeight="1">
      <c r="A127" t="s">
        <v>2547</v>
      </c>
      <c r="B127" t="s">
        <v>2565</v>
      </c>
      <c r="C127" t="s">
        <v>2566</v>
      </c>
    </row>
    <row r="128" spans="1:3" ht="11.25" customHeight="1">
      <c r="A128" t="s">
        <v>2547</v>
      </c>
      <c r="B128" t="s">
        <v>2567</v>
      </c>
      <c r="C128" t="s">
        <v>2568</v>
      </c>
    </row>
    <row r="129" spans="1:3" ht="11.25" customHeight="1">
      <c r="A129" t="s">
        <v>2547</v>
      </c>
      <c r="B129" t="s">
        <v>2569</v>
      </c>
      <c r="C129" t="s">
        <v>2570</v>
      </c>
    </row>
    <row r="130" spans="1:3" ht="11.25" customHeight="1">
      <c r="A130" t="s">
        <v>2571</v>
      </c>
      <c r="B130" t="s">
        <v>2572</v>
      </c>
      <c r="C130" t="s">
        <v>2573</v>
      </c>
    </row>
    <row r="131" spans="1:3" ht="11.25" customHeight="1">
      <c r="A131" t="s">
        <v>2571</v>
      </c>
      <c r="B131" t="s">
        <v>2574</v>
      </c>
      <c r="C131" t="s">
        <v>2575</v>
      </c>
    </row>
    <row r="132" spans="1:3" ht="11.25" customHeight="1">
      <c r="A132" t="s">
        <v>2571</v>
      </c>
      <c r="B132" t="s">
        <v>2576</v>
      </c>
      <c r="C132" t="s">
        <v>2577</v>
      </c>
    </row>
    <row r="133" spans="1:3" ht="11.25" customHeight="1">
      <c r="A133" t="s">
        <v>2571</v>
      </c>
      <c r="B133" t="s">
        <v>2578</v>
      </c>
      <c r="C133" t="s">
        <v>2579</v>
      </c>
    </row>
    <row r="134" spans="1:3" ht="11.25" customHeight="1">
      <c r="A134" t="s">
        <v>2571</v>
      </c>
      <c r="B134" t="s">
        <v>2580</v>
      </c>
      <c r="C134" t="s">
        <v>2581</v>
      </c>
    </row>
    <row r="135" spans="1:3" ht="11.25" customHeight="1">
      <c r="A135" t="s">
        <v>2571</v>
      </c>
      <c r="B135" t="s">
        <v>2582</v>
      </c>
      <c r="C135" t="s">
        <v>2583</v>
      </c>
    </row>
    <row r="136" spans="1:3" ht="11.25" customHeight="1">
      <c r="A136" t="s">
        <v>2571</v>
      </c>
      <c r="B136" t="s">
        <v>2584</v>
      </c>
      <c r="C136" t="s">
        <v>2585</v>
      </c>
    </row>
    <row r="137" spans="1:3" ht="11.25" customHeight="1">
      <c r="A137" t="s">
        <v>2571</v>
      </c>
      <c r="B137" t="s">
        <v>2586</v>
      </c>
      <c r="C137" t="s">
        <v>2587</v>
      </c>
    </row>
    <row r="138" spans="1:3" ht="11.25" customHeight="1">
      <c r="A138" t="s">
        <v>2571</v>
      </c>
      <c r="B138" t="s">
        <v>2588</v>
      </c>
      <c r="C138" t="s">
        <v>2589</v>
      </c>
    </row>
    <row r="139" spans="1:3" ht="11.25" customHeight="1">
      <c r="A139" t="s">
        <v>2571</v>
      </c>
      <c r="B139" t="s">
        <v>2590</v>
      </c>
      <c r="C139" t="s">
        <v>2591</v>
      </c>
    </row>
    <row r="140" spans="1:3" ht="11.25" customHeight="1">
      <c r="A140" t="s">
        <v>2592</v>
      </c>
      <c r="B140" t="s">
        <v>2592</v>
      </c>
      <c r="C140" t="s">
        <v>2593</v>
      </c>
    </row>
    <row r="141" spans="1:3" ht="11.25" customHeight="1">
      <c r="A141" t="s">
        <v>2592</v>
      </c>
      <c r="B141" t="s">
        <v>2594</v>
      </c>
      <c r="C141" t="s">
        <v>2595</v>
      </c>
    </row>
    <row r="142" spans="1:3" ht="11.25" customHeight="1">
      <c r="A142" t="s">
        <v>2592</v>
      </c>
      <c r="B142" t="s">
        <v>2596</v>
      </c>
      <c r="C142" t="s">
        <v>2597</v>
      </c>
    </row>
    <row r="143" spans="1:3" ht="11.25" customHeight="1">
      <c r="A143" t="s">
        <v>2592</v>
      </c>
      <c r="B143" t="s">
        <v>2598</v>
      </c>
      <c r="C143" t="s">
        <v>2599</v>
      </c>
    </row>
    <row r="144" spans="1:3" ht="11.25" customHeight="1">
      <c r="A144" t="s">
        <v>2592</v>
      </c>
      <c r="B144" t="s">
        <v>2600</v>
      </c>
      <c r="C144" t="s">
        <v>2601</v>
      </c>
    </row>
    <row r="145" spans="1:3" ht="11.25" customHeight="1">
      <c r="A145" t="s">
        <v>2592</v>
      </c>
      <c r="B145" t="s">
        <v>2602</v>
      </c>
      <c r="C145" t="s">
        <v>2603</v>
      </c>
    </row>
    <row r="146" spans="1:3" ht="11.25" customHeight="1">
      <c r="A146" t="s">
        <v>2592</v>
      </c>
      <c r="B146" t="s">
        <v>2604</v>
      </c>
      <c r="C146" t="s">
        <v>2605</v>
      </c>
    </row>
    <row r="147" spans="1:3" ht="11.25" customHeight="1">
      <c r="A147" t="s">
        <v>2592</v>
      </c>
      <c r="B147" t="s">
        <v>2606</v>
      </c>
      <c r="C147" t="s">
        <v>2607</v>
      </c>
    </row>
    <row r="148" spans="1:3" ht="11.25" customHeight="1">
      <c r="A148" t="s">
        <v>2592</v>
      </c>
      <c r="B148" t="s">
        <v>2608</v>
      </c>
      <c r="C148" t="s">
        <v>2609</v>
      </c>
    </row>
    <row r="149" spans="1:3" ht="11.25" customHeight="1">
      <c r="A149" t="s">
        <v>2592</v>
      </c>
      <c r="B149" t="s">
        <v>2610</v>
      </c>
      <c r="C149" t="s">
        <v>2611</v>
      </c>
    </row>
    <row r="150" spans="1:3" ht="11.25" customHeight="1">
      <c r="A150" t="s">
        <v>2592</v>
      </c>
      <c r="B150" t="s">
        <v>2612</v>
      </c>
      <c r="C150" t="s">
        <v>2613</v>
      </c>
    </row>
    <row r="151" spans="1:3" ht="11.25" customHeight="1">
      <c r="A151" t="s">
        <v>2592</v>
      </c>
      <c r="B151" t="s">
        <v>2614</v>
      </c>
      <c r="C151" t="s">
        <v>2615</v>
      </c>
    </row>
    <row r="152" spans="1:3" ht="11.25" customHeight="1">
      <c r="A152" t="s">
        <v>2592</v>
      </c>
      <c r="B152" t="s">
        <v>2616</v>
      </c>
      <c r="C152" t="s">
        <v>2617</v>
      </c>
    </row>
    <row r="153" spans="1:3" ht="11.25" customHeight="1">
      <c r="A153" t="s">
        <v>2592</v>
      </c>
      <c r="B153" t="s">
        <v>2618</v>
      </c>
      <c r="C153" t="s">
        <v>2619</v>
      </c>
    </row>
    <row r="154" spans="1:3" ht="11.25" customHeight="1">
      <c r="A154" t="s">
        <v>2620</v>
      </c>
      <c r="B154" t="s">
        <v>2621</v>
      </c>
      <c r="C154" t="s">
        <v>2622</v>
      </c>
    </row>
    <row r="155" spans="1:3" ht="11.25" customHeight="1">
      <c r="A155" t="s">
        <v>2620</v>
      </c>
      <c r="B155" t="s">
        <v>2623</v>
      </c>
      <c r="C155" t="s">
        <v>2624</v>
      </c>
    </row>
    <row r="156" spans="1:3" ht="11.25" customHeight="1">
      <c r="A156" t="s">
        <v>2620</v>
      </c>
      <c r="B156" t="s">
        <v>2625</v>
      </c>
      <c r="C156" t="s">
        <v>2626</v>
      </c>
    </row>
    <row r="157" spans="1:3" ht="11.25" customHeight="1">
      <c r="A157" t="s">
        <v>2620</v>
      </c>
      <c r="B157" t="s">
        <v>2627</v>
      </c>
      <c r="C157" t="s">
        <v>2628</v>
      </c>
    </row>
    <row r="158" spans="1:3" ht="11.25" customHeight="1">
      <c r="A158" t="s">
        <v>2620</v>
      </c>
      <c r="B158" t="s">
        <v>2629</v>
      </c>
      <c r="C158" t="s">
        <v>2630</v>
      </c>
    </row>
    <row r="159" spans="1:3" ht="11.25" customHeight="1">
      <c r="A159" t="s">
        <v>2620</v>
      </c>
      <c r="B159" t="s">
        <v>2631</v>
      </c>
      <c r="C159" t="s">
        <v>2632</v>
      </c>
    </row>
    <row r="160" spans="1:3" ht="11.25" customHeight="1">
      <c r="A160" t="s">
        <v>2620</v>
      </c>
      <c r="B160" t="s">
        <v>2633</v>
      </c>
      <c r="C160" t="s">
        <v>2634</v>
      </c>
    </row>
    <row r="161" spans="1:3" ht="11.25" customHeight="1">
      <c r="A161" t="s">
        <v>2620</v>
      </c>
      <c r="B161" t="s">
        <v>2635</v>
      </c>
      <c r="C161" t="s">
        <v>2636</v>
      </c>
    </row>
    <row r="162" spans="1:3" ht="11.25" customHeight="1">
      <c r="A162" t="s">
        <v>2620</v>
      </c>
      <c r="B162" t="s">
        <v>2637</v>
      </c>
      <c r="C162" t="s">
        <v>2638</v>
      </c>
    </row>
    <row r="163" spans="1:3" ht="11.25" customHeight="1">
      <c r="A163" t="s">
        <v>2620</v>
      </c>
      <c r="B163" t="s">
        <v>2639</v>
      </c>
      <c r="C163" t="s">
        <v>2640</v>
      </c>
    </row>
    <row r="164" spans="1:3" ht="11.25" customHeight="1">
      <c r="A164" t="s">
        <v>2620</v>
      </c>
      <c r="B164" t="s">
        <v>2641</v>
      </c>
      <c r="C164" t="s">
        <v>2642</v>
      </c>
    </row>
    <row r="165" spans="1:3" ht="11.25" customHeight="1">
      <c r="A165" t="s">
        <v>2620</v>
      </c>
      <c r="B165" t="s">
        <v>2643</v>
      </c>
      <c r="C165" t="s">
        <v>2644</v>
      </c>
    </row>
    <row r="166" spans="1:3" ht="11.25" customHeight="1">
      <c r="A166" t="s">
        <v>2645</v>
      </c>
      <c r="B166" t="s">
        <v>2646</v>
      </c>
      <c r="C166" t="s">
        <v>2647</v>
      </c>
    </row>
    <row r="167" spans="1:3" ht="11.25" customHeight="1">
      <c r="A167" t="s">
        <v>2645</v>
      </c>
      <c r="B167" t="s">
        <v>2648</v>
      </c>
      <c r="C167" t="s">
        <v>2649</v>
      </c>
    </row>
    <row r="168" spans="1:3" ht="11.25" customHeight="1">
      <c r="A168" t="s">
        <v>2645</v>
      </c>
      <c r="B168" t="s">
        <v>2650</v>
      </c>
      <c r="C168" t="s">
        <v>2651</v>
      </c>
    </row>
    <row r="169" spans="1:3" ht="11.25" customHeight="1">
      <c r="A169" t="s">
        <v>2645</v>
      </c>
      <c r="B169" t="s">
        <v>2652</v>
      </c>
      <c r="C169" t="s">
        <v>2653</v>
      </c>
    </row>
    <row r="170" spans="1:3" ht="11.25" customHeight="1">
      <c r="A170" t="s">
        <v>2645</v>
      </c>
      <c r="B170" t="s">
        <v>2654</v>
      </c>
      <c r="C170" t="s">
        <v>2655</v>
      </c>
    </row>
    <row r="171" spans="1:3" ht="11.25" customHeight="1">
      <c r="A171" t="s">
        <v>2645</v>
      </c>
      <c r="B171" t="s">
        <v>2656</v>
      </c>
      <c r="C171" t="s">
        <v>2657</v>
      </c>
    </row>
    <row r="172" spans="1:3" ht="11.25" customHeight="1">
      <c r="A172" t="s">
        <v>2645</v>
      </c>
      <c r="B172" t="s">
        <v>2658</v>
      </c>
      <c r="C172" t="s">
        <v>2659</v>
      </c>
    </row>
    <row r="173" spans="1:3" ht="11.25" customHeight="1">
      <c r="A173" t="s">
        <v>2645</v>
      </c>
      <c r="B173" t="s">
        <v>2660</v>
      </c>
      <c r="C173" t="s">
        <v>2661</v>
      </c>
    </row>
    <row r="174" spans="1:3" ht="11.25" customHeight="1">
      <c r="A174" t="s">
        <v>2645</v>
      </c>
      <c r="B174" t="s">
        <v>2662</v>
      </c>
      <c r="C174" t="s">
        <v>2663</v>
      </c>
    </row>
    <row r="175" spans="1:3" ht="11.25" customHeight="1">
      <c r="A175" t="s">
        <v>2645</v>
      </c>
      <c r="B175" t="s">
        <v>2664</v>
      </c>
      <c r="C175" t="s">
        <v>2665</v>
      </c>
    </row>
    <row r="176" spans="1:3" ht="11.25" customHeight="1">
      <c r="A176" t="s">
        <v>2645</v>
      </c>
      <c r="B176" t="s">
        <v>2666</v>
      </c>
      <c r="C176" t="s">
        <v>2667</v>
      </c>
    </row>
    <row r="177" spans="1:3" ht="11.25" customHeight="1">
      <c r="A177" t="s">
        <v>2645</v>
      </c>
      <c r="B177" t="s">
        <v>2668</v>
      </c>
      <c r="C177" t="s">
        <v>2669</v>
      </c>
    </row>
    <row r="178" spans="1:3" ht="11.25" customHeight="1">
      <c r="A178" t="s">
        <v>2670</v>
      </c>
      <c r="B178" t="s">
        <v>2671</v>
      </c>
      <c r="C178" t="s">
        <v>2672</v>
      </c>
    </row>
    <row r="179" spans="1:3" ht="11.25" customHeight="1">
      <c r="A179" t="s">
        <v>2670</v>
      </c>
      <c r="B179" t="s">
        <v>2673</v>
      </c>
      <c r="C179" t="s">
        <v>2674</v>
      </c>
    </row>
    <row r="180" spans="1:3" ht="11.25" customHeight="1">
      <c r="A180" t="s">
        <v>2670</v>
      </c>
      <c r="B180" t="s">
        <v>2675</v>
      </c>
      <c r="C180" t="s">
        <v>2676</v>
      </c>
    </row>
    <row r="181" spans="1:3" ht="11.25" customHeight="1">
      <c r="A181" t="s">
        <v>2670</v>
      </c>
      <c r="B181" t="s">
        <v>2677</v>
      </c>
      <c r="C181" t="s">
        <v>2678</v>
      </c>
    </row>
    <row r="182" spans="1:3" ht="11.25" customHeight="1">
      <c r="A182" t="s">
        <v>2670</v>
      </c>
      <c r="B182" t="s">
        <v>2679</v>
      </c>
      <c r="C182" t="s">
        <v>2680</v>
      </c>
    </row>
    <row r="183" spans="1:3" ht="11.25" customHeight="1">
      <c r="A183" t="s">
        <v>2670</v>
      </c>
      <c r="B183" t="s">
        <v>2681</v>
      </c>
      <c r="C183" t="s">
        <v>2682</v>
      </c>
    </row>
    <row r="184" spans="1:3" ht="11.25" customHeight="1">
      <c r="A184" t="s">
        <v>2670</v>
      </c>
      <c r="B184" t="s">
        <v>2683</v>
      </c>
      <c r="C184" t="s">
        <v>2684</v>
      </c>
    </row>
    <row r="185" spans="1:3" ht="11.25" customHeight="1">
      <c r="A185" t="s">
        <v>2685</v>
      </c>
      <c r="B185" t="s">
        <v>2686</v>
      </c>
      <c r="C185" t="s">
        <v>2687</v>
      </c>
    </row>
    <row r="186" spans="1:3" ht="11.25" customHeight="1">
      <c r="A186" t="s">
        <v>2685</v>
      </c>
      <c r="B186" t="s">
        <v>2688</v>
      </c>
      <c r="C186" t="s">
        <v>2689</v>
      </c>
    </row>
    <row r="187" spans="1:3" ht="11.25" customHeight="1">
      <c r="A187" t="s">
        <v>2685</v>
      </c>
      <c r="B187" t="s">
        <v>2690</v>
      </c>
      <c r="C187" t="s">
        <v>2691</v>
      </c>
    </row>
    <row r="188" spans="1:3" ht="11.25" customHeight="1">
      <c r="A188" t="s">
        <v>2685</v>
      </c>
      <c r="B188" t="s">
        <v>2692</v>
      </c>
      <c r="C188" t="s">
        <v>2693</v>
      </c>
    </row>
    <row r="189" spans="1:3" ht="11.25" customHeight="1">
      <c r="A189" t="s">
        <v>2685</v>
      </c>
      <c r="B189" t="s">
        <v>2694</v>
      </c>
      <c r="C189" t="s">
        <v>2695</v>
      </c>
    </row>
    <row r="190" spans="1:3" ht="11.25" customHeight="1">
      <c r="A190" t="s">
        <v>2685</v>
      </c>
      <c r="B190" t="s">
        <v>2696</v>
      </c>
      <c r="C190" t="s">
        <v>2697</v>
      </c>
    </row>
    <row r="191" spans="1:3" ht="11.25" customHeight="1">
      <c r="A191" t="s">
        <v>2685</v>
      </c>
      <c r="B191" t="s">
        <v>2698</v>
      </c>
      <c r="C191" t="s">
        <v>2699</v>
      </c>
    </row>
    <row r="192" spans="1:3" ht="11.25" customHeight="1">
      <c r="A192" t="s">
        <v>2685</v>
      </c>
      <c r="B192" t="s">
        <v>2700</v>
      </c>
      <c r="C192" t="s">
        <v>2701</v>
      </c>
    </row>
    <row r="193" spans="1:3" ht="11.25" customHeight="1">
      <c r="A193" t="s">
        <v>2685</v>
      </c>
      <c r="B193" t="s">
        <v>2702</v>
      </c>
      <c r="C193" t="s">
        <v>2703</v>
      </c>
    </row>
    <row r="194" spans="1:3" ht="11.25" customHeight="1">
      <c r="A194" t="s">
        <v>2704</v>
      </c>
      <c r="B194" t="s">
        <v>2705</v>
      </c>
      <c r="C194" t="s">
        <v>2706</v>
      </c>
    </row>
    <row r="195" spans="1:3" ht="11.25" customHeight="1">
      <c r="A195" t="s">
        <v>2704</v>
      </c>
      <c r="B195" t="s">
        <v>2707</v>
      </c>
      <c r="C195" t="s">
        <v>2708</v>
      </c>
    </row>
    <row r="196" spans="1:3" ht="11.25" customHeight="1">
      <c r="A196" t="s">
        <v>2704</v>
      </c>
      <c r="B196" t="s">
        <v>2709</v>
      </c>
      <c r="C196" t="s">
        <v>2710</v>
      </c>
    </row>
    <row r="197" spans="1:3" ht="11.25" customHeight="1">
      <c r="A197" t="s">
        <v>2704</v>
      </c>
      <c r="B197" t="s">
        <v>2711</v>
      </c>
      <c r="C197" t="s">
        <v>2712</v>
      </c>
    </row>
    <row r="198" spans="1:3" ht="11.25" customHeight="1">
      <c r="A198" t="s">
        <v>2704</v>
      </c>
      <c r="B198" t="s">
        <v>2713</v>
      </c>
      <c r="C198" t="s">
        <v>2714</v>
      </c>
    </row>
    <row r="199" spans="1:3" ht="11.25" customHeight="1">
      <c r="A199" t="s">
        <v>2704</v>
      </c>
      <c r="B199" t="s">
        <v>2715</v>
      </c>
      <c r="C199" t="s">
        <v>2716</v>
      </c>
    </row>
    <row r="200" spans="1:3" ht="11.25" customHeight="1">
      <c r="A200" t="s">
        <v>2704</v>
      </c>
      <c r="B200" t="s">
        <v>2717</v>
      </c>
      <c r="C200" t="s">
        <v>2718</v>
      </c>
    </row>
    <row r="201" spans="1:3" ht="11.25" customHeight="1">
      <c r="A201" t="s">
        <v>2704</v>
      </c>
      <c r="B201" t="s">
        <v>2719</v>
      </c>
      <c r="C201" t="s">
        <v>2720</v>
      </c>
    </row>
    <row r="202" spans="1:3" ht="11.25" customHeight="1">
      <c r="A202" t="s">
        <v>2704</v>
      </c>
      <c r="B202" t="s">
        <v>2721</v>
      </c>
      <c r="C202" t="s">
        <v>2722</v>
      </c>
    </row>
    <row r="203" spans="1:3" ht="11.25" customHeight="1">
      <c r="A203" t="s">
        <v>2704</v>
      </c>
      <c r="B203" t="s">
        <v>2723</v>
      </c>
      <c r="C203" t="s">
        <v>2724</v>
      </c>
    </row>
    <row r="204" spans="1:3" ht="11.25" customHeight="1">
      <c r="A204" t="s">
        <v>2725</v>
      </c>
      <c r="B204" t="s">
        <v>2726</v>
      </c>
      <c r="C204" t="s">
        <v>2727</v>
      </c>
    </row>
    <row r="205" spans="1:3" ht="11.25" customHeight="1">
      <c r="A205" t="s">
        <v>2725</v>
      </c>
      <c r="B205" t="s">
        <v>2728</v>
      </c>
      <c r="C205" t="s">
        <v>2729</v>
      </c>
    </row>
    <row r="206" spans="1:3" ht="11.25" customHeight="1">
      <c r="A206" t="s">
        <v>2725</v>
      </c>
      <c r="B206" t="s">
        <v>2730</v>
      </c>
      <c r="C206" t="s">
        <v>2731</v>
      </c>
    </row>
    <row r="207" spans="1:3" ht="11.25" customHeight="1">
      <c r="A207" t="s">
        <v>2725</v>
      </c>
      <c r="B207" t="s">
        <v>2732</v>
      </c>
      <c r="C207" t="s">
        <v>2733</v>
      </c>
    </row>
    <row r="208" spans="1:3" ht="11.25" customHeight="1">
      <c r="A208" t="s">
        <v>2725</v>
      </c>
      <c r="B208" t="s">
        <v>2734</v>
      </c>
      <c r="C208" t="s">
        <v>2735</v>
      </c>
    </row>
    <row r="209" spans="1:3" ht="11.25" customHeight="1">
      <c r="A209" t="s">
        <v>2725</v>
      </c>
      <c r="B209" t="s">
        <v>2736</v>
      </c>
      <c r="C209" t="s">
        <v>2737</v>
      </c>
    </row>
    <row r="210" spans="1:3" ht="11.25" customHeight="1">
      <c r="A210" t="s">
        <v>2725</v>
      </c>
      <c r="B210" t="s">
        <v>2738</v>
      </c>
      <c r="C210" t="s">
        <v>2739</v>
      </c>
    </row>
    <row r="211" spans="1:3" ht="11.25" customHeight="1">
      <c r="A211" t="s">
        <v>2725</v>
      </c>
      <c r="B211" t="s">
        <v>2740</v>
      </c>
      <c r="C211" t="s">
        <v>2741</v>
      </c>
    </row>
    <row r="212" spans="1:3" ht="11.25" customHeight="1">
      <c r="A212" t="s">
        <v>2725</v>
      </c>
      <c r="B212" t="s">
        <v>2742</v>
      </c>
      <c r="C212" t="s">
        <v>2743</v>
      </c>
    </row>
    <row r="213" spans="1:3" ht="11.25" customHeight="1">
      <c r="A213" t="s">
        <v>2725</v>
      </c>
      <c r="B213" t="s">
        <v>2744</v>
      </c>
      <c r="C213" t="s">
        <v>2745</v>
      </c>
    </row>
    <row r="214" spans="1:3" ht="11.25" customHeight="1">
      <c r="A214" t="s">
        <v>2725</v>
      </c>
      <c r="B214" t="s">
        <v>2746</v>
      </c>
      <c r="C214" t="s">
        <v>2747</v>
      </c>
    </row>
    <row r="215" spans="1:3" ht="11.25" customHeight="1">
      <c r="A215" t="s">
        <v>2748</v>
      </c>
      <c r="B215" t="s">
        <v>2748</v>
      </c>
      <c r="C215" t="s">
        <v>2749</v>
      </c>
    </row>
    <row r="216" spans="1:3" ht="11.25" customHeight="1">
      <c r="A216" t="s">
        <v>2750</v>
      </c>
      <c r="B216" t="s">
        <v>2750</v>
      </c>
      <c r="C216" t="s">
        <v>2751</v>
      </c>
    </row>
    <row r="217" spans="1:3" ht="11.25" customHeight="1">
      <c r="A217" t="s">
        <v>2752</v>
      </c>
      <c r="B217" t="s">
        <v>2752</v>
      </c>
      <c r="C217" t="s">
        <v>2753</v>
      </c>
    </row>
    <row r="218" spans="1:3" ht="11.25" customHeight="1">
      <c r="A218" t="s">
        <v>2754</v>
      </c>
      <c r="B218" t="s">
        <v>2754</v>
      </c>
      <c r="C218" t="s">
        <v>2755</v>
      </c>
    </row>
    <row r="219" spans="1:3" ht="11.25" customHeight="1">
      <c r="A219" t="s">
        <v>2756</v>
      </c>
      <c r="B219" t="s">
        <v>2756</v>
      </c>
      <c r="C219" t="s">
        <v>2757</v>
      </c>
    </row>
    <row r="220" spans="1:3" ht="11.25" customHeight="1">
      <c r="A220" t="s">
        <v>2758</v>
      </c>
      <c r="B220" t="s">
        <v>2758</v>
      </c>
      <c r="C220" t="s">
        <v>2759</v>
      </c>
    </row>
    <row r="221" spans="1:3" ht="11.25" customHeight="1">
      <c r="A221" t="s">
        <v>2760</v>
      </c>
      <c r="B221" t="s">
        <v>2760</v>
      </c>
      <c r="C221" t="s">
        <v>2761</v>
      </c>
    </row>
    <row r="222" spans="1:3" ht="11.25" customHeight="1">
      <c r="A222" t="s">
        <v>2762</v>
      </c>
      <c r="B222" t="s">
        <v>2762</v>
      </c>
      <c r="C222" t="s">
        <v>2763</v>
      </c>
    </row>
    <row r="223" spans="1:3" ht="11.25" customHeight="1">
      <c r="A223" t="s">
        <v>2764</v>
      </c>
      <c r="B223" t="s">
        <v>2764</v>
      </c>
      <c r="C223" t="s">
        <v>2765</v>
      </c>
    </row>
    <row r="224" spans="1:3" ht="11.25" customHeight="1">
      <c r="A224" t="s">
        <v>2766</v>
      </c>
      <c r="B224" t="s">
        <v>2766</v>
      </c>
      <c r="C224" t="s">
        <v>2767</v>
      </c>
    </row>
    <row r="225" spans="1:3" ht="11.25" customHeight="1">
      <c r="A225" t="s">
        <v>2768</v>
      </c>
      <c r="B225" t="s">
        <v>2768</v>
      </c>
      <c r="C225" t="s">
        <v>2769</v>
      </c>
    </row>
    <row r="226" spans="1:3" ht="11.25" customHeight="1">
      <c r="A226" t="s">
        <v>2770</v>
      </c>
      <c r="B226" t="s">
        <v>2770</v>
      </c>
      <c r="C226" t="s">
        <v>2771</v>
      </c>
    </row>
    <row r="227" spans="1:3" ht="11.25" customHeight="1">
      <c r="A227" t="s">
        <v>2772</v>
      </c>
      <c r="B227" t="s">
        <v>2772</v>
      </c>
      <c r="C227" t="s">
        <v>2773</v>
      </c>
    </row>
    <row r="228" spans="1:3" ht="11.25" customHeight="1">
      <c r="A228" t="s">
        <v>2774</v>
      </c>
      <c r="B228" t="s">
        <v>2774</v>
      </c>
      <c r="C228" t="s">
        <v>2775</v>
      </c>
    </row>
    <row r="229" spans="1:3" ht="11.25" customHeight="1">
      <c r="A229" t="s">
        <v>2776</v>
      </c>
      <c r="B229" t="s">
        <v>2776</v>
      </c>
      <c r="C229" t="s">
        <v>2777</v>
      </c>
    </row>
    <row r="230" spans="1:3" ht="11.25" customHeight="1">
      <c r="A230" t="s">
        <v>2778</v>
      </c>
      <c r="B230" t="s">
        <v>2778</v>
      </c>
      <c r="C230" t="s">
        <v>2779</v>
      </c>
    </row>
  </sheetData>
  <sheetProtection insertRows="0" deleteColumns="0" deleteRows="0" sort="0" autoFilter="0"/>
  <pageMargins left="0.7" right="0.7" top="0.75" bottom="0.75" header="0.3" footer="0.3"/>
  <pageSetup orientation="portrait"/>
  <headerFooter>
    <oddHeader>&amp;L&amp;C&amp;R</oddHeader>
    <oddFooter>&amp;L&amp;C&amp;R</oddFooter>
    <evenHeader>&amp;L&amp;C&amp;R</evenHeader>
    <evenFooter>&amp;L&amp;C&amp;R</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S282"/>
  <sheetViews>
    <sheetView showGridLines="0" workbookViewId="0"/>
  </sheetViews>
  <sheetFormatPr defaultColWidth="9.140625" defaultRowHeight="11.25" customHeight="1"/>
  <sheetData>
    <row r="1" spans="1:19" ht="11.25" customHeight="1">
      <c r="A1" t="s">
        <v>2780</v>
      </c>
      <c r="B1" t="s">
        <v>2781</v>
      </c>
      <c r="C1" t="s">
        <v>2782</v>
      </c>
      <c r="D1" t="s">
        <v>2783</v>
      </c>
      <c r="E1" t="s">
        <v>2784</v>
      </c>
      <c r="F1" t="s">
        <v>2785</v>
      </c>
      <c r="G1" t="s">
        <v>2786</v>
      </c>
      <c r="H1" t="s">
        <v>2787</v>
      </c>
      <c r="I1" t="s">
        <v>2788</v>
      </c>
      <c r="J1" t="s">
        <v>2789</v>
      </c>
      <c r="K1" t="s">
        <v>2790</v>
      </c>
      <c r="L1" t="s">
        <v>2791</v>
      </c>
      <c r="M1" t="s">
        <v>2792</v>
      </c>
      <c r="N1" t="s">
        <v>2793</v>
      </c>
      <c r="O1" t="s">
        <v>2794</v>
      </c>
      <c r="P1" t="s">
        <v>2795</v>
      </c>
      <c r="Q1" t="s">
        <v>2796</v>
      </c>
      <c r="R1" t="s">
        <v>2797</v>
      </c>
      <c r="S1" t="s">
        <v>2798</v>
      </c>
    </row>
    <row r="2" spans="1:19" ht="11.25" customHeight="1">
      <c r="A2">
        <v>2655</v>
      </c>
      <c r="B2" t="s">
        <v>87</v>
      </c>
      <c r="C2">
        <v>28976938</v>
      </c>
      <c r="D2" t="s">
        <v>2799</v>
      </c>
      <c r="E2" t="s">
        <v>2800</v>
      </c>
      <c r="F2" t="s">
        <v>2801</v>
      </c>
      <c r="G2" t="s">
        <v>2802</v>
      </c>
      <c r="H2" t="s">
        <v>2803</v>
      </c>
      <c r="I2" t="s">
        <v>2804</v>
      </c>
      <c r="J2" t="s">
        <v>114</v>
      </c>
      <c r="K2" t="s">
        <v>2805</v>
      </c>
      <c r="L2" t="s">
        <v>2806</v>
      </c>
      <c r="M2" t="s">
        <v>2807</v>
      </c>
      <c r="N2" t="s">
        <v>2808</v>
      </c>
      <c r="O2" t="s">
        <v>2809</v>
      </c>
      <c r="P2" t="s">
        <v>2810</v>
      </c>
      <c r="Q2" t="s">
        <v>2811</v>
      </c>
      <c r="R2" t="b">
        <v>0</v>
      </c>
      <c r="S2" t="s">
        <v>2812</v>
      </c>
    </row>
    <row r="3" spans="1:19" ht="11.25" customHeight="1">
      <c r="A3">
        <v>2655</v>
      </c>
      <c r="B3" t="s">
        <v>87</v>
      </c>
      <c r="C3">
        <v>26356953</v>
      </c>
      <c r="D3" t="s">
        <v>2813</v>
      </c>
      <c r="E3" t="s">
        <v>2814</v>
      </c>
      <c r="F3" t="s">
        <v>2815</v>
      </c>
      <c r="G3" t="s">
        <v>2816</v>
      </c>
      <c r="H3" t="s">
        <v>2817</v>
      </c>
      <c r="I3" t="s">
        <v>2818</v>
      </c>
      <c r="J3" t="s">
        <v>114</v>
      </c>
      <c r="K3" t="s">
        <v>2819</v>
      </c>
      <c r="L3" t="s">
        <v>2819</v>
      </c>
      <c r="M3" t="s">
        <v>2820</v>
      </c>
      <c r="N3" t="s">
        <v>2821</v>
      </c>
      <c r="O3" t="s">
        <v>2822</v>
      </c>
      <c r="P3" t="s">
        <v>2823</v>
      </c>
      <c r="Q3" t="s">
        <v>2824</v>
      </c>
      <c r="R3" t="b">
        <v>0</v>
      </c>
      <c r="S3" t="s">
        <v>2812</v>
      </c>
    </row>
    <row r="4" spans="1:19" ht="11.25" customHeight="1">
      <c r="A4">
        <v>2655</v>
      </c>
      <c r="B4" t="s">
        <v>87</v>
      </c>
      <c r="C4">
        <v>27804990</v>
      </c>
      <c r="D4" t="s">
        <v>2825</v>
      </c>
      <c r="E4" t="s">
        <v>2826</v>
      </c>
      <c r="F4" t="s">
        <v>2827</v>
      </c>
      <c r="G4" t="s">
        <v>2828</v>
      </c>
      <c r="H4" t="s">
        <v>2829</v>
      </c>
      <c r="I4" t="s">
        <v>2830</v>
      </c>
      <c r="J4" t="s">
        <v>114</v>
      </c>
      <c r="K4" t="s">
        <v>2831</v>
      </c>
      <c r="L4" t="s">
        <v>2832</v>
      </c>
      <c r="M4" t="s">
        <v>2833</v>
      </c>
      <c r="N4" t="s">
        <v>2834</v>
      </c>
      <c r="O4" t="s">
        <v>2835</v>
      </c>
      <c r="P4" t="s">
        <v>2836</v>
      </c>
      <c r="Q4" t="s">
        <v>2837</v>
      </c>
      <c r="R4" t="b">
        <v>0</v>
      </c>
      <c r="S4" t="s">
        <v>2812</v>
      </c>
    </row>
    <row r="5" spans="1:19" ht="11.25" customHeight="1">
      <c r="A5">
        <v>2655</v>
      </c>
      <c r="B5" t="s">
        <v>87</v>
      </c>
      <c r="C5">
        <v>27804826</v>
      </c>
      <c r="D5" t="s">
        <v>2838</v>
      </c>
      <c r="E5" t="s">
        <v>2839</v>
      </c>
      <c r="F5" t="s">
        <v>2840</v>
      </c>
      <c r="G5" t="s">
        <v>2828</v>
      </c>
      <c r="H5" t="s">
        <v>2841</v>
      </c>
      <c r="I5" t="s">
        <v>2842</v>
      </c>
      <c r="J5" t="s">
        <v>114</v>
      </c>
      <c r="K5" t="s">
        <v>2831</v>
      </c>
      <c r="L5" t="s">
        <v>2832</v>
      </c>
      <c r="M5" t="s">
        <v>2843</v>
      </c>
      <c r="N5" t="s">
        <v>2844</v>
      </c>
      <c r="O5" t="s">
        <v>2835</v>
      </c>
      <c r="P5" t="s">
        <v>2845</v>
      </c>
      <c r="Q5" t="s">
        <v>2837</v>
      </c>
      <c r="R5" t="b">
        <v>0</v>
      </c>
      <c r="S5" t="s">
        <v>2812</v>
      </c>
    </row>
    <row r="6" spans="1:19" ht="11.25" customHeight="1">
      <c r="A6">
        <v>2655</v>
      </c>
      <c r="B6" t="s">
        <v>87</v>
      </c>
      <c r="C6">
        <v>26567321</v>
      </c>
      <c r="D6" t="s">
        <v>2846</v>
      </c>
      <c r="E6" t="s">
        <v>2847</v>
      </c>
      <c r="F6" t="s">
        <v>2848</v>
      </c>
      <c r="G6" t="s">
        <v>2849</v>
      </c>
      <c r="H6" t="s">
        <v>2850</v>
      </c>
      <c r="I6" t="s">
        <v>2851</v>
      </c>
      <c r="K6" t="s">
        <v>2852</v>
      </c>
      <c r="L6" t="s">
        <v>2852</v>
      </c>
      <c r="M6" t="s">
        <v>2853</v>
      </c>
      <c r="N6" t="s">
        <v>2854</v>
      </c>
      <c r="O6" t="s">
        <v>2855</v>
      </c>
      <c r="P6" t="s">
        <v>2856</v>
      </c>
      <c r="Q6" t="s">
        <v>2857</v>
      </c>
      <c r="R6" t="b">
        <v>0</v>
      </c>
      <c r="S6" t="s">
        <v>2812</v>
      </c>
    </row>
    <row r="7" spans="1:19" ht="11.25" customHeight="1">
      <c r="A7">
        <v>2655</v>
      </c>
      <c r="B7" t="s">
        <v>87</v>
      </c>
      <c r="C7">
        <v>26356963</v>
      </c>
      <c r="D7" t="s">
        <v>2858</v>
      </c>
      <c r="E7" t="s">
        <v>2859</v>
      </c>
      <c r="F7" t="s">
        <v>2860</v>
      </c>
      <c r="G7" t="s">
        <v>2861</v>
      </c>
      <c r="H7" t="s">
        <v>2862</v>
      </c>
      <c r="J7" t="s">
        <v>114</v>
      </c>
      <c r="K7" t="s">
        <v>2863</v>
      </c>
      <c r="L7" t="s">
        <v>2863</v>
      </c>
      <c r="M7" t="s">
        <v>2864</v>
      </c>
      <c r="N7" t="s">
        <v>2865</v>
      </c>
      <c r="O7" t="s">
        <v>2866</v>
      </c>
      <c r="P7" t="s">
        <v>2867</v>
      </c>
      <c r="R7" t="b">
        <v>0</v>
      </c>
      <c r="S7" t="s">
        <v>2812</v>
      </c>
    </row>
    <row r="8" spans="1:19" ht="11.25" customHeight="1">
      <c r="A8">
        <v>2655</v>
      </c>
      <c r="B8" t="s">
        <v>87</v>
      </c>
      <c r="C8">
        <v>26322889</v>
      </c>
      <c r="D8" t="s">
        <v>2868</v>
      </c>
      <c r="E8" t="s">
        <v>2869</v>
      </c>
      <c r="F8" t="s">
        <v>2870</v>
      </c>
      <c r="G8" t="s">
        <v>2871</v>
      </c>
      <c r="H8" t="s">
        <v>2872</v>
      </c>
      <c r="I8" t="s">
        <v>2873</v>
      </c>
      <c r="J8" t="s">
        <v>114</v>
      </c>
      <c r="K8" t="s">
        <v>2874</v>
      </c>
      <c r="L8" t="s">
        <v>2875</v>
      </c>
      <c r="M8" t="s">
        <v>2876</v>
      </c>
      <c r="N8" t="s">
        <v>2877</v>
      </c>
      <c r="O8" t="s">
        <v>2878</v>
      </c>
      <c r="P8" t="s">
        <v>2823</v>
      </c>
      <c r="Q8" t="s">
        <v>2879</v>
      </c>
      <c r="R8" t="b">
        <v>0</v>
      </c>
      <c r="S8" t="s">
        <v>2812</v>
      </c>
    </row>
    <row r="9" spans="1:19" ht="11.25" customHeight="1">
      <c r="A9">
        <v>2655</v>
      </c>
      <c r="B9" t="s">
        <v>87</v>
      </c>
      <c r="C9">
        <v>26427149</v>
      </c>
      <c r="D9" t="s">
        <v>2880</v>
      </c>
      <c r="E9" t="s">
        <v>2881</v>
      </c>
      <c r="F9" t="s">
        <v>2801</v>
      </c>
      <c r="G9" t="s">
        <v>2882</v>
      </c>
      <c r="H9" t="s">
        <v>2803</v>
      </c>
      <c r="I9" t="s">
        <v>2804</v>
      </c>
      <c r="J9" t="s">
        <v>114</v>
      </c>
      <c r="K9" t="s">
        <v>2883</v>
      </c>
      <c r="L9" t="s">
        <v>2884</v>
      </c>
      <c r="M9" t="s">
        <v>2885</v>
      </c>
      <c r="N9" t="s">
        <v>2886</v>
      </c>
      <c r="O9" t="s">
        <v>2887</v>
      </c>
      <c r="P9" t="s">
        <v>2888</v>
      </c>
      <c r="Q9" t="s">
        <v>2889</v>
      </c>
      <c r="R9" t="b">
        <v>0</v>
      </c>
      <c r="S9" t="s">
        <v>2812</v>
      </c>
    </row>
    <row r="10" spans="1:19" ht="11.25" customHeight="1">
      <c r="A10">
        <v>2655</v>
      </c>
      <c r="B10" t="s">
        <v>87</v>
      </c>
      <c r="C10">
        <v>27295125</v>
      </c>
      <c r="D10" t="s">
        <v>2890</v>
      </c>
      <c r="E10" t="s">
        <v>2891</v>
      </c>
      <c r="F10" t="s">
        <v>2892</v>
      </c>
      <c r="G10" t="s">
        <v>2893</v>
      </c>
      <c r="H10" t="s">
        <v>2894</v>
      </c>
      <c r="I10" t="s">
        <v>2895</v>
      </c>
      <c r="J10" t="s">
        <v>2896</v>
      </c>
      <c r="K10" t="s">
        <v>2897</v>
      </c>
      <c r="L10" t="s">
        <v>2897</v>
      </c>
      <c r="M10" t="s">
        <v>2898</v>
      </c>
      <c r="N10" t="s">
        <v>2899</v>
      </c>
      <c r="O10" t="s">
        <v>2900</v>
      </c>
      <c r="P10" t="s">
        <v>2856</v>
      </c>
      <c r="R10" t="b">
        <v>0</v>
      </c>
      <c r="S10" t="s">
        <v>2812</v>
      </c>
    </row>
    <row r="11" spans="1:19" ht="11.25" customHeight="1">
      <c r="A11">
        <v>2655</v>
      </c>
      <c r="B11" t="s">
        <v>87</v>
      </c>
      <c r="C11">
        <v>26824672</v>
      </c>
      <c r="D11" t="s">
        <v>2901</v>
      </c>
      <c r="E11" t="s">
        <v>2902</v>
      </c>
      <c r="F11" t="s">
        <v>2903</v>
      </c>
      <c r="G11" t="s">
        <v>2849</v>
      </c>
      <c r="H11" t="s">
        <v>2904</v>
      </c>
      <c r="J11" t="s">
        <v>2896</v>
      </c>
      <c r="K11" t="s">
        <v>2905</v>
      </c>
      <c r="L11" t="s">
        <v>2906</v>
      </c>
      <c r="M11" t="s">
        <v>2907</v>
      </c>
      <c r="N11" t="s">
        <v>2908</v>
      </c>
      <c r="P11" t="s">
        <v>2909</v>
      </c>
      <c r="R11" t="b">
        <v>0</v>
      </c>
      <c r="S11" t="s">
        <v>2812</v>
      </c>
    </row>
    <row r="12" spans="1:19" ht="11.25" customHeight="1">
      <c r="A12">
        <v>2655</v>
      </c>
      <c r="B12" t="s">
        <v>87</v>
      </c>
      <c r="C12">
        <v>26322867</v>
      </c>
      <c r="D12" t="s">
        <v>2910</v>
      </c>
      <c r="E12" t="s">
        <v>2911</v>
      </c>
      <c r="F12" t="s">
        <v>2912</v>
      </c>
      <c r="G12" t="s">
        <v>2871</v>
      </c>
      <c r="H12" t="s">
        <v>2913</v>
      </c>
      <c r="I12" t="s">
        <v>2914</v>
      </c>
      <c r="J12" t="s">
        <v>114</v>
      </c>
      <c r="K12" t="s">
        <v>2915</v>
      </c>
      <c r="L12" t="s">
        <v>2915</v>
      </c>
      <c r="M12" t="s">
        <v>2916</v>
      </c>
      <c r="N12" t="s">
        <v>2917</v>
      </c>
      <c r="O12" t="s">
        <v>2918</v>
      </c>
      <c r="P12" t="s">
        <v>2856</v>
      </c>
      <c r="Q12" t="s">
        <v>2919</v>
      </c>
      <c r="R12" t="b">
        <v>0</v>
      </c>
      <c r="S12" t="s">
        <v>2812</v>
      </c>
    </row>
    <row r="13" spans="1:19" ht="11.25" customHeight="1">
      <c r="A13">
        <v>2655</v>
      </c>
      <c r="B13" t="s">
        <v>87</v>
      </c>
      <c r="C13">
        <v>26824651</v>
      </c>
      <c r="D13" t="s">
        <v>2920</v>
      </c>
      <c r="E13" t="s">
        <v>2921</v>
      </c>
      <c r="F13" t="s">
        <v>2903</v>
      </c>
      <c r="G13" t="s">
        <v>2922</v>
      </c>
      <c r="H13" t="s">
        <v>2904</v>
      </c>
      <c r="J13" t="s">
        <v>114</v>
      </c>
      <c r="K13" t="s">
        <v>2923</v>
      </c>
      <c r="L13" t="s">
        <v>2924</v>
      </c>
      <c r="M13" t="s">
        <v>2925</v>
      </c>
      <c r="N13" t="s">
        <v>2926</v>
      </c>
      <c r="O13" t="s">
        <v>2927</v>
      </c>
      <c r="P13" t="s">
        <v>2928</v>
      </c>
      <c r="R13" t="b">
        <v>0</v>
      </c>
      <c r="S13" t="s">
        <v>2812</v>
      </c>
    </row>
    <row r="14" spans="1:19" ht="11.25" customHeight="1">
      <c r="A14">
        <v>2655</v>
      </c>
      <c r="B14" t="s">
        <v>87</v>
      </c>
      <c r="C14">
        <v>26824396</v>
      </c>
      <c r="D14" t="s">
        <v>2929</v>
      </c>
      <c r="E14" t="s">
        <v>2930</v>
      </c>
      <c r="F14" t="s">
        <v>2903</v>
      </c>
      <c r="G14" t="s">
        <v>2931</v>
      </c>
      <c r="H14" t="s">
        <v>2904</v>
      </c>
      <c r="J14" t="s">
        <v>2896</v>
      </c>
      <c r="K14" t="s">
        <v>2932</v>
      </c>
      <c r="L14" t="s">
        <v>2932</v>
      </c>
      <c r="M14" t="s">
        <v>2933</v>
      </c>
      <c r="O14" t="s">
        <v>2934</v>
      </c>
      <c r="P14" t="s">
        <v>2928</v>
      </c>
      <c r="R14" t="b">
        <v>0</v>
      </c>
      <c r="S14" t="s">
        <v>2812</v>
      </c>
    </row>
    <row r="15" spans="1:19" ht="11.25" customHeight="1">
      <c r="A15">
        <v>2655</v>
      </c>
      <c r="B15" t="s">
        <v>87</v>
      </c>
      <c r="C15">
        <v>31232672</v>
      </c>
      <c r="D15" t="s">
        <v>2935</v>
      </c>
      <c r="E15" t="s">
        <v>2936</v>
      </c>
      <c r="F15" t="s">
        <v>2937</v>
      </c>
      <c r="G15" t="s">
        <v>2938</v>
      </c>
      <c r="H15" t="s">
        <v>2939</v>
      </c>
      <c r="I15" t="s">
        <v>2940</v>
      </c>
      <c r="J15" t="s">
        <v>2941</v>
      </c>
      <c r="K15" t="s">
        <v>2942</v>
      </c>
      <c r="L15" t="s">
        <v>2942</v>
      </c>
      <c r="M15" t="s">
        <v>2943</v>
      </c>
      <c r="N15" t="s">
        <v>2944</v>
      </c>
      <c r="O15" t="s">
        <v>2945</v>
      </c>
      <c r="P15" t="s">
        <v>2946</v>
      </c>
      <c r="R15" t="b">
        <v>0</v>
      </c>
      <c r="S15" t="s">
        <v>2812</v>
      </c>
    </row>
    <row r="16" spans="1:19" ht="11.25" customHeight="1">
      <c r="A16">
        <v>2655</v>
      </c>
      <c r="B16" t="s">
        <v>87</v>
      </c>
      <c r="C16">
        <v>31387447</v>
      </c>
      <c r="D16" t="s">
        <v>2947</v>
      </c>
      <c r="E16" t="s">
        <v>2948</v>
      </c>
      <c r="F16" t="s">
        <v>2949</v>
      </c>
      <c r="G16" t="s">
        <v>2950</v>
      </c>
      <c r="H16" t="s">
        <v>2951</v>
      </c>
      <c r="I16" t="s">
        <v>2952</v>
      </c>
      <c r="J16" t="s">
        <v>2953</v>
      </c>
      <c r="K16" t="s">
        <v>2954</v>
      </c>
      <c r="L16" t="s">
        <v>2954</v>
      </c>
      <c r="M16" t="s">
        <v>2955</v>
      </c>
      <c r="N16" t="s">
        <v>2956</v>
      </c>
      <c r="O16" t="s">
        <v>2957</v>
      </c>
      <c r="P16" t="s">
        <v>2946</v>
      </c>
      <c r="R16" t="b">
        <v>0</v>
      </c>
      <c r="S16" t="s">
        <v>2812</v>
      </c>
    </row>
    <row r="17" spans="1:19" ht="11.25" customHeight="1">
      <c r="A17">
        <v>2655</v>
      </c>
      <c r="B17" t="s">
        <v>87</v>
      </c>
      <c r="C17">
        <v>30808700</v>
      </c>
      <c r="D17" t="s">
        <v>2958</v>
      </c>
      <c r="E17" t="s">
        <v>2959</v>
      </c>
      <c r="F17" t="s">
        <v>2960</v>
      </c>
      <c r="G17" t="s">
        <v>2849</v>
      </c>
      <c r="H17" t="s">
        <v>2961</v>
      </c>
      <c r="I17" t="s">
        <v>2962</v>
      </c>
      <c r="J17" t="s">
        <v>2953</v>
      </c>
      <c r="K17" t="s">
        <v>2963</v>
      </c>
      <c r="L17" t="s">
        <v>2964</v>
      </c>
      <c r="M17" t="s">
        <v>2965</v>
      </c>
      <c r="N17" t="s">
        <v>2966</v>
      </c>
      <c r="O17" t="s">
        <v>2967</v>
      </c>
      <c r="P17" t="s">
        <v>2968</v>
      </c>
      <c r="R17" t="b">
        <v>1</v>
      </c>
      <c r="S17" t="s">
        <v>2812</v>
      </c>
    </row>
    <row r="18" spans="1:19" ht="11.25" customHeight="1">
      <c r="A18">
        <v>2655</v>
      </c>
      <c r="B18" t="s">
        <v>87</v>
      </c>
      <c r="C18">
        <v>31319221</v>
      </c>
      <c r="D18" t="s">
        <v>2969</v>
      </c>
      <c r="E18" t="s">
        <v>2970</v>
      </c>
      <c r="F18" t="s">
        <v>2971</v>
      </c>
      <c r="G18" t="s">
        <v>2950</v>
      </c>
      <c r="H18" t="s">
        <v>2972</v>
      </c>
      <c r="I18" t="s">
        <v>2973</v>
      </c>
      <c r="J18" t="s">
        <v>2941</v>
      </c>
      <c r="K18" t="s">
        <v>2974</v>
      </c>
      <c r="L18" t="s">
        <v>2975</v>
      </c>
      <c r="M18" t="s">
        <v>2976</v>
      </c>
      <c r="N18" t="s">
        <v>2977</v>
      </c>
      <c r="O18" t="s">
        <v>2978</v>
      </c>
      <c r="P18" t="s">
        <v>2946</v>
      </c>
      <c r="R18" t="b">
        <v>0</v>
      </c>
      <c r="S18" t="s">
        <v>2812</v>
      </c>
    </row>
    <row r="19" spans="1:19" ht="11.25" customHeight="1">
      <c r="A19">
        <v>2655</v>
      </c>
      <c r="B19" t="s">
        <v>87</v>
      </c>
      <c r="C19">
        <v>31419990</v>
      </c>
      <c r="D19" t="s">
        <v>2979</v>
      </c>
      <c r="E19" t="s">
        <v>2980</v>
      </c>
      <c r="F19" t="s">
        <v>2981</v>
      </c>
      <c r="G19" t="s">
        <v>2982</v>
      </c>
      <c r="H19" t="s">
        <v>2983</v>
      </c>
      <c r="I19" t="s">
        <v>2984</v>
      </c>
      <c r="J19" t="s">
        <v>2941</v>
      </c>
      <c r="K19" t="s">
        <v>2985</v>
      </c>
      <c r="L19" t="s">
        <v>2985</v>
      </c>
      <c r="M19" t="s">
        <v>2986</v>
      </c>
      <c r="N19" t="s">
        <v>2987</v>
      </c>
      <c r="O19" t="s">
        <v>2988</v>
      </c>
      <c r="P19" t="s">
        <v>2946</v>
      </c>
      <c r="Q19" t="s">
        <v>2989</v>
      </c>
      <c r="R19" t="b">
        <v>0</v>
      </c>
      <c r="S19" t="s">
        <v>2812</v>
      </c>
    </row>
    <row r="20" spans="1:19" ht="11.25" customHeight="1">
      <c r="A20">
        <v>2655</v>
      </c>
      <c r="B20" t="s">
        <v>87</v>
      </c>
      <c r="C20">
        <v>31343443</v>
      </c>
      <c r="D20" t="s">
        <v>2990</v>
      </c>
      <c r="E20" t="s">
        <v>2991</v>
      </c>
      <c r="F20" t="s">
        <v>2992</v>
      </c>
      <c r="G20" t="s">
        <v>2849</v>
      </c>
      <c r="H20" t="s">
        <v>2993</v>
      </c>
      <c r="I20" t="s">
        <v>2994</v>
      </c>
      <c r="J20" t="s">
        <v>2941</v>
      </c>
      <c r="K20" t="s">
        <v>2995</v>
      </c>
      <c r="L20" t="s">
        <v>2995</v>
      </c>
      <c r="N20" t="s">
        <v>2996</v>
      </c>
      <c r="O20" t="s">
        <v>2997</v>
      </c>
      <c r="P20" t="s">
        <v>2968</v>
      </c>
      <c r="R20" t="b">
        <v>0</v>
      </c>
      <c r="S20" t="s">
        <v>2812</v>
      </c>
    </row>
    <row r="21" spans="1:19" ht="11.25" customHeight="1">
      <c r="A21">
        <v>2655</v>
      </c>
      <c r="B21" t="s">
        <v>87</v>
      </c>
      <c r="C21">
        <v>31367841</v>
      </c>
      <c r="D21" t="s">
        <v>2998</v>
      </c>
      <c r="E21" t="s">
        <v>2999</v>
      </c>
      <c r="F21" t="s">
        <v>3000</v>
      </c>
      <c r="G21" t="s">
        <v>3001</v>
      </c>
      <c r="H21" t="s">
        <v>3002</v>
      </c>
      <c r="I21" t="s">
        <v>3003</v>
      </c>
      <c r="J21" t="s">
        <v>2953</v>
      </c>
      <c r="K21" t="s">
        <v>3004</v>
      </c>
      <c r="L21" t="s">
        <v>3004</v>
      </c>
      <c r="N21" t="s">
        <v>3005</v>
      </c>
      <c r="O21" t="s">
        <v>3006</v>
      </c>
      <c r="P21" t="s">
        <v>2946</v>
      </c>
      <c r="R21" t="b">
        <v>0</v>
      </c>
      <c r="S21" t="s">
        <v>2812</v>
      </c>
    </row>
    <row r="22" spans="1:19" ht="11.25" customHeight="1">
      <c r="A22">
        <v>2655</v>
      </c>
      <c r="B22" t="s">
        <v>87</v>
      </c>
      <c r="C22">
        <v>31087651</v>
      </c>
      <c r="D22" t="s">
        <v>3007</v>
      </c>
      <c r="E22" t="s">
        <v>3008</v>
      </c>
      <c r="F22" t="s">
        <v>3009</v>
      </c>
      <c r="G22" t="s">
        <v>3010</v>
      </c>
      <c r="H22" t="s">
        <v>3011</v>
      </c>
      <c r="I22" t="s">
        <v>3012</v>
      </c>
      <c r="J22" t="s">
        <v>2941</v>
      </c>
      <c r="K22" t="s">
        <v>3013</v>
      </c>
      <c r="L22" t="s">
        <v>3013</v>
      </c>
      <c r="M22" t="s">
        <v>3014</v>
      </c>
      <c r="N22" t="s">
        <v>3015</v>
      </c>
      <c r="O22" t="s">
        <v>3016</v>
      </c>
      <c r="R22" t="b">
        <v>0</v>
      </c>
      <c r="S22" t="s">
        <v>2812</v>
      </c>
    </row>
    <row r="23" spans="1:19" ht="11.25" customHeight="1">
      <c r="A23">
        <v>2655</v>
      </c>
      <c r="B23" t="s">
        <v>87</v>
      </c>
      <c r="C23">
        <v>31367862</v>
      </c>
      <c r="D23" t="s">
        <v>3017</v>
      </c>
      <c r="E23" t="s">
        <v>3018</v>
      </c>
      <c r="F23" t="s">
        <v>3019</v>
      </c>
      <c r="G23" t="s">
        <v>3001</v>
      </c>
      <c r="H23" t="s">
        <v>3020</v>
      </c>
      <c r="I23" t="s">
        <v>3021</v>
      </c>
      <c r="J23" t="s">
        <v>2941</v>
      </c>
      <c r="K23" t="s">
        <v>3022</v>
      </c>
      <c r="L23" t="s">
        <v>3022</v>
      </c>
      <c r="N23" t="s">
        <v>3023</v>
      </c>
      <c r="O23" t="s">
        <v>3024</v>
      </c>
      <c r="P23" t="s">
        <v>2946</v>
      </c>
      <c r="R23" t="b">
        <v>0</v>
      </c>
      <c r="S23" t="s">
        <v>2812</v>
      </c>
    </row>
    <row r="24" spans="1:19" ht="11.25" customHeight="1">
      <c r="A24">
        <v>2655</v>
      </c>
      <c r="B24" t="s">
        <v>87</v>
      </c>
      <c r="C24">
        <v>31618036</v>
      </c>
      <c r="D24" t="s">
        <v>3025</v>
      </c>
      <c r="E24" t="s">
        <v>3026</v>
      </c>
      <c r="F24" t="s">
        <v>3027</v>
      </c>
      <c r="G24" t="s">
        <v>2828</v>
      </c>
      <c r="H24" t="s">
        <v>3028</v>
      </c>
      <c r="I24" t="s">
        <v>3029</v>
      </c>
      <c r="K24" t="s">
        <v>3030</v>
      </c>
      <c r="L24" t="s">
        <v>3031</v>
      </c>
      <c r="M24" t="s">
        <v>3032</v>
      </c>
      <c r="N24" t="s">
        <v>3033</v>
      </c>
      <c r="O24" t="s">
        <v>3034</v>
      </c>
      <c r="P24" t="s">
        <v>2946</v>
      </c>
      <c r="Q24" t="s">
        <v>3035</v>
      </c>
      <c r="R24" t="b">
        <v>0</v>
      </c>
      <c r="S24" t="s">
        <v>2812</v>
      </c>
    </row>
    <row r="25" spans="1:19" ht="11.25" customHeight="1">
      <c r="A25">
        <v>2655</v>
      </c>
      <c r="B25" t="s">
        <v>87</v>
      </c>
      <c r="C25">
        <v>26486390</v>
      </c>
      <c r="D25" t="s">
        <v>3036</v>
      </c>
      <c r="E25" t="s">
        <v>3037</v>
      </c>
      <c r="F25" t="s">
        <v>3038</v>
      </c>
      <c r="G25" t="s">
        <v>3039</v>
      </c>
      <c r="H25" t="s">
        <v>3040</v>
      </c>
      <c r="I25" t="s">
        <v>3041</v>
      </c>
      <c r="J25" t="s">
        <v>2953</v>
      </c>
      <c r="K25" t="s">
        <v>3042</v>
      </c>
      <c r="L25" t="s">
        <v>3043</v>
      </c>
      <c r="M25" t="s">
        <v>3044</v>
      </c>
      <c r="N25" t="s">
        <v>3045</v>
      </c>
      <c r="O25" t="s">
        <v>3046</v>
      </c>
      <c r="P25" t="s">
        <v>2946</v>
      </c>
      <c r="R25" t="b">
        <v>0</v>
      </c>
      <c r="S25" t="s">
        <v>2812</v>
      </c>
    </row>
    <row r="26" spans="1:19" ht="11.25" customHeight="1">
      <c r="A26">
        <v>2655</v>
      </c>
      <c r="B26" t="s">
        <v>87</v>
      </c>
      <c r="C26">
        <v>27977465</v>
      </c>
      <c r="D26" t="s">
        <v>3047</v>
      </c>
      <c r="E26" t="s">
        <v>3048</v>
      </c>
      <c r="F26" t="s">
        <v>3049</v>
      </c>
      <c r="G26" t="s">
        <v>3050</v>
      </c>
      <c r="H26" t="s">
        <v>3051</v>
      </c>
      <c r="K26" t="s">
        <v>3052</v>
      </c>
      <c r="L26" t="s">
        <v>3052</v>
      </c>
      <c r="M26" t="s">
        <v>3053</v>
      </c>
      <c r="N26" t="s">
        <v>3054</v>
      </c>
      <c r="O26" t="s">
        <v>3055</v>
      </c>
      <c r="P26" t="s">
        <v>2968</v>
      </c>
      <c r="R26" t="b">
        <v>0</v>
      </c>
      <c r="S26" t="s">
        <v>2812</v>
      </c>
    </row>
    <row r="27" spans="1:19" ht="11.25" customHeight="1">
      <c r="A27">
        <v>2655</v>
      </c>
      <c r="B27" t="s">
        <v>87</v>
      </c>
      <c r="C27">
        <v>31310826</v>
      </c>
      <c r="D27" t="s">
        <v>3047</v>
      </c>
      <c r="E27" t="s">
        <v>3056</v>
      </c>
      <c r="F27" t="s">
        <v>3057</v>
      </c>
      <c r="G27" t="s">
        <v>2849</v>
      </c>
      <c r="H27" t="s">
        <v>3058</v>
      </c>
      <c r="I27" t="s">
        <v>3059</v>
      </c>
      <c r="J27" t="s">
        <v>2953</v>
      </c>
      <c r="K27" t="s">
        <v>3060</v>
      </c>
      <c r="L27" t="s">
        <v>3060</v>
      </c>
      <c r="M27" t="s">
        <v>3061</v>
      </c>
      <c r="N27" t="s">
        <v>3062</v>
      </c>
      <c r="O27" t="s">
        <v>3063</v>
      </c>
      <c r="P27" t="s">
        <v>2968</v>
      </c>
      <c r="R27" t="b">
        <v>0</v>
      </c>
      <c r="S27" t="s">
        <v>2812</v>
      </c>
    </row>
    <row r="28" spans="1:19" ht="11.25" customHeight="1">
      <c r="A28">
        <v>2655</v>
      </c>
      <c r="B28" t="s">
        <v>87</v>
      </c>
      <c r="C28">
        <v>31003143</v>
      </c>
      <c r="D28" t="s">
        <v>3064</v>
      </c>
      <c r="E28" t="s">
        <v>3065</v>
      </c>
      <c r="F28" t="s">
        <v>3066</v>
      </c>
      <c r="G28" t="s">
        <v>3050</v>
      </c>
      <c r="H28" t="s">
        <v>3067</v>
      </c>
      <c r="I28" t="s">
        <v>3068</v>
      </c>
      <c r="J28" t="s">
        <v>2953</v>
      </c>
      <c r="K28" t="s">
        <v>3069</v>
      </c>
      <c r="L28" t="s">
        <v>3070</v>
      </c>
      <c r="M28" t="s">
        <v>3071</v>
      </c>
      <c r="N28" t="s">
        <v>3072</v>
      </c>
      <c r="O28" t="s">
        <v>3073</v>
      </c>
      <c r="P28" t="s">
        <v>2946</v>
      </c>
      <c r="R28" t="b">
        <v>1</v>
      </c>
      <c r="S28" t="s">
        <v>2812</v>
      </c>
    </row>
    <row r="29" spans="1:19" ht="11.25" customHeight="1">
      <c r="A29">
        <v>2655</v>
      </c>
      <c r="B29" t="s">
        <v>87</v>
      </c>
      <c r="C29">
        <v>31308226</v>
      </c>
      <c r="D29" t="s">
        <v>3074</v>
      </c>
      <c r="E29" t="s">
        <v>3075</v>
      </c>
      <c r="F29" t="s">
        <v>3076</v>
      </c>
      <c r="G29" t="s">
        <v>3077</v>
      </c>
      <c r="H29" t="s">
        <v>3078</v>
      </c>
      <c r="I29" t="s">
        <v>3079</v>
      </c>
      <c r="J29" t="s">
        <v>2953</v>
      </c>
      <c r="K29" t="s">
        <v>3080</v>
      </c>
      <c r="L29" t="s">
        <v>3080</v>
      </c>
      <c r="M29" t="s">
        <v>3081</v>
      </c>
      <c r="N29" t="s">
        <v>3082</v>
      </c>
      <c r="O29" t="s">
        <v>3083</v>
      </c>
      <c r="P29" t="s">
        <v>2968</v>
      </c>
      <c r="R29" t="b">
        <v>1</v>
      </c>
      <c r="S29" t="s">
        <v>2812</v>
      </c>
    </row>
    <row r="30" spans="1:19" ht="11.25" customHeight="1">
      <c r="A30">
        <v>2655</v>
      </c>
      <c r="B30" t="s">
        <v>87</v>
      </c>
      <c r="C30">
        <v>31284269</v>
      </c>
      <c r="D30" t="s">
        <v>3084</v>
      </c>
      <c r="E30" t="s">
        <v>3085</v>
      </c>
      <c r="F30" t="s">
        <v>3086</v>
      </c>
      <c r="G30" t="s">
        <v>3010</v>
      </c>
      <c r="H30" t="s">
        <v>3087</v>
      </c>
      <c r="I30" t="s">
        <v>3088</v>
      </c>
      <c r="J30" t="s">
        <v>2953</v>
      </c>
      <c r="K30" t="s">
        <v>3089</v>
      </c>
      <c r="L30" t="s">
        <v>3090</v>
      </c>
      <c r="M30" t="s">
        <v>3091</v>
      </c>
      <c r="N30" t="s">
        <v>3092</v>
      </c>
      <c r="O30" t="s">
        <v>3093</v>
      </c>
      <c r="R30" t="b">
        <v>0</v>
      </c>
      <c r="S30" t="s">
        <v>2812</v>
      </c>
    </row>
    <row r="31" spans="1:19" ht="11.25" customHeight="1">
      <c r="A31">
        <v>2655</v>
      </c>
      <c r="B31" t="s">
        <v>87</v>
      </c>
      <c r="C31">
        <v>31241680</v>
      </c>
      <c r="D31" t="s">
        <v>3094</v>
      </c>
      <c r="E31" t="s">
        <v>3095</v>
      </c>
      <c r="F31" t="s">
        <v>3096</v>
      </c>
      <c r="G31" t="s">
        <v>2982</v>
      </c>
      <c r="H31" t="s">
        <v>3097</v>
      </c>
      <c r="I31" t="s">
        <v>3098</v>
      </c>
      <c r="J31" t="s">
        <v>2953</v>
      </c>
      <c r="K31" t="s">
        <v>3099</v>
      </c>
      <c r="L31" t="s">
        <v>3099</v>
      </c>
      <c r="M31" t="s">
        <v>3100</v>
      </c>
      <c r="N31" t="s">
        <v>3101</v>
      </c>
      <c r="O31" t="s">
        <v>3102</v>
      </c>
      <c r="P31" t="s">
        <v>2968</v>
      </c>
      <c r="Q31" t="s">
        <v>3103</v>
      </c>
      <c r="R31" t="b">
        <v>0</v>
      </c>
      <c r="S31" t="s">
        <v>2812</v>
      </c>
    </row>
    <row r="32" spans="1:19" ht="11.25" customHeight="1">
      <c r="A32">
        <v>2655</v>
      </c>
      <c r="B32" t="s">
        <v>87</v>
      </c>
      <c r="C32">
        <v>31579664</v>
      </c>
      <c r="D32" t="s">
        <v>3104</v>
      </c>
      <c r="E32" t="s">
        <v>3105</v>
      </c>
      <c r="F32" t="s">
        <v>3106</v>
      </c>
      <c r="G32" t="s">
        <v>2849</v>
      </c>
      <c r="H32" t="s">
        <v>3107</v>
      </c>
      <c r="I32" t="s">
        <v>3108</v>
      </c>
      <c r="K32" t="s">
        <v>3109</v>
      </c>
      <c r="L32" t="s">
        <v>3110</v>
      </c>
      <c r="M32" t="s">
        <v>3111</v>
      </c>
      <c r="O32" t="s">
        <v>3112</v>
      </c>
      <c r="P32" t="s">
        <v>2946</v>
      </c>
      <c r="Q32" t="s">
        <v>3113</v>
      </c>
      <c r="R32" t="b">
        <v>1</v>
      </c>
      <c r="S32" t="s">
        <v>2812</v>
      </c>
    </row>
    <row r="33" spans="1:19" ht="11.25" customHeight="1">
      <c r="A33">
        <v>2655</v>
      </c>
      <c r="B33" t="s">
        <v>87</v>
      </c>
      <c r="C33">
        <v>26322895</v>
      </c>
      <c r="D33" t="s">
        <v>3114</v>
      </c>
      <c r="E33" t="s">
        <v>3115</v>
      </c>
      <c r="F33" t="s">
        <v>3116</v>
      </c>
      <c r="G33" t="s">
        <v>2828</v>
      </c>
      <c r="H33" t="s">
        <v>3117</v>
      </c>
      <c r="I33" t="s">
        <v>3118</v>
      </c>
      <c r="J33" t="s">
        <v>2896</v>
      </c>
      <c r="K33" t="s">
        <v>3119</v>
      </c>
      <c r="L33" t="s">
        <v>3119</v>
      </c>
      <c r="M33" t="s">
        <v>3120</v>
      </c>
      <c r="N33" t="s">
        <v>3121</v>
      </c>
      <c r="O33" t="s">
        <v>3122</v>
      </c>
      <c r="P33" t="s">
        <v>2856</v>
      </c>
      <c r="Q33" t="s">
        <v>3123</v>
      </c>
      <c r="R33" t="b">
        <v>0</v>
      </c>
      <c r="S33" t="s">
        <v>2812</v>
      </c>
    </row>
    <row r="34" spans="1:19" ht="11.25" customHeight="1">
      <c r="A34">
        <v>2655</v>
      </c>
      <c r="B34" t="s">
        <v>87</v>
      </c>
      <c r="C34">
        <v>28119331</v>
      </c>
      <c r="D34" t="s">
        <v>3124</v>
      </c>
      <c r="E34" t="s">
        <v>3125</v>
      </c>
      <c r="F34" t="s">
        <v>3126</v>
      </c>
      <c r="G34" t="s">
        <v>2828</v>
      </c>
      <c r="H34" t="s">
        <v>3127</v>
      </c>
      <c r="J34" t="s">
        <v>3128</v>
      </c>
      <c r="K34" t="s">
        <v>3129</v>
      </c>
      <c r="L34" t="s">
        <v>3129</v>
      </c>
      <c r="M34" t="s">
        <v>3130</v>
      </c>
      <c r="O34" t="s">
        <v>3131</v>
      </c>
      <c r="P34" t="s">
        <v>2968</v>
      </c>
      <c r="R34" t="b">
        <v>1</v>
      </c>
      <c r="S34" t="s">
        <v>2812</v>
      </c>
    </row>
    <row r="35" spans="1:19" ht="11.25" customHeight="1">
      <c r="A35">
        <v>2655</v>
      </c>
      <c r="B35" t="s">
        <v>87</v>
      </c>
      <c r="C35">
        <v>31683419</v>
      </c>
      <c r="D35" t="s">
        <v>3132</v>
      </c>
      <c r="E35" t="s">
        <v>3133</v>
      </c>
      <c r="F35" t="s">
        <v>3134</v>
      </c>
      <c r="G35" t="s">
        <v>2849</v>
      </c>
      <c r="H35" t="s">
        <v>3135</v>
      </c>
      <c r="I35" t="s">
        <v>3136</v>
      </c>
      <c r="K35" t="s">
        <v>3137</v>
      </c>
      <c r="L35" t="s">
        <v>3137</v>
      </c>
      <c r="M35" t="s">
        <v>3138</v>
      </c>
      <c r="N35" t="s">
        <v>3139</v>
      </c>
      <c r="O35" t="s">
        <v>3140</v>
      </c>
      <c r="P35" t="s">
        <v>2946</v>
      </c>
      <c r="R35" t="b">
        <v>0</v>
      </c>
      <c r="S35" t="s">
        <v>2812</v>
      </c>
    </row>
    <row r="36" spans="1:19" ht="11.25" customHeight="1">
      <c r="A36">
        <v>2655</v>
      </c>
      <c r="B36" t="s">
        <v>87</v>
      </c>
      <c r="C36">
        <v>31775146</v>
      </c>
      <c r="D36" t="s">
        <v>3141</v>
      </c>
      <c r="E36" t="s">
        <v>3142</v>
      </c>
      <c r="F36" t="s">
        <v>3143</v>
      </c>
      <c r="G36" t="s">
        <v>109</v>
      </c>
      <c r="H36" t="s">
        <v>3144</v>
      </c>
      <c r="I36" t="s">
        <v>3145</v>
      </c>
      <c r="K36" t="s">
        <v>3146</v>
      </c>
      <c r="L36" t="s">
        <v>3146</v>
      </c>
      <c r="M36" t="s">
        <v>3147</v>
      </c>
      <c r="N36" t="s">
        <v>3148</v>
      </c>
      <c r="O36" t="s">
        <v>3149</v>
      </c>
      <c r="P36" t="s">
        <v>2968</v>
      </c>
      <c r="Q36" t="s">
        <v>162</v>
      </c>
      <c r="R36" t="b">
        <v>1</v>
      </c>
      <c r="S36" t="s">
        <v>2812</v>
      </c>
    </row>
    <row r="37" spans="1:19" ht="11.25" customHeight="1">
      <c r="A37">
        <v>2655</v>
      </c>
      <c r="B37" t="s">
        <v>87</v>
      </c>
      <c r="C37">
        <v>28869965</v>
      </c>
      <c r="D37" t="s">
        <v>3150</v>
      </c>
      <c r="E37" t="s">
        <v>3151</v>
      </c>
      <c r="F37" t="s">
        <v>3152</v>
      </c>
      <c r="G37" t="s">
        <v>2938</v>
      </c>
      <c r="H37" t="s">
        <v>3153</v>
      </c>
      <c r="J37" t="s">
        <v>3128</v>
      </c>
      <c r="K37" t="s">
        <v>3154</v>
      </c>
      <c r="L37" t="s">
        <v>3154</v>
      </c>
      <c r="M37" t="s">
        <v>3155</v>
      </c>
      <c r="N37" t="s">
        <v>3156</v>
      </c>
      <c r="O37" t="s">
        <v>3157</v>
      </c>
      <c r="P37" t="s">
        <v>2856</v>
      </c>
      <c r="Q37" t="s">
        <v>3158</v>
      </c>
      <c r="R37" t="b">
        <v>0</v>
      </c>
      <c r="S37" t="s">
        <v>2812</v>
      </c>
    </row>
    <row r="38" spans="1:19" ht="11.25" customHeight="1">
      <c r="A38">
        <v>2655</v>
      </c>
      <c r="B38" t="s">
        <v>87</v>
      </c>
      <c r="C38">
        <v>31215010</v>
      </c>
      <c r="D38" t="s">
        <v>3150</v>
      </c>
      <c r="E38" t="s">
        <v>3151</v>
      </c>
      <c r="F38" t="s">
        <v>3159</v>
      </c>
      <c r="G38" t="s">
        <v>3077</v>
      </c>
      <c r="H38" t="s">
        <v>3160</v>
      </c>
      <c r="I38" t="s">
        <v>3161</v>
      </c>
      <c r="J38" t="s">
        <v>3128</v>
      </c>
      <c r="K38" t="s">
        <v>3162</v>
      </c>
      <c r="L38" t="s">
        <v>3163</v>
      </c>
      <c r="M38" t="s">
        <v>3164</v>
      </c>
      <c r="N38" t="s">
        <v>3165</v>
      </c>
      <c r="O38" t="s">
        <v>3166</v>
      </c>
      <c r="P38" t="s">
        <v>3167</v>
      </c>
      <c r="R38" t="b">
        <v>0</v>
      </c>
      <c r="S38" t="s">
        <v>2812</v>
      </c>
    </row>
    <row r="39" spans="1:19" ht="11.25" customHeight="1">
      <c r="A39">
        <v>2655</v>
      </c>
      <c r="B39" t="s">
        <v>87</v>
      </c>
      <c r="C39">
        <v>31336226</v>
      </c>
      <c r="D39" t="s">
        <v>3150</v>
      </c>
      <c r="E39" t="s">
        <v>3151</v>
      </c>
      <c r="F39" t="s">
        <v>3168</v>
      </c>
      <c r="G39" t="s">
        <v>2950</v>
      </c>
      <c r="H39" t="s">
        <v>3169</v>
      </c>
      <c r="I39" t="s">
        <v>3170</v>
      </c>
      <c r="J39" t="s">
        <v>3128</v>
      </c>
      <c r="K39" t="s">
        <v>3171</v>
      </c>
      <c r="L39" t="s">
        <v>3172</v>
      </c>
      <c r="M39" t="s">
        <v>3173</v>
      </c>
      <c r="N39" t="s">
        <v>3174</v>
      </c>
      <c r="O39" t="s">
        <v>3175</v>
      </c>
      <c r="P39" t="s">
        <v>2946</v>
      </c>
      <c r="R39" t="b">
        <v>0</v>
      </c>
      <c r="S39" t="s">
        <v>2812</v>
      </c>
    </row>
    <row r="40" spans="1:19" ht="11.25" customHeight="1">
      <c r="A40">
        <v>2655</v>
      </c>
      <c r="B40" t="s">
        <v>87</v>
      </c>
      <c r="C40">
        <v>26428030</v>
      </c>
      <c r="D40" t="s">
        <v>3176</v>
      </c>
      <c r="E40" t="s">
        <v>3177</v>
      </c>
      <c r="F40" t="s">
        <v>3178</v>
      </c>
      <c r="G40" t="s">
        <v>3050</v>
      </c>
      <c r="H40" t="s">
        <v>3179</v>
      </c>
      <c r="K40" t="s">
        <v>3180</v>
      </c>
      <c r="L40" t="s">
        <v>3180</v>
      </c>
      <c r="M40" t="s">
        <v>3181</v>
      </c>
      <c r="N40" t="s">
        <v>3182</v>
      </c>
      <c r="R40" t="b">
        <v>0</v>
      </c>
      <c r="S40" t="s">
        <v>2812</v>
      </c>
    </row>
    <row r="41" spans="1:19" ht="11.25" customHeight="1">
      <c r="A41">
        <v>2655</v>
      </c>
      <c r="B41" t="s">
        <v>87</v>
      </c>
      <c r="C41">
        <v>31356597</v>
      </c>
      <c r="D41" t="s">
        <v>3183</v>
      </c>
      <c r="E41" t="s">
        <v>3184</v>
      </c>
      <c r="F41" t="s">
        <v>3185</v>
      </c>
      <c r="G41" t="s">
        <v>3010</v>
      </c>
      <c r="H41" t="s">
        <v>3186</v>
      </c>
      <c r="I41" t="s">
        <v>3187</v>
      </c>
      <c r="J41" t="s">
        <v>3128</v>
      </c>
      <c r="K41" t="s">
        <v>3188</v>
      </c>
      <c r="L41" t="s">
        <v>3188</v>
      </c>
      <c r="M41" t="s">
        <v>3189</v>
      </c>
      <c r="N41" t="s">
        <v>3190</v>
      </c>
      <c r="O41" t="s">
        <v>3191</v>
      </c>
      <c r="P41" t="s">
        <v>2856</v>
      </c>
      <c r="R41" t="b">
        <v>0</v>
      </c>
      <c r="S41" t="s">
        <v>2812</v>
      </c>
    </row>
    <row r="42" spans="1:19" ht="11.25" customHeight="1">
      <c r="A42">
        <v>2655</v>
      </c>
      <c r="B42" t="s">
        <v>87</v>
      </c>
      <c r="C42">
        <v>28136671</v>
      </c>
      <c r="D42" t="s">
        <v>3192</v>
      </c>
      <c r="E42" t="s">
        <v>3193</v>
      </c>
      <c r="F42" t="s">
        <v>3194</v>
      </c>
      <c r="G42" t="s">
        <v>3195</v>
      </c>
      <c r="H42" t="s">
        <v>3196</v>
      </c>
      <c r="I42" t="s">
        <v>3197</v>
      </c>
      <c r="J42" t="s">
        <v>3128</v>
      </c>
      <c r="K42" t="s">
        <v>3198</v>
      </c>
      <c r="L42" t="s">
        <v>3199</v>
      </c>
      <c r="M42" t="s">
        <v>3200</v>
      </c>
      <c r="N42" t="s">
        <v>3201</v>
      </c>
      <c r="O42" t="s">
        <v>3202</v>
      </c>
      <c r="P42" t="s">
        <v>3203</v>
      </c>
      <c r="R42" t="b">
        <v>1</v>
      </c>
      <c r="S42" t="s">
        <v>2812</v>
      </c>
    </row>
    <row r="43" spans="1:19" ht="11.25" customHeight="1">
      <c r="A43">
        <v>2655</v>
      </c>
      <c r="B43" t="s">
        <v>87</v>
      </c>
      <c r="C43">
        <v>31573961</v>
      </c>
      <c r="D43" t="s">
        <v>3204</v>
      </c>
      <c r="E43" t="s">
        <v>3205</v>
      </c>
      <c r="F43" t="s">
        <v>3206</v>
      </c>
      <c r="G43" t="s">
        <v>3050</v>
      </c>
      <c r="H43" t="s">
        <v>3207</v>
      </c>
      <c r="I43" t="s">
        <v>3208</v>
      </c>
      <c r="K43" t="s">
        <v>3209</v>
      </c>
      <c r="L43" t="s">
        <v>3209</v>
      </c>
      <c r="M43" t="s">
        <v>3210</v>
      </c>
      <c r="N43" t="s">
        <v>3211</v>
      </c>
      <c r="O43" t="s">
        <v>3212</v>
      </c>
      <c r="P43" t="s">
        <v>2856</v>
      </c>
      <c r="R43" t="b">
        <v>0</v>
      </c>
      <c r="S43" t="s">
        <v>2812</v>
      </c>
    </row>
    <row r="44" spans="1:19" ht="11.25" customHeight="1">
      <c r="A44">
        <v>2655</v>
      </c>
      <c r="B44" t="s">
        <v>87</v>
      </c>
      <c r="C44">
        <v>31527562</v>
      </c>
      <c r="D44" t="s">
        <v>3213</v>
      </c>
      <c r="E44" t="s">
        <v>3214</v>
      </c>
      <c r="F44" t="s">
        <v>3215</v>
      </c>
      <c r="G44" t="s">
        <v>3216</v>
      </c>
      <c r="H44" t="s">
        <v>3217</v>
      </c>
      <c r="I44" t="s">
        <v>3218</v>
      </c>
      <c r="K44" t="s">
        <v>3219</v>
      </c>
      <c r="L44" t="s">
        <v>3220</v>
      </c>
      <c r="O44" t="s">
        <v>3221</v>
      </c>
      <c r="R44" t="b">
        <v>0</v>
      </c>
      <c r="S44" t="s">
        <v>2812</v>
      </c>
    </row>
    <row r="45" spans="1:19" ht="11.25" customHeight="1">
      <c r="A45">
        <v>2655</v>
      </c>
      <c r="B45" t="s">
        <v>87</v>
      </c>
      <c r="C45">
        <v>30854705</v>
      </c>
      <c r="D45" t="s">
        <v>3222</v>
      </c>
      <c r="E45" t="s">
        <v>3223</v>
      </c>
      <c r="F45" t="s">
        <v>3224</v>
      </c>
      <c r="G45" t="s">
        <v>2861</v>
      </c>
      <c r="H45" t="s">
        <v>3225</v>
      </c>
      <c r="I45" t="s">
        <v>3226</v>
      </c>
      <c r="J45" t="s">
        <v>3128</v>
      </c>
      <c r="K45" t="s">
        <v>3227</v>
      </c>
      <c r="L45" t="s">
        <v>3227</v>
      </c>
      <c r="M45" t="s">
        <v>3228</v>
      </c>
      <c r="N45" t="s">
        <v>3229</v>
      </c>
      <c r="O45" t="s">
        <v>3230</v>
      </c>
      <c r="P45" t="s">
        <v>2856</v>
      </c>
      <c r="Q45" t="s">
        <v>138</v>
      </c>
      <c r="R45" t="b">
        <v>0</v>
      </c>
      <c r="S45" t="s">
        <v>2812</v>
      </c>
    </row>
    <row r="46" spans="1:19" ht="11.25" customHeight="1">
      <c r="A46">
        <v>2655</v>
      </c>
      <c r="B46" t="s">
        <v>87</v>
      </c>
      <c r="C46">
        <v>31656254</v>
      </c>
      <c r="D46" t="s">
        <v>3231</v>
      </c>
      <c r="E46" t="s">
        <v>3232</v>
      </c>
      <c r="F46" t="s">
        <v>3233</v>
      </c>
      <c r="G46" t="s">
        <v>3234</v>
      </c>
      <c r="H46" t="s">
        <v>3235</v>
      </c>
      <c r="I46" t="s">
        <v>3236</v>
      </c>
      <c r="K46" t="s">
        <v>3237</v>
      </c>
      <c r="L46" t="s">
        <v>3238</v>
      </c>
      <c r="M46" t="s">
        <v>3239</v>
      </c>
      <c r="N46" t="s">
        <v>3240</v>
      </c>
      <c r="O46" t="s">
        <v>3241</v>
      </c>
      <c r="P46" t="s">
        <v>2946</v>
      </c>
      <c r="Q46" t="s">
        <v>3242</v>
      </c>
      <c r="R46" t="b">
        <v>0</v>
      </c>
      <c r="S46" t="s">
        <v>2812</v>
      </c>
    </row>
    <row r="47" spans="1:19" ht="11.25" customHeight="1">
      <c r="A47">
        <v>2655</v>
      </c>
      <c r="B47" t="s">
        <v>87</v>
      </c>
      <c r="C47">
        <v>31424033</v>
      </c>
      <c r="D47" t="s">
        <v>3243</v>
      </c>
      <c r="E47" t="s">
        <v>3244</v>
      </c>
      <c r="F47" t="s">
        <v>3245</v>
      </c>
      <c r="G47" t="s">
        <v>3246</v>
      </c>
      <c r="H47" t="s">
        <v>3247</v>
      </c>
      <c r="J47" t="s">
        <v>3128</v>
      </c>
      <c r="R47" t="b">
        <v>0</v>
      </c>
      <c r="S47" t="s">
        <v>2812</v>
      </c>
    </row>
    <row r="48" spans="1:19" ht="11.25" customHeight="1">
      <c r="A48">
        <v>2655</v>
      </c>
      <c r="B48" t="s">
        <v>87</v>
      </c>
      <c r="C48">
        <v>26428026</v>
      </c>
      <c r="D48" t="s">
        <v>3248</v>
      </c>
      <c r="E48" t="s">
        <v>3249</v>
      </c>
      <c r="F48" t="s">
        <v>3250</v>
      </c>
      <c r="G48" t="s">
        <v>3251</v>
      </c>
      <c r="H48" t="s">
        <v>3252</v>
      </c>
      <c r="K48" t="s">
        <v>3253</v>
      </c>
      <c r="L48" t="s">
        <v>3253</v>
      </c>
      <c r="M48" t="s">
        <v>3254</v>
      </c>
      <c r="N48" t="s">
        <v>3255</v>
      </c>
      <c r="O48" t="s">
        <v>3256</v>
      </c>
      <c r="P48" t="s">
        <v>2946</v>
      </c>
      <c r="R48" t="b">
        <v>1</v>
      </c>
      <c r="S48" t="s">
        <v>2812</v>
      </c>
    </row>
    <row r="49" spans="1:19" ht="11.25" customHeight="1">
      <c r="A49">
        <v>2655</v>
      </c>
      <c r="B49" t="s">
        <v>87</v>
      </c>
      <c r="C49">
        <v>28151808</v>
      </c>
      <c r="D49" t="s">
        <v>3257</v>
      </c>
      <c r="E49" t="s">
        <v>3258</v>
      </c>
      <c r="F49" t="s">
        <v>3259</v>
      </c>
      <c r="G49" t="s">
        <v>2849</v>
      </c>
      <c r="H49" t="s">
        <v>3260</v>
      </c>
      <c r="I49" t="s">
        <v>3261</v>
      </c>
      <c r="J49" t="s">
        <v>3128</v>
      </c>
      <c r="K49" t="s">
        <v>3262</v>
      </c>
      <c r="L49" t="s">
        <v>3263</v>
      </c>
      <c r="M49" t="s">
        <v>3264</v>
      </c>
      <c r="N49" t="s">
        <v>3265</v>
      </c>
      <c r="O49" t="s">
        <v>3266</v>
      </c>
      <c r="P49" t="s">
        <v>2856</v>
      </c>
      <c r="R49" t="b">
        <v>1</v>
      </c>
      <c r="S49" t="s">
        <v>2812</v>
      </c>
    </row>
    <row r="50" spans="1:19" ht="11.25" customHeight="1">
      <c r="A50">
        <v>2655</v>
      </c>
      <c r="B50" t="s">
        <v>87</v>
      </c>
      <c r="C50">
        <v>31541617</v>
      </c>
      <c r="D50" t="s">
        <v>3267</v>
      </c>
      <c r="E50" t="s">
        <v>3268</v>
      </c>
      <c r="F50" t="s">
        <v>3269</v>
      </c>
      <c r="G50" t="s">
        <v>3270</v>
      </c>
      <c r="H50" t="s">
        <v>3271</v>
      </c>
      <c r="I50" t="s">
        <v>3272</v>
      </c>
      <c r="K50" t="s">
        <v>3273</v>
      </c>
      <c r="L50" t="s">
        <v>3273</v>
      </c>
      <c r="M50" t="s">
        <v>3274</v>
      </c>
      <c r="N50" t="s">
        <v>3275</v>
      </c>
      <c r="O50" t="s">
        <v>3276</v>
      </c>
      <c r="P50" t="s">
        <v>2968</v>
      </c>
      <c r="R50" t="b">
        <v>1</v>
      </c>
      <c r="S50" t="s">
        <v>2812</v>
      </c>
    </row>
    <row r="51" spans="1:19" ht="11.25" customHeight="1">
      <c r="A51">
        <v>2655</v>
      </c>
      <c r="B51" t="s">
        <v>87</v>
      </c>
      <c r="C51">
        <v>26356987</v>
      </c>
      <c r="D51" t="s">
        <v>3277</v>
      </c>
      <c r="E51" t="s">
        <v>3278</v>
      </c>
      <c r="F51" t="s">
        <v>3279</v>
      </c>
      <c r="G51" t="s">
        <v>3280</v>
      </c>
      <c r="H51" t="s">
        <v>3281</v>
      </c>
      <c r="I51" t="s">
        <v>3282</v>
      </c>
      <c r="J51" t="s">
        <v>3128</v>
      </c>
      <c r="K51" t="s">
        <v>3283</v>
      </c>
      <c r="L51" t="s">
        <v>3283</v>
      </c>
      <c r="M51" t="s">
        <v>3284</v>
      </c>
      <c r="N51" t="s">
        <v>3285</v>
      </c>
      <c r="O51" t="s">
        <v>3286</v>
      </c>
      <c r="P51" t="s">
        <v>2968</v>
      </c>
      <c r="Q51" t="s">
        <v>3287</v>
      </c>
      <c r="R51" t="b">
        <v>1</v>
      </c>
      <c r="S51" t="s">
        <v>2812</v>
      </c>
    </row>
    <row r="52" spans="1:19" ht="11.25" customHeight="1">
      <c r="A52">
        <v>2655</v>
      </c>
      <c r="B52" t="s">
        <v>87</v>
      </c>
      <c r="C52">
        <v>26356891</v>
      </c>
      <c r="D52" t="s">
        <v>3288</v>
      </c>
      <c r="E52" t="s">
        <v>3289</v>
      </c>
      <c r="F52" t="s">
        <v>3290</v>
      </c>
      <c r="G52" t="s">
        <v>3050</v>
      </c>
      <c r="H52" t="s">
        <v>3291</v>
      </c>
      <c r="I52" t="s">
        <v>3292</v>
      </c>
      <c r="J52" t="s">
        <v>3128</v>
      </c>
      <c r="K52" t="s">
        <v>3293</v>
      </c>
      <c r="L52" t="s">
        <v>3293</v>
      </c>
      <c r="M52" t="s">
        <v>3294</v>
      </c>
      <c r="N52" t="s">
        <v>3295</v>
      </c>
      <c r="O52" t="s">
        <v>3296</v>
      </c>
      <c r="P52" t="s">
        <v>2946</v>
      </c>
      <c r="R52" t="b">
        <v>0</v>
      </c>
      <c r="S52" t="s">
        <v>2812</v>
      </c>
    </row>
    <row r="53" spans="1:19" ht="11.25" customHeight="1">
      <c r="A53">
        <v>2655</v>
      </c>
      <c r="B53" t="s">
        <v>87</v>
      </c>
      <c r="C53">
        <v>31241637</v>
      </c>
      <c r="D53" t="s">
        <v>3297</v>
      </c>
      <c r="E53" t="s">
        <v>3298</v>
      </c>
      <c r="F53" t="s">
        <v>3299</v>
      </c>
      <c r="G53" t="s">
        <v>3077</v>
      </c>
      <c r="H53" t="s">
        <v>3300</v>
      </c>
      <c r="I53" t="s">
        <v>3301</v>
      </c>
      <c r="J53" t="s">
        <v>3128</v>
      </c>
      <c r="K53" t="s">
        <v>3302</v>
      </c>
      <c r="L53" t="s">
        <v>3302</v>
      </c>
      <c r="M53" t="s">
        <v>3303</v>
      </c>
      <c r="O53" t="s">
        <v>3304</v>
      </c>
      <c r="P53" t="s">
        <v>2968</v>
      </c>
      <c r="R53" t="b">
        <v>0</v>
      </c>
      <c r="S53" t="s">
        <v>2812</v>
      </c>
    </row>
    <row r="54" spans="1:19" ht="11.25" customHeight="1">
      <c r="A54">
        <v>2655</v>
      </c>
      <c r="B54" t="s">
        <v>87</v>
      </c>
      <c r="C54">
        <v>26356937</v>
      </c>
      <c r="D54" t="s">
        <v>3305</v>
      </c>
      <c r="E54" t="s">
        <v>3306</v>
      </c>
      <c r="F54" t="s">
        <v>3307</v>
      </c>
      <c r="G54" t="s">
        <v>109</v>
      </c>
      <c r="H54" t="s">
        <v>3308</v>
      </c>
      <c r="I54" t="s">
        <v>3309</v>
      </c>
      <c r="J54" t="s">
        <v>3128</v>
      </c>
      <c r="K54" t="s">
        <v>3310</v>
      </c>
      <c r="L54" t="s">
        <v>3310</v>
      </c>
      <c r="M54" t="s">
        <v>3311</v>
      </c>
      <c r="N54" t="s">
        <v>3312</v>
      </c>
      <c r="O54" t="s">
        <v>3313</v>
      </c>
      <c r="P54" t="s">
        <v>2968</v>
      </c>
      <c r="Q54" t="s">
        <v>3314</v>
      </c>
      <c r="R54" t="b">
        <v>0</v>
      </c>
      <c r="S54" t="s">
        <v>2812</v>
      </c>
    </row>
    <row r="55" spans="1:19" ht="11.25" customHeight="1">
      <c r="A55">
        <v>2655</v>
      </c>
      <c r="B55" t="s">
        <v>87</v>
      </c>
      <c r="C55">
        <v>31770754</v>
      </c>
      <c r="D55" t="s">
        <v>3315</v>
      </c>
      <c r="E55" t="s">
        <v>3316</v>
      </c>
      <c r="F55" t="s">
        <v>3317</v>
      </c>
      <c r="G55" t="s">
        <v>3318</v>
      </c>
      <c r="H55" t="s">
        <v>3319</v>
      </c>
      <c r="I55" t="s">
        <v>3320</v>
      </c>
      <c r="K55" t="s">
        <v>3321</v>
      </c>
      <c r="L55" t="s">
        <v>3322</v>
      </c>
      <c r="M55" t="s">
        <v>3323</v>
      </c>
      <c r="N55" t="s">
        <v>3324</v>
      </c>
      <c r="O55" t="s">
        <v>3325</v>
      </c>
      <c r="P55" t="s">
        <v>2946</v>
      </c>
      <c r="Q55" t="s">
        <v>162</v>
      </c>
      <c r="R55" t="b">
        <v>1</v>
      </c>
      <c r="S55" t="s">
        <v>2812</v>
      </c>
    </row>
    <row r="56" spans="1:19" ht="11.25" customHeight="1">
      <c r="A56">
        <v>2655</v>
      </c>
      <c r="B56" t="s">
        <v>87</v>
      </c>
      <c r="C56">
        <v>31528492</v>
      </c>
      <c r="D56" t="s">
        <v>3326</v>
      </c>
      <c r="E56" t="s">
        <v>3327</v>
      </c>
      <c r="F56" t="s">
        <v>3328</v>
      </c>
      <c r="G56" t="s">
        <v>3077</v>
      </c>
      <c r="H56" t="s">
        <v>3329</v>
      </c>
      <c r="I56" t="s">
        <v>3330</v>
      </c>
      <c r="K56" t="s">
        <v>3331</v>
      </c>
      <c r="L56" t="s">
        <v>3331</v>
      </c>
      <c r="M56" t="s">
        <v>3332</v>
      </c>
      <c r="N56" t="s">
        <v>3333</v>
      </c>
      <c r="O56" t="s">
        <v>3334</v>
      </c>
      <c r="P56" t="s">
        <v>3203</v>
      </c>
      <c r="R56" t="b">
        <v>0</v>
      </c>
      <c r="S56" t="s">
        <v>2812</v>
      </c>
    </row>
    <row r="57" spans="1:19" ht="11.25" customHeight="1">
      <c r="A57">
        <v>2655</v>
      </c>
      <c r="B57" t="s">
        <v>87</v>
      </c>
      <c r="C57">
        <v>28270293</v>
      </c>
      <c r="D57" t="s">
        <v>3335</v>
      </c>
      <c r="E57" t="s">
        <v>3336</v>
      </c>
      <c r="F57" t="s">
        <v>3337</v>
      </c>
      <c r="G57" t="s">
        <v>3050</v>
      </c>
      <c r="H57" t="s">
        <v>3338</v>
      </c>
      <c r="I57" t="s">
        <v>3339</v>
      </c>
      <c r="J57" t="s">
        <v>3128</v>
      </c>
      <c r="K57" t="s">
        <v>3340</v>
      </c>
      <c r="L57" t="s">
        <v>3340</v>
      </c>
      <c r="M57" t="s">
        <v>3341</v>
      </c>
      <c r="N57" t="s">
        <v>3342</v>
      </c>
      <c r="O57" t="s">
        <v>3343</v>
      </c>
      <c r="P57" t="s">
        <v>2856</v>
      </c>
      <c r="R57" t="b">
        <v>0</v>
      </c>
      <c r="S57" t="s">
        <v>2812</v>
      </c>
    </row>
    <row r="58" spans="1:19" ht="11.25" customHeight="1">
      <c r="A58">
        <v>2655</v>
      </c>
      <c r="B58" t="s">
        <v>87</v>
      </c>
      <c r="C58">
        <v>28873362</v>
      </c>
      <c r="D58" t="s">
        <v>3344</v>
      </c>
      <c r="E58" t="s">
        <v>3345</v>
      </c>
      <c r="F58" t="s">
        <v>3346</v>
      </c>
      <c r="G58" t="s">
        <v>2828</v>
      </c>
      <c r="H58" t="s">
        <v>3347</v>
      </c>
      <c r="I58" t="s">
        <v>3348</v>
      </c>
      <c r="J58" t="s">
        <v>3128</v>
      </c>
      <c r="K58" t="s">
        <v>3349</v>
      </c>
      <c r="L58" t="s">
        <v>3349</v>
      </c>
      <c r="M58" t="s">
        <v>3350</v>
      </c>
      <c r="N58" t="s">
        <v>3351</v>
      </c>
      <c r="O58" t="s">
        <v>3352</v>
      </c>
      <c r="P58" t="s">
        <v>2946</v>
      </c>
      <c r="Q58" t="s">
        <v>3353</v>
      </c>
      <c r="R58" t="b">
        <v>0</v>
      </c>
      <c r="S58" t="s">
        <v>2812</v>
      </c>
    </row>
    <row r="59" spans="1:19" ht="11.25" customHeight="1">
      <c r="A59">
        <v>2655</v>
      </c>
      <c r="B59" t="s">
        <v>87</v>
      </c>
      <c r="C59">
        <v>28976681</v>
      </c>
      <c r="D59" t="s">
        <v>3354</v>
      </c>
      <c r="E59" t="s">
        <v>3355</v>
      </c>
      <c r="F59" t="s">
        <v>3356</v>
      </c>
      <c r="G59" t="s">
        <v>3050</v>
      </c>
      <c r="H59" t="s">
        <v>3357</v>
      </c>
      <c r="I59" t="s">
        <v>3358</v>
      </c>
      <c r="J59" t="s">
        <v>3128</v>
      </c>
      <c r="K59" t="s">
        <v>3359</v>
      </c>
      <c r="L59" t="s">
        <v>3359</v>
      </c>
      <c r="M59" t="s">
        <v>3360</v>
      </c>
      <c r="O59" t="s">
        <v>3361</v>
      </c>
      <c r="P59" t="s">
        <v>2946</v>
      </c>
      <c r="R59" t="b">
        <v>1</v>
      </c>
      <c r="S59" t="s">
        <v>2812</v>
      </c>
    </row>
    <row r="60" spans="1:19" ht="11.25" customHeight="1">
      <c r="A60">
        <v>2655</v>
      </c>
      <c r="B60" t="s">
        <v>87</v>
      </c>
      <c r="C60">
        <v>30992391</v>
      </c>
      <c r="D60" t="s">
        <v>3362</v>
      </c>
      <c r="E60" t="s">
        <v>3363</v>
      </c>
      <c r="F60" t="s">
        <v>3364</v>
      </c>
      <c r="G60" t="s">
        <v>2938</v>
      </c>
      <c r="H60" t="s">
        <v>3365</v>
      </c>
      <c r="I60" t="s">
        <v>3366</v>
      </c>
      <c r="J60" t="s">
        <v>3128</v>
      </c>
      <c r="K60" t="s">
        <v>3367</v>
      </c>
      <c r="L60" t="s">
        <v>3368</v>
      </c>
      <c r="M60" t="s">
        <v>3369</v>
      </c>
      <c r="N60" t="s">
        <v>3370</v>
      </c>
      <c r="O60" t="s">
        <v>3371</v>
      </c>
      <c r="P60" t="s">
        <v>2946</v>
      </c>
      <c r="Q60" t="s">
        <v>3372</v>
      </c>
      <c r="R60" t="b">
        <v>0</v>
      </c>
      <c r="S60" t="s">
        <v>2812</v>
      </c>
    </row>
    <row r="61" spans="1:19" ht="11.25" customHeight="1">
      <c r="A61">
        <v>2655</v>
      </c>
      <c r="B61" t="s">
        <v>87</v>
      </c>
      <c r="C61">
        <v>30808511</v>
      </c>
      <c r="D61" t="s">
        <v>3373</v>
      </c>
      <c r="E61" t="s">
        <v>3373</v>
      </c>
      <c r="F61" t="s">
        <v>3374</v>
      </c>
      <c r="G61" t="s">
        <v>3375</v>
      </c>
      <c r="H61" t="s">
        <v>3376</v>
      </c>
      <c r="I61" t="s">
        <v>3377</v>
      </c>
      <c r="J61" t="s">
        <v>3378</v>
      </c>
      <c r="K61" t="s">
        <v>3379</v>
      </c>
      <c r="L61" t="s">
        <v>3379</v>
      </c>
      <c r="M61" t="s">
        <v>3380</v>
      </c>
      <c r="O61" t="s">
        <v>3381</v>
      </c>
      <c r="P61" t="s">
        <v>2946</v>
      </c>
      <c r="Q61" t="s">
        <v>3382</v>
      </c>
      <c r="R61" t="b">
        <v>0</v>
      </c>
      <c r="S61" t="s">
        <v>2812</v>
      </c>
    </row>
    <row r="62" spans="1:19" ht="11.25" customHeight="1">
      <c r="A62">
        <v>2655</v>
      </c>
      <c r="B62" t="s">
        <v>87</v>
      </c>
      <c r="C62">
        <v>26987067</v>
      </c>
      <c r="D62" t="s">
        <v>3383</v>
      </c>
      <c r="F62" t="s">
        <v>3374</v>
      </c>
      <c r="G62" t="s">
        <v>3384</v>
      </c>
      <c r="H62" t="s">
        <v>3376</v>
      </c>
      <c r="J62" t="s">
        <v>2896</v>
      </c>
      <c r="K62" t="s">
        <v>3385</v>
      </c>
      <c r="L62" t="s">
        <v>3386</v>
      </c>
      <c r="R62" t="b">
        <v>0</v>
      </c>
      <c r="S62" t="s">
        <v>2812</v>
      </c>
    </row>
    <row r="63" spans="1:19" ht="11.25" customHeight="1">
      <c r="A63">
        <v>2655</v>
      </c>
      <c r="B63" t="s">
        <v>87</v>
      </c>
      <c r="C63">
        <v>26520873</v>
      </c>
      <c r="D63" t="s">
        <v>3387</v>
      </c>
      <c r="E63" t="s">
        <v>3388</v>
      </c>
      <c r="F63" t="s">
        <v>3374</v>
      </c>
      <c r="G63" t="s">
        <v>3389</v>
      </c>
      <c r="H63" t="s">
        <v>3376</v>
      </c>
      <c r="I63" t="s">
        <v>3390</v>
      </c>
      <c r="J63" t="s">
        <v>3378</v>
      </c>
      <c r="K63" t="s">
        <v>3391</v>
      </c>
      <c r="L63" t="s">
        <v>3392</v>
      </c>
      <c r="M63" t="s">
        <v>3393</v>
      </c>
      <c r="N63" t="s">
        <v>3394</v>
      </c>
      <c r="O63" t="s">
        <v>3395</v>
      </c>
      <c r="P63" t="s">
        <v>2946</v>
      </c>
      <c r="Q63" t="s">
        <v>3396</v>
      </c>
      <c r="R63" t="b">
        <v>0</v>
      </c>
      <c r="S63" t="s">
        <v>2812</v>
      </c>
    </row>
    <row r="64" spans="1:19" ht="11.25" customHeight="1">
      <c r="A64">
        <v>2655</v>
      </c>
      <c r="B64" t="s">
        <v>87</v>
      </c>
      <c r="C64">
        <v>30984255</v>
      </c>
      <c r="D64" t="s">
        <v>3397</v>
      </c>
      <c r="E64" t="s">
        <v>3398</v>
      </c>
      <c r="F64" t="s">
        <v>3399</v>
      </c>
      <c r="G64" t="s">
        <v>2849</v>
      </c>
      <c r="H64" t="s">
        <v>3400</v>
      </c>
      <c r="I64" t="s">
        <v>3401</v>
      </c>
      <c r="J64" t="s">
        <v>3402</v>
      </c>
      <c r="K64" t="s">
        <v>3403</v>
      </c>
      <c r="L64" t="s">
        <v>3403</v>
      </c>
      <c r="M64" t="s">
        <v>3404</v>
      </c>
      <c r="N64" t="s">
        <v>3405</v>
      </c>
      <c r="O64" t="s">
        <v>3406</v>
      </c>
      <c r="P64" t="s">
        <v>3407</v>
      </c>
      <c r="R64" t="b">
        <v>0</v>
      </c>
      <c r="S64" t="s">
        <v>2812</v>
      </c>
    </row>
    <row r="65" spans="1:19" ht="11.25" customHeight="1">
      <c r="A65">
        <v>2655</v>
      </c>
      <c r="B65" t="s">
        <v>87</v>
      </c>
      <c r="C65">
        <v>28976938</v>
      </c>
      <c r="D65" t="s">
        <v>2799</v>
      </c>
      <c r="E65" t="s">
        <v>2800</v>
      </c>
      <c r="F65" t="s">
        <v>2801</v>
      </c>
      <c r="G65" t="s">
        <v>2802</v>
      </c>
      <c r="H65" t="s">
        <v>2803</v>
      </c>
      <c r="I65" t="s">
        <v>2804</v>
      </c>
      <c r="J65" t="s">
        <v>114</v>
      </c>
      <c r="K65" t="s">
        <v>2805</v>
      </c>
      <c r="L65" t="s">
        <v>2806</v>
      </c>
      <c r="M65" t="s">
        <v>2807</v>
      </c>
      <c r="N65" t="s">
        <v>2808</v>
      </c>
      <c r="O65" t="s">
        <v>2809</v>
      </c>
      <c r="P65" t="s">
        <v>2810</v>
      </c>
      <c r="Q65" t="s">
        <v>2811</v>
      </c>
      <c r="R65" t="b">
        <v>0</v>
      </c>
      <c r="S65" t="s">
        <v>3408</v>
      </c>
    </row>
    <row r="66" spans="1:19" ht="11.25" customHeight="1">
      <c r="A66">
        <v>2655</v>
      </c>
      <c r="B66" t="s">
        <v>87</v>
      </c>
      <c r="C66">
        <v>26356953</v>
      </c>
      <c r="D66" t="s">
        <v>2813</v>
      </c>
      <c r="E66" t="s">
        <v>2814</v>
      </c>
      <c r="F66" t="s">
        <v>2815</v>
      </c>
      <c r="G66" t="s">
        <v>2816</v>
      </c>
      <c r="H66" t="s">
        <v>2817</v>
      </c>
      <c r="I66" t="s">
        <v>2818</v>
      </c>
      <c r="J66" t="s">
        <v>114</v>
      </c>
      <c r="K66" t="s">
        <v>2819</v>
      </c>
      <c r="L66" t="s">
        <v>2819</v>
      </c>
      <c r="M66" t="s">
        <v>2820</v>
      </c>
      <c r="N66" t="s">
        <v>2821</v>
      </c>
      <c r="O66" t="s">
        <v>2822</v>
      </c>
      <c r="P66" t="s">
        <v>2823</v>
      </c>
      <c r="Q66" t="s">
        <v>2824</v>
      </c>
      <c r="R66" t="b">
        <v>0</v>
      </c>
      <c r="S66" t="s">
        <v>3408</v>
      </c>
    </row>
    <row r="67" spans="1:19" ht="11.25" customHeight="1">
      <c r="A67">
        <v>2655</v>
      </c>
      <c r="B67" t="s">
        <v>87</v>
      </c>
      <c r="C67">
        <v>26356915</v>
      </c>
      <c r="D67" t="s">
        <v>3409</v>
      </c>
      <c r="E67" t="s">
        <v>3410</v>
      </c>
      <c r="F67" t="s">
        <v>3411</v>
      </c>
      <c r="G67" t="s">
        <v>3039</v>
      </c>
      <c r="H67" t="s">
        <v>3412</v>
      </c>
      <c r="I67" t="s">
        <v>3413</v>
      </c>
      <c r="J67" t="s">
        <v>114</v>
      </c>
      <c r="K67" t="s">
        <v>3414</v>
      </c>
      <c r="L67" t="s">
        <v>3414</v>
      </c>
      <c r="M67" t="s">
        <v>3415</v>
      </c>
      <c r="N67" t="s">
        <v>3416</v>
      </c>
      <c r="O67" t="s">
        <v>3417</v>
      </c>
      <c r="P67" t="s">
        <v>2856</v>
      </c>
      <c r="Q67" t="s">
        <v>138</v>
      </c>
      <c r="R67" t="b">
        <v>0</v>
      </c>
      <c r="S67" t="s">
        <v>3408</v>
      </c>
    </row>
    <row r="68" spans="1:19" ht="11.25" customHeight="1">
      <c r="A68">
        <v>2655</v>
      </c>
      <c r="B68" t="s">
        <v>87</v>
      </c>
      <c r="C68">
        <v>27857950</v>
      </c>
      <c r="D68" t="s">
        <v>3418</v>
      </c>
      <c r="E68" t="s">
        <v>3419</v>
      </c>
      <c r="F68" t="s">
        <v>3420</v>
      </c>
      <c r="G68" t="s">
        <v>3280</v>
      </c>
      <c r="H68" t="s">
        <v>3421</v>
      </c>
      <c r="J68" t="s">
        <v>114</v>
      </c>
      <c r="K68" t="s">
        <v>3422</v>
      </c>
      <c r="L68" t="s">
        <v>3422</v>
      </c>
      <c r="M68" t="s">
        <v>3423</v>
      </c>
      <c r="N68" t="s">
        <v>3424</v>
      </c>
      <c r="O68" t="s">
        <v>3425</v>
      </c>
      <c r="P68" t="s">
        <v>2968</v>
      </c>
      <c r="R68" t="b">
        <v>1</v>
      </c>
      <c r="S68" t="s">
        <v>3408</v>
      </c>
    </row>
    <row r="69" spans="1:19" ht="11.25" customHeight="1">
      <c r="A69">
        <v>2655</v>
      </c>
      <c r="B69" t="s">
        <v>87</v>
      </c>
      <c r="C69">
        <v>26356963</v>
      </c>
      <c r="D69" t="s">
        <v>2858</v>
      </c>
      <c r="E69" t="s">
        <v>2859</v>
      </c>
      <c r="F69" t="s">
        <v>2860</v>
      </c>
      <c r="G69" t="s">
        <v>2861</v>
      </c>
      <c r="H69" t="s">
        <v>2862</v>
      </c>
      <c r="J69" t="s">
        <v>114</v>
      </c>
      <c r="K69" t="s">
        <v>2863</v>
      </c>
      <c r="L69" t="s">
        <v>2863</v>
      </c>
      <c r="M69" t="s">
        <v>2864</v>
      </c>
      <c r="N69" t="s">
        <v>2865</v>
      </c>
      <c r="O69" t="s">
        <v>2866</v>
      </c>
      <c r="P69" t="s">
        <v>2867</v>
      </c>
      <c r="R69" t="b">
        <v>0</v>
      </c>
      <c r="S69" t="s">
        <v>3408</v>
      </c>
    </row>
    <row r="70" spans="1:19" ht="11.25" customHeight="1">
      <c r="A70">
        <v>2655</v>
      </c>
      <c r="B70" t="s">
        <v>87</v>
      </c>
      <c r="C70">
        <v>26322889</v>
      </c>
      <c r="D70" t="s">
        <v>2868</v>
      </c>
      <c r="E70" t="s">
        <v>2869</v>
      </c>
      <c r="F70" t="s">
        <v>2870</v>
      </c>
      <c r="G70" t="s">
        <v>2871</v>
      </c>
      <c r="H70" t="s">
        <v>2872</v>
      </c>
      <c r="I70" t="s">
        <v>2873</v>
      </c>
      <c r="J70" t="s">
        <v>114</v>
      </c>
      <c r="K70" t="s">
        <v>2874</v>
      </c>
      <c r="L70" t="s">
        <v>2875</v>
      </c>
      <c r="M70" t="s">
        <v>2876</v>
      </c>
      <c r="N70" t="s">
        <v>2877</v>
      </c>
      <c r="O70" t="s">
        <v>2878</v>
      </c>
      <c r="P70" t="s">
        <v>2823</v>
      </c>
      <c r="Q70" t="s">
        <v>2879</v>
      </c>
      <c r="R70" t="b">
        <v>0</v>
      </c>
      <c r="S70" t="s">
        <v>3408</v>
      </c>
    </row>
    <row r="71" spans="1:19" ht="11.25" customHeight="1">
      <c r="A71">
        <v>2655</v>
      </c>
      <c r="B71" t="s">
        <v>87</v>
      </c>
      <c r="C71">
        <v>27820148</v>
      </c>
      <c r="D71" t="s">
        <v>97</v>
      </c>
      <c r="E71" t="s">
        <v>100</v>
      </c>
      <c r="F71" t="s">
        <v>107</v>
      </c>
      <c r="G71" t="s">
        <v>109</v>
      </c>
      <c r="H71" t="s">
        <v>105</v>
      </c>
      <c r="I71" t="s">
        <v>111</v>
      </c>
      <c r="J71" t="s">
        <v>114</v>
      </c>
      <c r="K71" t="s">
        <v>117</v>
      </c>
      <c r="L71" t="s">
        <v>117</v>
      </c>
      <c r="M71" t="s">
        <v>3426</v>
      </c>
      <c r="N71" t="s">
        <v>125</v>
      </c>
      <c r="O71" t="s">
        <v>3427</v>
      </c>
      <c r="P71" t="s">
        <v>3428</v>
      </c>
      <c r="Q71" t="s">
        <v>134</v>
      </c>
      <c r="R71" t="b">
        <v>0</v>
      </c>
      <c r="S71" t="s">
        <v>3408</v>
      </c>
    </row>
    <row r="72" spans="1:19" ht="11.25" customHeight="1">
      <c r="A72">
        <v>2655</v>
      </c>
      <c r="B72" t="s">
        <v>87</v>
      </c>
      <c r="C72">
        <v>26322867</v>
      </c>
      <c r="D72" t="s">
        <v>2910</v>
      </c>
      <c r="E72" t="s">
        <v>2911</v>
      </c>
      <c r="F72" t="s">
        <v>2912</v>
      </c>
      <c r="G72" t="s">
        <v>2871</v>
      </c>
      <c r="H72" t="s">
        <v>2913</v>
      </c>
      <c r="I72" t="s">
        <v>2914</v>
      </c>
      <c r="J72" t="s">
        <v>114</v>
      </c>
      <c r="K72" t="s">
        <v>2915</v>
      </c>
      <c r="L72" t="s">
        <v>2915</v>
      </c>
      <c r="M72" t="s">
        <v>2916</v>
      </c>
      <c r="N72" t="s">
        <v>2917</v>
      </c>
      <c r="O72" t="s">
        <v>2918</v>
      </c>
      <c r="P72" t="s">
        <v>2856</v>
      </c>
      <c r="Q72" t="s">
        <v>2919</v>
      </c>
      <c r="R72" t="b">
        <v>0</v>
      </c>
      <c r="S72" t="s">
        <v>3408</v>
      </c>
    </row>
    <row r="73" spans="1:19" ht="11.25" customHeight="1">
      <c r="A73">
        <v>2655</v>
      </c>
      <c r="B73" t="s">
        <v>87</v>
      </c>
      <c r="C73">
        <v>26824396</v>
      </c>
      <c r="D73" t="s">
        <v>2929</v>
      </c>
      <c r="E73" t="s">
        <v>2930</v>
      </c>
      <c r="F73" t="s">
        <v>2903</v>
      </c>
      <c r="G73" t="s">
        <v>2931</v>
      </c>
      <c r="H73" t="s">
        <v>2904</v>
      </c>
      <c r="J73" t="s">
        <v>2896</v>
      </c>
      <c r="K73" t="s">
        <v>2932</v>
      </c>
      <c r="L73" t="s">
        <v>2932</v>
      </c>
      <c r="M73" t="s">
        <v>2933</v>
      </c>
      <c r="O73" t="s">
        <v>2934</v>
      </c>
      <c r="P73" t="s">
        <v>2928</v>
      </c>
      <c r="R73" t="b">
        <v>0</v>
      </c>
      <c r="S73" t="s">
        <v>3408</v>
      </c>
    </row>
    <row r="74" spans="1:19" ht="11.25" customHeight="1">
      <c r="A74">
        <v>2655</v>
      </c>
      <c r="B74" t="s">
        <v>87</v>
      </c>
      <c r="C74">
        <v>30365193</v>
      </c>
      <c r="D74" t="s">
        <v>3429</v>
      </c>
      <c r="E74" t="s">
        <v>3430</v>
      </c>
      <c r="F74" t="s">
        <v>3431</v>
      </c>
      <c r="G74" t="s">
        <v>2828</v>
      </c>
      <c r="H74" t="s">
        <v>3432</v>
      </c>
      <c r="J74" t="s">
        <v>3433</v>
      </c>
      <c r="K74" t="s">
        <v>3434</v>
      </c>
      <c r="L74" t="s">
        <v>3434</v>
      </c>
      <c r="O74" t="s">
        <v>3435</v>
      </c>
      <c r="P74" t="s">
        <v>3436</v>
      </c>
      <c r="R74" t="b">
        <v>0</v>
      </c>
      <c r="S74" t="s">
        <v>3408</v>
      </c>
    </row>
    <row r="75" spans="1:19" ht="11.25" customHeight="1">
      <c r="A75">
        <v>2655</v>
      </c>
      <c r="B75" t="s">
        <v>87</v>
      </c>
      <c r="C75">
        <v>31232672</v>
      </c>
      <c r="D75" t="s">
        <v>2935</v>
      </c>
      <c r="E75" t="s">
        <v>2936</v>
      </c>
      <c r="F75" t="s">
        <v>2937</v>
      </c>
      <c r="G75" t="s">
        <v>2938</v>
      </c>
      <c r="H75" t="s">
        <v>2939</v>
      </c>
      <c r="I75" t="s">
        <v>2940</v>
      </c>
      <c r="J75" t="s">
        <v>2941</v>
      </c>
      <c r="K75" t="s">
        <v>2942</v>
      </c>
      <c r="L75" t="s">
        <v>2942</v>
      </c>
      <c r="M75" t="s">
        <v>2943</v>
      </c>
      <c r="N75" t="s">
        <v>2944</v>
      </c>
      <c r="O75" t="s">
        <v>2945</v>
      </c>
      <c r="P75" t="s">
        <v>2946</v>
      </c>
      <c r="R75" t="b">
        <v>0</v>
      </c>
      <c r="S75" t="s">
        <v>3408</v>
      </c>
    </row>
    <row r="76" spans="1:19" ht="11.25" customHeight="1">
      <c r="A76">
        <v>2655</v>
      </c>
      <c r="B76" t="s">
        <v>87</v>
      </c>
      <c r="C76">
        <v>27978231</v>
      </c>
      <c r="D76" t="s">
        <v>3437</v>
      </c>
      <c r="E76" t="s">
        <v>3438</v>
      </c>
      <c r="F76" t="s">
        <v>3439</v>
      </c>
      <c r="G76" t="s">
        <v>3010</v>
      </c>
      <c r="H76" t="s">
        <v>3440</v>
      </c>
      <c r="I76" t="s">
        <v>3441</v>
      </c>
      <c r="J76" t="s">
        <v>2941</v>
      </c>
      <c r="K76" t="s">
        <v>3442</v>
      </c>
      <c r="L76" t="s">
        <v>3443</v>
      </c>
      <c r="M76" t="s">
        <v>3444</v>
      </c>
      <c r="O76" t="s">
        <v>3445</v>
      </c>
      <c r="P76" t="s">
        <v>2946</v>
      </c>
      <c r="R76" t="b">
        <v>0</v>
      </c>
      <c r="S76" t="s">
        <v>3408</v>
      </c>
    </row>
    <row r="77" spans="1:19" ht="11.25" customHeight="1">
      <c r="A77">
        <v>2655</v>
      </c>
      <c r="B77" t="s">
        <v>87</v>
      </c>
      <c r="C77">
        <v>30808700</v>
      </c>
      <c r="D77" t="s">
        <v>2958</v>
      </c>
      <c r="E77" t="s">
        <v>2959</v>
      </c>
      <c r="F77" t="s">
        <v>2960</v>
      </c>
      <c r="G77" t="s">
        <v>2849</v>
      </c>
      <c r="H77" t="s">
        <v>2961</v>
      </c>
      <c r="I77" t="s">
        <v>2962</v>
      </c>
      <c r="J77" t="s">
        <v>2953</v>
      </c>
      <c r="K77" t="s">
        <v>2963</v>
      </c>
      <c r="L77" t="s">
        <v>2964</v>
      </c>
      <c r="M77" t="s">
        <v>2965</v>
      </c>
      <c r="N77" t="s">
        <v>2966</v>
      </c>
      <c r="O77" t="s">
        <v>2967</v>
      </c>
      <c r="P77" t="s">
        <v>2968</v>
      </c>
      <c r="R77" t="b">
        <v>1</v>
      </c>
      <c r="S77" t="s">
        <v>3408</v>
      </c>
    </row>
    <row r="78" spans="1:19" ht="11.25" customHeight="1">
      <c r="A78">
        <v>2655</v>
      </c>
      <c r="B78" t="s">
        <v>87</v>
      </c>
      <c r="C78">
        <v>31319221</v>
      </c>
      <c r="D78" t="s">
        <v>2969</v>
      </c>
      <c r="E78" t="s">
        <v>2970</v>
      </c>
      <c r="F78" t="s">
        <v>2971</v>
      </c>
      <c r="G78" t="s">
        <v>2950</v>
      </c>
      <c r="H78" t="s">
        <v>2972</v>
      </c>
      <c r="I78" t="s">
        <v>2973</v>
      </c>
      <c r="J78" t="s">
        <v>2941</v>
      </c>
      <c r="K78" t="s">
        <v>2974</v>
      </c>
      <c r="L78" t="s">
        <v>2975</v>
      </c>
      <c r="M78" t="s">
        <v>2976</v>
      </c>
      <c r="N78" t="s">
        <v>2977</v>
      </c>
      <c r="O78" t="s">
        <v>2978</v>
      </c>
      <c r="P78" t="s">
        <v>2946</v>
      </c>
      <c r="R78" t="b">
        <v>0</v>
      </c>
      <c r="S78" t="s">
        <v>3408</v>
      </c>
    </row>
    <row r="79" spans="1:19" ht="11.25" customHeight="1">
      <c r="A79">
        <v>2655</v>
      </c>
      <c r="B79" t="s">
        <v>87</v>
      </c>
      <c r="C79">
        <v>31419990</v>
      </c>
      <c r="D79" t="s">
        <v>2979</v>
      </c>
      <c r="E79" t="s">
        <v>2980</v>
      </c>
      <c r="F79" t="s">
        <v>2981</v>
      </c>
      <c r="G79" t="s">
        <v>2982</v>
      </c>
      <c r="H79" t="s">
        <v>2983</v>
      </c>
      <c r="I79" t="s">
        <v>2984</v>
      </c>
      <c r="J79" t="s">
        <v>2941</v>
      </c>
      <c r="K79" t="s">
        <v>2985</v>
      </c>
      <c r="L79" t="s">
        <v>2985</v>
      </c>
      <c r="M79" t="s">
        <v>2986</v>
      </c>
      <c r="N79" t="s">
        <v>2987</v>
      </c>
      <c r="O79" t="s">
        <v>2988</v>
      </c>
      <c r="P79" t="s">
        <v>2946</v>
      </c>
      <c r="Q79" t="s">
        <v>2989</v>
      </c>
      <c r="R79" t="b">
        <v>0</v>
      </c>
      <c r="S79" t="s">
        <v>3408</v>
      </c>
    </row>
    <row r="80" spans="1:19" ht="11.25" customHeight="1">
      <c r="A80">
        <v>2655</v>
      </c>
      <c r="B80" t="s">
        <v>87</v>
      </c>
      <c r="C80">
        <v>31343443</v>
      </c>
      <c r="D80" t="s">
        <v>2990</v>
      </c>
      <c r="E80" t="s">
        <v>2991</v>
      </c>
      <c r="F80" t="s">
        <v>2992</v>
      </c>
      <c r="G80" t="s">
        <v>2849</v>
      </c>
      <c r="H80" t="s">
        <v>2993</v>
      </c>
      <c r="I80" t="s">
        <v>2994</v>
      </c>
      <c r="J80" t="s">
        <v>2941</v>
      </c>
      <c r="K80" t="s">
        <v>2995</v>
      </c>
      <c r="L80" t="s">
        <v>2995</v>
      </c>
      <c r="N80" t="s">
        <v>2996</v>
      </c>
      <c r="O80" t="s">
        <v>2997</v>
      </c>
      <c r="P80" t="s">
        <v>2968</v>
      </c>
      <c r="R80" t="b">
        <v>0</v>
      </c>
      <c r="S80" t="s">
        <v>3408</v>
      </c>
    </row>
    <row r="81" spans="1:19" ht="11.25" customHeight="1">
      <c r="A81">
        <v>2655</v>
      </c>
      <c r="B81" t="s">
        <v>87</v>
      </c>
      <c r="C81">
        <v>31367841</v>
      </c>
      <c r="D81" t="s">
        <v>2998</v>
      </c>
      <c r="E81" t="s">
        <v>2999</v>
      </c>
      <c r="F81" t="s">
        <v>3000</v>
      </c>
      <c r="G81" t="s">
        <v>3001</v>
      </c>
      <c r="H81" t="s">
        <v>3002</v>
      </c>
      <c r="I81" t="s">
        <v>3003</v>
      </c>
      <c r="J81" t="s">
        <v>2953</v>
      </c>
      <c r="K81" t="s">
        <v>3004</v>
      </c>
      <c r="L81" t="s">
        <v>3004</v>
      </c>
      <c r="N81" t="s">
        <v>3005</v>
      </c>
      <c r="O81" t="s">
        <v>3006</v>
      </c>
      <c r="P81" t="s">
        <v>2946</v>
      </c>
      <c r="R81" t="b">
        <v>0</v>
      </c>
      <c r="S81" t="s">
        <v>3408</v>
      </c>
    </row>
    <row r="82" spans="1:19" ht="11.25" customHeight="1">
      <c r="A82">
        <v>2655</v>
      </c>
      <c r="B82" t="s">
        <v>87</v>
      </c>
      <c r="C82">
        <v>31087651</v>
      </c>
      <c r="D82" t="s">
        <v>3007</v>
      </c>
      <c r="E82" t="s">
        <v>3008</v>
      </c>
      <c r="F82" t="s">
        <v>3009</v>
      </c>
      <c r="G82" t="s">
        <v>3010</v>
      </c>
      <c r="H82" t="s">
        <v>3011</v>
      </c>
      <c r="I82" t="s">
        <v>3012</v>
      </c>
      <c r="J82" t="s">
        <v>2941</v>
      </c>
      <c r="K82" t="s">
        <v>3013</v>
      </c>
      <c r="L82" t="s">
        <v>3013</v>
      </c>
      <c r="M82" t="s">
        <v>3014</v>
      </c>
      <c r="N82" t="s">
        <v>3015</v>
      </c>
      <c r="O82" t="s">
        <v>3016</v>
      </c>
      <c r="R82" t="b">
        <v>0</v>
      </c>
      <c r="S82" t="s">
        <v>3408</v>
      </c>
    </row>
    <row r="83" spans="1:19" ht="11.25" customHeight="1">
      <c r="A83">
        <v>2655</v>
      </c>
      <c r="B83" t="s">
        <v>87</v>
      </c>
      <c r="C83">
        <v>31367862</v>
      </c>
      <c r="D83" t="s">
        <v>3017</v>
      </c>
      <c r="E83" t="s">
        <v>3018</v>
      </c>
      <c r="F83" t="s">
        <v>3019</v>
      </c>
      <c r="G83" t="s">
        <v>3001</v>
      </c>
      <c r="H83" t="s">
        <v>3020</v>
      </c>
      <c r="I83" t="s">
        <v>3021</v>
      </c>
      <c r="J83" t="s">
        <v>2941</v>
      </c>
      <c r="K83" t="s">
        <v>3022</v>
      </c>
      <c r="L83" t="s">
        <v>3022</v>
      </c>
      <c r="N83" t="s">
        <v>3023</v>
      </c>
      <c r="O83" t="s">
        <v>3024</v>
      </c>
      <c r="P83" t="s">
        <v>2946</v>
      </c>
      <c r="R83" t="b">
        <v>0</v>
      </c>
      <c r="S83" t="s">
        <v>3408</v>
      </c>
    </row>
    <row r="84" spans="1:19" ht="11.25" customHeight="1">
      <c r="A84">
        <v>2655</v>
      </c>
      <c r="B84" t="s">
        <v>87</v>
      </c>
      <c r="C84">
        <v>31618036</v>
      </c>
      <c r="D84" t="s">
        <v>3025</v>
      </c>
      <c r="E84" t="s">
        <v>3026</v>
      </c>
      <c r="F84" t="s">
        <v>3027</v>
      </c>
      <c r="G84" t="s">
        <v>2828</v>
      </c>
      <c r="H84" t="s">
        <v>3028</v>
      </c>
      <c r="I84" t="s">
        <v>3029</v>
      </c>
      <c r="K84" t="s">
        <v>3030</v>
      </c>
      <c r="L84" t="s">
        <v>3031</v>
      </c>
      <c r="M84" t="s">
        <v>3032</v>
      </c>
      <c r="N84" t="s">
        <v>3033</v>
      </c>
      <c r="O84" t="s">
        <v>3034</v>
      </c>
      <c r="P84" t="s">
        <v>2946</v>
      </c>
      <c r="Q84" t="s">
        <v>3035</v>
      </c>
      <c r="R84" t="b">
        <v>0</v>
      </c>
      <c r="S84" t="s">
        <v>3408</v>
      </c>
    </row>
    <row r="85" spans="1:19" ht="11.25" customHeight="1">
      <c r="A85">
        <v>2655</v>
      </c>
      <c r="B85" t="s">
        <v>87</v>
      </c>
      <c r="C85">
        <v>31329806</v>
      </c>
      <c r="D85" t="s">
        <v>3446</v>
      </c>
      <c r="E85" t="s">
        <v>3447</v>
      </c>
      <c r="F85" t="s">
        <v>3448</v>
      </c>
      <c r="G85" t="s">
        <v>2861</v>
      </c>
      <c r="H85" t="s">
        <v>3449</v>
      </c>
      <c r="I85" t="s">
        <v>3450</v>
      </c>
      <c r="J85" t="s">
        <v>2953</v>
      </c>
      <c r="K85" t="s">
        <v>3451</v>
      </c>
      <c r="L85" t="s">
        <v>3451</v>
      </c>
      <c r="M85" t="s">
        <v>3452</v>
      </c>
      <c r="N85" t="s">
        <v>3453</v>
      </c>
      <c r="O85" t="s">
        <v>3454</v>
      </c>
      <c r="P85" t="s">
        <v>2946</v>
      </c>
      <c r="R85" t="b">
        <v>0</v>
      </c>
      <c r="S85" t="s">
        <v>3408</v>
      </c>
    </row>
    <row r="86" spans="1:19" ht="11.25" customHeight="1">
      <c r="A86">
        <v>2655</v>
      </c>
      <c r="B86" t="s">
        <v>87</v>
      </c>
      <c r="C86">
        <v>31716615</v>
      </c>
      <c r="D86" t="s">
        <v>3455</v>
      </c>
      <c r="E86" t="s">
        <v>3456</v>
      </c>
      <c r="F86" t="s">
        <v>3457</v>
      </c>
      <c r="G86" t="s">
        <v>2828</v>
      </c>
      <c r="H86" t="s">
        <v>3458</v>
      </c>
      <c r="I86" t="s">
        <v>3459</v>
      </c>
      <c r="K86" t="s">
        <v>3460</v>
      </c>
      <c r="L86" t="s">
        <v>3460</v>
      </c>
      <c r="M86" t="s">
        <v>3461</v>
      </c>
      <c r="N86" t="s">
        <v>3462</v>
      </c>
      <c r="O86" t="s">
        <v>3463</v>
      </c>
      <c r="P86" t="s">
        <v>2946</v>
      </c>
      <c r="Q86" t="s">
        <v>3464</v>
      </c>
      <c r="R86" t="b">
        <v>1</v>
      </c>
      <c r="S86" t="s">
        <v>3408</v>
      </c>
    </row>
    <row r="87" spans="1:19" ht="11.25" customHeight="1">
      <c r="A87">
        <v>2655</v>
      </c>
      <c r="B87" t="s">
        <v>87</v>
      </c>
      <c r="C87">
        <v>31310826</v>
      </c>
      <c r="D87" t="s">
        <v>3047</v>
      </c>
      <c r="E87" t="s">
        <v>3056</v>
      </c>
      <c r="F87" t="s">
        <v>3057</v>
      </c>
      <c r="G87" t="s">
        <v>2849</v>
      </c>
      <c r="H87" t="s">
        <v>3058</v>
      </c>
      <c r="I87" t="s">
        <v>3059</v>
      </c>
      <c r="J87" t="s">
        <v>2953</v>
      </c>
      <c r="K87" t="s">
        <v>3060</v>
      </c>
      <c r="L87" t="s">
        <v>3060</v>
      </c>
      <c r="M87" t="s">
        <v>3061</v>
      </c>
      <c r="N87" t="s">
        <v>3062</v>
      </c>
      <c r="O87" t="s">
        <v>3063</v>
      </c>
      <c r="P87" t="s">
        <v>2968</v>
      </c>
      <c r="R87" t="b">
        <v>0</v>
      </c>
      <c r="S87" t="s">
        <v>3408</v>
      </c>
    </row>
    <row r="88" spans="1:19" ht="11.25" customHeight="1">
      <c r="A88">
        <v>2655</v>
      </c>
      <c r="B88" t="s">
        <v>87</v>
      </c>
      <c r="C88">
        <v>31003143</v>
      </c>
      <c r="D88" t="s">
        <v>3064</v>
      </c>
      <c r="E88" t="s">
        <v>3065</v>
      </c>
      <c r="F88" t="s">
        <v>3066</v>
      </c>
      <c r="G88" t="s">
        <v>3050</v>
      </c>
      <c r="H88" t="s">
        <v>3067</v>
      </c>
      <c r="I88" t="s">
        <v>3068</v>
      </c>
      <c r="J88" t="s">
        <v>2953</v>
      </c>
      <c r="K88" t="s">
        <v>3069</v>
      </c>
      <c r="L88" t="s">
        <v>3070</v>
      </c>
      <c r="M88" t="s">
        <v>3071</v>
      </c>
      <c r="N88" t="s">
        <v>3072</v>
      </c>
      <c r="O88" t="s">
        <v>3073</v>
      </c>
      <c r="P88" t="s">
        <v>2946</v>
      </c>
      <c r="R88" t="b">
        <v>1</v>
      </c>
      <c r="S88" t="s">
        <v>3408</v>
      </c>
    </row>
    <row r="89" spans="1:19" ht="11.25" customHeight="1">
      <c r="A89">
        <v>2655</v>
      </c>
      <c r="B89" t="s">
        <v>87</v>
      </c>
      <c r="C89">
        <v>31308226</v>
      </c>
      <c r="D89" t="s">
        <v>3074</v>
      </c>
      <c r="E89" t="s">
        <v>3075</v>
      </c>
      <c r="F89" t="s">
        <v>3076</v>
      </c>
      <c r="G89" t="s">
        <v>3077</v>
      </c>
      <c r="H89" t="s">
        <v>3078</v>
      </c>
      <c r="I89" t="s">
        <v>3079</v>
      </c>
      <c r="J89" t="s">
        <v>2953</v>
      </c>
      <c r="K89" t="s">
        <v>3080</v>
      </c>
      <c r="L89" t="s">
        <v>3080</v>
      </c>
      <c r="M89" t="s">
        <v>3081</v>
      </c>
      <c r="N89" t="s">
        <v>3082</v>
      </c>
      <c r="O89" t="s">
        <v>3083</v>
      </c>
      <c r="P89" t="s">
        <v>2968</v>
      </c>
      <c r="R89" t="b">
        <v>1</v>
      </c>
      <c r="S89" t="s">
        <v>3408</v>
      </c>
    </row>
    <row r="90" spans="1:19" ht="11.25" customHeight="1">
      <c r="A90">
        <v>2655</v>
      </c>
      <c r="B90" t="s">
        <v>87</v>
      </c>
      <c r="C90">
        <v>31284269</v>
      </c>
      <c r="D90" t="s">
        <v>3084</v>
      </c>
      <c r="E90" t="s">
        <v>3085</v>
      </c>
      <c r="F90" t="s">
        <v>3086</v>
      </c>
      <c r="G90" t="s">
        <v>3010</v>
      </c>
      <c r="H90" t="s">
        <v>3087</v>
      </c>
      <c r="I90" t="s">
        <v>3088</v>
      </c>
      <c r="J90" t="s">
        <v>2953</v>
      </c>
      <c r="K90" t="s">
        <v>3089</v>
      </c>
      <c r="L90" t="s">
        <v>3090</v>
      </c>
      <c r="M90" t="s">
        <v>3091</v>
      </c>
      <c r="N90" t="s">
        <v>3092</v>
      </c>
      <c r="O90" t="s">
        <v>3093</v>
      </c>
      <c r="R90" t="b">
        <v>0</v>
      </c>
      <c r="S90" t="s">
        <v>3408</v>
      </c>
    </row>
    <row r="91" spans="1:19" ht="11.25" customHeight="1">
      <c r="A91">
        <v>2655</v>
      </c>
      <c r="B91" t="s">
        <v>87</v>
      </c>
      <c r="C91">
        <v>31241680</v>
      </c>
      <c r="D91" t="s">
        <v>3094</v>
      </c>
      <c r="E91" t="s">
        <v>3095</v>
      </c>
      <c r="F91" t="s">
        <v>3096</v>
      </c>
      <c r="G91" t="s">
        <v>2982</v>
      </c>
      <c r="H91" t="s">
        <v>3097</v>
      </c>
      <c r="I91" t="s">
        <v>3098</v>
      </c>
      <c r="J91" t="s">
        <v>2953</v>
      </c>
      <c r="K91" t="s">
        <v>3099</v>
      </c>
      <c r="L91" t="s">
        <v>3099</v>
      </c>
      <c r="M91" t="s">
        <v>3100</v>
      </c>
      <c r="N91" t="s">
        <v>3101</v>
      </c>
      <c r="O91" t="s">
        <v>3102</v>
      </c>
      <c r="P91" t="s">
        <v>2968</v>
      </c>
      <c r="Q91" t="s">
        <v>3103</v>
      </c>
      <c r="R91" t="b">
        <v>0</v>
      </c>
      <c r="S91" t="s">
        <v>3408</v>
      </c>
    </row>
    <row r="92" spans="1:19" ht="11.25" customHeight="1">
      <c r="A92">
        <v>2655</v>
      </c>
      <c r="B92" t="s">
        <v>87</v>
      </c>
      <c r="C92">
        <v>31579664</v>
      </c>
      <c r="D92" t="s">
        <v>3104</v>
      </c>
      <c r="E92" t="s">
        <v>3105</v>
      </c>
      <c r="F92" t="s">
        <v>3106</v>
      </c>
      <c r="G92" t="s">
        <v>2849</v>
      </c>
      <c r="H92" t="s">
        <v>3107</v>
      </c>
      <c r="I92" t="s">
        <v>3108</v>
      </c>
      <c r="K92" t="s">
        <v>3109</v>
      </c>
      <c r="L92" t="s">
        <v>3110</v>
      </c>
      <c r="M92" t="s">
        <v>3111</v>
      </c>
      <c r="O92" t="s">
        <v>3112</v>
      </c>
      <c r="P92" t="s">
        <v>2946</v>
      </c>
      <c r="Q92" t="s">
        <v>3113</v>
      </c>
      <c r="R92" t="b">
        <v>1</v>
      </c>
      <c r="S92" t="s">
        <v>3408</v>
      </c>
    </row>
    <row r="93" spans="1:19" ht="11.25" customHeight="1">
      <c r="A93">
        <v>2655</v>
      </c>
      <c r="B93" t="s">
        <v>87</v>
      </c>
      <c r="C93">
        <v>26322895</v>
      </c>
      <c r="D93" t="s">
        <v>3114</v>
      </c>
      <c r="E93" t="s">
        <v>3115</v>
      </c>
      <c r="F93" t="s">
        <v>3116</v>
      </c>
      <c r="G93" t="s">
        <v>2828</v>
      </c>
      <c r="H93" t="s">
        <v>3117</v>
      </c>
      <c r="I93" t="s">
        <v>3118</v>
      </c>
      <c r="J93" t="s">
        <v>2896</v>
      </c>
      <c r="K93" t="s">
        <v>3119</v>
      </c>
      <c r="L93" t="s">
        <v>3119</v>
      </c>
      <c r="M93" t="s">
        <v>3120</v>
      </c>
      <c r="N93" t="s">
        <v>3121</v>
      </c>
      <c r="O93" t="s">
        <v>3122</v>
      </c>
      <c r="P93" t="s">
        <v>2856</v>
      </c>
      <c r="Q93" t="s">
        <v>3123</v>
      </c>
      <c r="R93" t="b">
        <v>0</v>
      </c>
      <c r="S93" t="s">
        <v>3408</v>
      </c>
    </row>
    <row r="94" spans="1:19" ht="11.25" customHeight="1">
      <c r="A94">
        <v>2655</v>
      </c>
      <c r="B94" t="s">
        <v>87</v>
      </c>
      <c r="C94">
        <v>31683419</v>
      </c>
      <c r="D94" t="s">
        <v>3132</v>
      </c>
      <c r="E94" t="s">
        <v>3133</v>
      </c>
      <c r="F94" t="s">
        <v>3134</v>
      </c>
      <c r="G94" t="s">
        <v>2849</v>
      </c>
      <c r="H94" t="s">
        <v>3135</v>
      </c>
      <c r="I94" t="s">
        <v>3136</v>
      </c>
      <c r="K94" t="s">
        <v>3137</v>
      </c>
      <c r="L94" t="s">
        <v>3137</v>
      </c>
      <c r="M94" t="s">
        <v>3138</v>
      </c>
      <c r="N94" t="s">
        <v>3139</v>
      </c>
      <c r="O94" t="s">
        <v>3140</v>
      </c>
      <c r="P94" t="s">
        <v>2946</v>
      </c>
      <c r="R94" t="b">
        <v>0</v>
      </c>
      <c r="S94" t="s">
        <v>3408</v>
      </c>
    </row>
    <row r="95" spans="1:19" ht="11.25" customHeight="1">
      <c r="A95">
        <v>2655</v>
      </c>
      <c r="B95" t="s">
        <v>87</v>
      </c>
      <c r="C95">
        <v>26428076</v>
      </c>
      <c r="D95" t="s">
        <v>3465</v>
      </c>
      <c r="E95" t="s">
        <v>3466</v>
      </c>
      <c r="F95" t="s">
        <v>3467</v>
      </c>
      <c r="G95" t="s">
        <v>3050</v>
      </c>
      <c r="H95" t="s">
        <v>3468</v>
      </c>
      <c r="K95" t="s">
        <v>3469</v>
      </c>
      <c r="L95" t="s">
        <v>3469</v>
      </c>
      <c r="M95" t="s">
        <v>3470</v>
      </c>
      <c r="N95" t="s">
        <v>3471</v>
      </c>
      <c r="R95" t="b">
        <v>0</v>
      </c>
      <c r="S95" t="s">
        <v>3408</v>
      </c>
    </row>
    <row r="96" spans="1:19" ht="11.25" customHeight="1">
      <c r="A96">
        <v>2655</v>
      </c>
      <c r="B96" t="s">
        <v>87</v>
      </c>
      <c r="C96">
        <v>28954370</v>
      </c>
      <c r="D96" t="s">
        <v>3472</v>
      </c>
      <c r="E96" t="s">
        <v>3473</v>
      </c>
      <c r="F96" t="s">
        <v>3474</v>
      </c>
      <c r="G96" t="s">
        <v>3050</v>
      </c>
      <c r="H96" t="s">
        <v>3475</v>
      </c>
      <c r="I96" t="s">
        <v>3476</v>
      </c>
      <c r="J96" t="s">
        <v>3128</v>
      </c>
      <c r="K96" t="s">
        <v>3477</v>
      </c>
      <c r="L96" t="s">
        <v>3477</v>
      </c>
      <c r="M96" t="s">
        <v>3478</v>
      </c>
      <c r="N96" t="s">
        <v>3479</v>
      </c>
      <c r="O96" t="s">
        <v>3480</v>
      </c>
      <c r="P96" t="s">
        <v>2946</v>
      </c>
      <c r="R96" t="b">
        <v>1</v>
      </c>
      <c r="S96" t="s">
        <v>3408</v>
      </c>
    </row>
    <row r="97" spans="1:19" ht="11.25" customHeight="1">
      <c r="A97">
        <v>2655</v>
      </c>
      <c r="B97" t="s">
        <v>87</v>
      </c>
      <c r="C97">
        <v>31774016</v>
      </c>
      <c r="D97" t="s">
        <v>3481</v>
      </c>
      <c r="E97" t="s">
        <v>3482</v>
      </c>
      <c r="F97" t="s">
        <v>3483</v>
      </c>
      <c r="G97" t="s">
        <v>3077</v>
      </c>
      <c r="H97" t="s">
        <v>3484</v>
      </c>
      <c r="I97" t="s">
        <v>3485</v>
      </c>
      <c r="K97" t="s">
        <v>3486</v>
      </c>
      <c r="L97" t="s">
        <v>3487</v>
      </c>
      <c r="M97" t="s">
        <v>3488</v>
      </c>
      <c r="N97" t="s">
        <v>3489</v>
      </c>
      <c r="O97" t="s">
        <v>3490</v>
      </c>
      <c r="P97" t="s">
        <v>3203</v>
      </c>
      <c r="Q97" t="s">
        <v>162</v>
      </c>
      <c r="R97" t="b">
        <v>1</v>
      </c>
      <c r="S97" t="s">
        <v>3408</v>
      </c>
    </row>
    <row r="98" spans="1:19" ht="11.25" customHeight="1">
      <c r="A98">
        <v>2655</v>
      </c>
      <c r="B98" t="s">
        <v>87</v>
      </c>
      <c r="C98">
        <v>31336226</v>
      </c>
      <c r="D98" t="s">
        <v>3150</v>
      </c>
      <c r="E98" t="s">
        <v>3151</v>
      </c>
      <c r="F98" t="s">
        <v>3168</v>
      </c>
      <c r="G98" t="s">
        <v>2950</v>
      </c>
      <c r="H98" t="s">
        <v>3169</v>
      </c>
      <c r="I98" t="s">
        <v>3170</v>
      </c>
      <c r="J98" t="s">
        <v>3128</v>
      </c>
      <c r="K98" t="s">
        <v>3171</v>
      </c>
      <c r="L98" t="s">
        <v>3172</v>
      </c>
      <c r="M98" t="s">
        <v>3173</v>
      </c>
      <c r="N98" t="s">
        <v>3174</v>
      </c>
      <c r="O98" t="s">
        <v>3175</v>
      </c>
      <c r="P98" t="s">
        <v>2946</v>
      </c>
      <c r="R98" t="b">
        <v>0</v>
      </c>
      <c r="S98" t="s">
        <v>3408</v>
      </c>
    </row>
    <row r="99" spans="1:19" ht="11.25" customHeight="1">
      <c r="A99">
        <v>2655</v>
      </c>
      <c r="B99" t="s">
        <v>87</v>
      </c>
      <c r="C99">
        <v>28869965</v>
      </c>
      <c r="D99" t="s">
        <v>3150</v>
      </c>
      <c r="E99" t="s">
        <v>3151</v>
      </c>
      <c r="F99" t="s">
        <v>3152</v>
      </c>
      <c r="G99" t="s">
        <v>2938</v>
      </c>
      <c r="H99" t="s">
        <v>3153</v>
      </c>
      <c r="J99" t="s">
        <v>3128</v>
      </c>
      <c r="K99" t="s">
        <v>3154</v>
      </c>
      <c r="L99" t="s">
        <v>3154</v>
      </c>
      <c r="M99" t="s">
        <v>3155</v>
      </c>
      <c r="N99" t="s">
        <v>3156</v>
      </c>
      <c r="O99" t="s">
        <v>3157</v>
      </c>
      <c r="P99" t="s">
        <v>2856</v>
      </c>
      <c r="Q99" t="s">
        <v>3158</v>
      </c>
      <c r="R99" t="b">
        <v>0</v>
      </c>
      <c r="S99" t="s">
        <v>3408</v>
      </c>
    </row>
    <row r="100" spans="1:19" ht="11.25" customHeight="1">
      <c r="A100">
        <v>2655</v>
      </c>
      <c r="B100" t="s">
        <v>87</v>
      </c>
      <c r="C100">
        <v>31215010</v>
      </c>
      <c r="D100" t="s">
        <v>3150</v>
      </c>
      <c r="E100" t="s">
        <v>3151</v>
      </c>
      <c r="F100" t="s">
        <v>3159</v>
      </c>
      <c r="G100" t="s">
        <v>3077</v>
      </c>
      <c r="H100" t="s">
        <v>3160</v>
      </c>
      <c r="I100" t="s">
        <v>3161</v>
      </c>
      <c r="J100" t="s">
        <v>3128</v>
      </c>
      <c r="K100" t="s">
        <v>3162</v>
      </c>
      <c r="L100" t="s">
        <v>3163</v>
      </c>
      <c r="M100" t="s">
        <v>3164</v>
      </c>
      <c r="N100" t="s">
        <v>3165</v>
      </c>
      <c r="O100" t="s">
        <v>3166</v>
      </c>
      <c r="P100" t="s">
        <v>3167</v>
      </c>
      <c r="R100" t="b">
        <v>0</v>
      </c>
      <c r="S100" t="s">
        <v>3408</v>
      </c>
    </row>
    <row r="101" spans="1:19" ht="11.25" customHeight="1">
      <c r="A101">
        <v>2655</v>
      </c>
      <c r="B101" t="s">
        <v>87</v>
      </c>
      <c r="C101">
        <v>28113313</v>
      </c>
      <c r="D101" t="s">
        <v>3491</v>
      </c>
      <c r="E101" t="s">
        <v>3492</v>
      </c>
      <c r="F101" t="s">
        <v>3493</v>
      </c>
      <c r="G101" t="s">
        <v>3195</v>
      </c>
      <c r="H101" t="s">
        <v>3494</v>
      </c>
      <c r="J101" t="s">
        <v>3128</v>
      </c>
      <c r="K101" t="s">
        <v>3495</v>
      </c>
      <c r="L101" t="s">
        <v>3496</v>
      </c>
      <c r="O101" t="s">
        <v>3202</v>
      </c>
      <c r="P101" t="s">
        <v>3203</v>
      </c>
      <c r="R101" t="b">
        <v>1</v>
      </c>
      <c r="S101" t="s">
        <v>3408</v>
      </c>
    </row>
    <row r="102" spans="1:19" ht="11.25" customHeight="1">
      <c r="A102">
        <v>2655</v>
      </c>
      <c r="B102" t="s">
        <v>87</v>
      </c>
      <c r="C102">
        <v>26428030</v>
      </c>
      <c r="D102" t="s">
        <v>3176</v>
      </c>
      <c r="E102" t="s">
        <v>3177</v>
      </c>
      <c r="F102" t="s">
        <v>3178</v>
      </c>
      <c r="G102" t="s">
        <v>3050</v>
      </c>
      <c r="H102" t="s">
        <v>3179</v>
      </c>
      <c r="K102" t="s">
        <v>3180</v>
      </c>
      <c r="L102" t="s">
        <v>3180</v>
      </c>
      <c r="M102" t="s">
        <v>3181</v>
      </c>
      <c r="N102" t="s">
        <v>3182</v>
      </c>
      <c r="R102" t="b">
        <v>0</v>
      </c>
      <c r="S102" t="s">
        <v>3408</v>
      </c>
    </row>
    <row r="103" spans="1:19" ht="11.25" customHeight="1">
      <c r="A103">
        <v>2655</v>
      </c>
      <c r="B103" t="s">
        <v>87</v>
      </c>
      <c r="C103">
        <v>31356597</v>
      </c>
      <c r="D103" t="s">
        <v>3183</v>
      </c>
      <c r="E103" t="s">
        <v>3184</v>
      </c>
      <c r="F103" t="s">
        <v>3185</v>
      </c>
      <c r="G103" t="s">
        <v>3010</v>
      </c>
      <c r="H103" t="s">
        <v>3186</v>
      </c>
      <c r="I103" t="s">
        <v>3187</v>
      </c>
      <c r="J103" t="s">
        <v>3128</v>
      </c>
      <c r="K103" t="s">
        <v>3188</v>
      </c>
      <c r="L103" t="s">
        <v>3188</v>
      </c>
      <c r="M103" t="s">
        <v>3189</v>
      </c>
      <c r="N103" t="s">
        <v>3190</v>
      </c>
      <c r="O103" t="s">
        <v>3191</v>
      </c>
      <c r="P103" t="s">
        <v>2856</v>
      </c>
      <c r="R103" t="b">
        <v>0</v>
      </c>
      <c r="S103" t="s">
        <v>3408</v>
      </c>
    </row>
    <row r="104" spans="1:19" ht="11.25" customHeight="1">
      <c r="A104">
        <v>2655</v>
      </c>
      <c r="B104" t="s">
        <v>87</v>
      </c>
      <c r="C104">
        <v>28136671</v>
      </c>
      <c r="D104" t="s">
        <v>3192</v>
      </c>
      <c r="E104" t="s">
        <v>3193</v>
      </c>
      <c r="F104" t="s">
        <v>3194</v>
      </c>
      <c r="G104" t="s">
        <v>3195</v>
      </c>
      <c r="H104" t="s">
        <v>3196</v>
      </c>
      <c r="I104" t="s">
        <v>3197</v>
      </c>
      <c r="J104" t="s">
        <v>3128</v>
      </c>
      <c r="K104" t="s">
        <v>3198</v>
      </c>
      <c r="L104" t="s">
        <v>3199</v>
      </c>
      <c r="M104" t="s">
        <v>3200</v>
      </c>
      <c r="N104" t="s">
        <v>3201</v>
      </c>
      <c r="O104" t="s">
        <v>3202</v>
      </c>
      <c r="P104" t="s">
        <v>3203</v>
      </c>
      <c r="R104" t="b">
        <v>1</v>
      </c>
      <c r="S104" t="s">
        <v>3408</v>
      </c>
    </row>
    <row r="105" spans="1:19" ht="11.25" customHeight="1">
      <c r="A105">
        <v>2655</v>
      </c>
      <c r="B105" t="s">
        <v>87</v>
      </c>
      <c r="C105">
        <v>31574053</v>
      </c>
      <c r="D105" t="s">
        <v>3497</v>
      </c>
      <c r="E105" t="s">
        <v>3498</v>
      </c>
      <c r="F105" t="s">
        <v>3499</v>
      </c>
      <c r="G105" t="s">
        <v>3077</v>
      </c>
      <c r="H105" t="s">
        <v>3500</v>
      </c>
      <c r="I105" t="s">
        <v>3501</v>
      </c>
      <c r="K105" t="s">
        <v>3502</v>
      </c>
      <c r="L105" t="s">
        <v>3502</v>
      </c>
      <c r="M105" t="s">
        <v>3503</v>
      </c>
      <c r="N105" t="s">
        <v>3504</v>
      </c>
      <c r="O105" t="s">
        <v>3505</v>
      </c>
      <c r="P105" t="s">
        <v>2946</v>
      </c>
      <c r="R105" t="b">
        <v>0</v>
      </c>
      <c r="S105" t="s">
        <v>3408</v>
      </c>
    </row>
    <row r="106" spans="1:19" ht="11.25" customHeight="1">
      <c r="A106">
        <v>2655</v>
      </c>
      <c r="B106" t="s">
        <v>87</v>
      </c>
      <c r="C106">
        <v>27838991</v>
      </c>
      <c r="D106" t="s">
        <v>3506</v>
      </c>
      <c r="E106" t="s">
        <v>3507</v>
      </c>
      <c r="F106" t="s">
        <v>3508</v>
      </c>
      <c r="G106" t="s">
        <v>2861</v>
      </c>
      <c r="H106" t="s">
        <v>3509</v>
      </c>
      <c r="I106" t="s">
        <v>3510</v>
      </c>
      <c r="J106" t="s">
        <v>3128</v>
      </c>
      <c r="K106" t="s">
        <v>3511</v>
      </c>
      <c r="L106" t="s">
        <v>3512</v>
      </c>
      <c r="M106" t="s">
        <v>3513</v>
      </c>
      <c r="N106" t="s">
        <v>3514</v>
      </c>
      <c r="O106" t="s">
        <v>3515</v>
      </c>
      <c r="P106" t="s">
        <v>2856</v>
      </c>
      <c r="R106" t="b">
        <v>0</v>
      </c>
      <c r="S106" t="s">
        <v>3408</v>
      </c>
    </row>
    <row r="107" spans="1:19" ht="11.25" customHeight="1">
      <c r="A107">
        <v>2655</v>
      </c>
      <c r="B107" t="s">
        <v>87</v>
      </c>
      <c r="C107">
        <v>26428026</v>
      </c>
      <c r="D107" t="s">
        <v>3248</v>
      </c>
      <c r="E107" t="s">
        <v>3249</v>
      </c>
      <c r="F107" t="s">
        <v>3250</v>
      </c>
      <c r="G107" t="s">
        <v>3251</v>
      </c>
      <c r="H107" t="s">
        <v>3252</v>
      </c>
      <c r="K107" t="s">
        <v>3253</v>
      </c>
      <c r="L107" t="s">
        <v>3253</v>
      </c>
      <c r="M107" t="s">
        <v>3254</v>
      </c>
      <c r="N107" t="s">
        <v>3255</v>
      </c>
      <c r="O107" t="s">
        <v>3256</v>
      </c>
      <c r="P107" t="s">
        <v>2946</v>
      </c>
      <c r="R107" t="b">
        <v>1</v>
      </c>
      <c r="S107" t="s">
        <v>3408</v>
      </c>
    </row>
    <row r="108" spans="1:19" ht="11.25" customHeight="1">
      <c r="A108">
        <v>2655</v>
      </c>
      <c r="B108" t="s">
        <v>87</v>
      </c>
      <c r="C108">
        <v>31541617</v>
      </c>
      <c r="D108" t="s">
        <v>3267</v>
      </c>
      <c r="E108" t="s">
        <v>3268</v>
      </c>
      <c r="F108" t="s">
        <v>3269</v>
      </c>
      <c r="G108" t="s">
        <v>3270</v>
      </c>
      <c r="H108" t="s">
        <v>3271</v>
      </c>
      <c r="I108" t="s">
        <v>3272</v>
      </c>
      <c r="K108" t="s">
        <v>3273</v>
      </c>
      <c r="L108" t="s">
        <v>3273</v>
      </c>
      <c r="M108" t="s">
        <v>3274</v>
      </c>
      <c r="N108" t="s">
        <v>3275</v>
      </c>
      <c r="O108" t="s">
        <v>3276</v>
      </c>
      <c r="P108" t="s">
        <v>2968</v>
      </c>
      <c r="R108" t="b">
        <v>1</v>
      </c>
      <c r="S108" t="s">
        <v>3408</v>
      </c>
    </row>
    <row r="109" spans="1:19" ht="11.25" customHeight="1">
      <c r="A109">
        <v>2655</v>
      </c>
      <c r="B109" t="s">
        <v>87</v>
      </c>
      <c r="C109">
        <v>31834877</v>
      </c>
      <c r="D109" t="s">
        <v>3516</v>
      </c>
      <c r="E109" t="s">
        <v>3516</v>
      </c>
      <c r="F109" t="s">
        <v>3517</v>
      </c>
      <c r="G109" t="s">
        <v>3518</v>
      </c>
      <c r="H109" t="s">
        <v>3519</v>
      </c>
      <c r="I109" t="s">
        <v>3520</v>
      </c>
      <c r="K109" t="s">
        <v>3521</v>
      </c>
      <c r="L109" t="s">
        <v>3522</v>
      </c>
      <c r="M109" t="s">
        <v>162</v>
      </c>
      <c r="N109" t="s">
        <v>3523</v>
      </c>
      <c r="O109" t="s">
        <v>3524</v>
      </c>
      <c r="P109" t="s">
        <v>3203</v>
      </c>
      <c r="Q109" t="s">
        <v>3525</v>
      </c>
      <c r="R109" t="b">
        <v>0</v>
      </c>
      <c r="S109" t="s">
        <v>3408</v>
      </c>
    </row>
    <row r="110" spans="1:19" ht="11.25" customHeight="1">
      <c r="A110">
        <v>2655</v>
      </c>
      <c r="B110" t="s">
        <v>87</v>
      </c>
      <c r="C110">
        <v>26356891</v>
      </c>
      <c r="D110" t="s">
        <v>3288</v>
      </c>
      <c r="E110" t="s">
        <v>3289</v>
      </c>
      <c r="F110" t="s">
        <v>3290</v>
      </c>
      <c r="G110" t="s">
        <v>3050</v>
      </c>
      <c r="H110" t="s">
        <v>3291</v>
      </c>
      <c r="I110" t="s">
        <v>3292</v>
      </c>
      <c r="J110" t="s">
        <v>3128</v>
      </c>
      <c r="K110" t="s">
        <v>3293</v>
      </c>
      <c r="L110" t="s">
        <v>3293</v>
      </c>
      <c r="M110" t="s">
        <v>3294</v>
      </c>
      <c r="N110" t="s">
        <v>3295</v>
      </c>
      <c r="O110" t="s">
        <v>3296</v>
      </c>
      <c r="P110" t="s">
        <v>2946</v>
      </c>
      <c r="R110" t="b">
        <v>0</v>
      </c>
      <c r="S110" t="s">
        <v>3408</v>
      </c>
    </row>
    <row r="111" spans="1:19" ht="11.25" customHeight="1">
      <c r="A111">
        <v>2655</v>
      </c>
      <c r="B111" t="s">
        <v>87</v>
      </c>
      <c r="C111">
        <v>31241637</v>
      </c>
      <c r="D111" t="s">
        <v>3297</v>
      </c>
      <c r="E111" t="s">
        <v>3298</v>
      </c>
      <c r="F111" t="s">
        <v>3299</v>
      </c>
      <c r="G111" t="s">
        <v>3077</v>
      </c>
      <c r="H111" t="s">
        <v>3300</v>
      </c>
      <c r="I111" t="s">
        <v>3301</v>
      </c>
      <c r="J111" t="s">
        <v>3128</v>
      </c>
      <c r="K111" t="s">
        <v>3302</v>
      </c>
      <c r="L111" t="s">
        <v>3302</v>
      </c>
      <c r="M111" t="s">
        <v>3303</v>
      </c>
      <c r="O111" t="s">
        <v>3304</v>
      </c>
      <c r="P111" t="s">
        <v>2968</v>
      </c>
      <c r="R111" t="b">
        <v>0</v>
      </c>
      <c r="S111" t="s">
        <v>3408</v>
      </c>
    </row>
    <row r="112" spans="1:19" ht="11.25" customHeight="1">
      <c r="A112">
        <v>2655</v>
      </c>
      <c r="B112" t="s">
        <v>87</v>
      </c>
      <c r="C112">
        <v>28819708</v>
      </c>
      <c r="D112" t="s">
        <v>3526</v>
      </c>
      <c r="E112" t="s">
        <v>3527</v>
      </c>
      <c r="F112" t="s">
        <v>3528</v>
      </c>
      <c r="G112" t="s">
        <v>2950</v>
      </c>
      <c r="H112" t="s">
        <v>3529</v>
      </c>
      <c r="I112" t="s">
        <v>3530</v>
      </c>
      <c r="J112" t="s">
        <v>3128</v>
      </c>
      <c r="K112" t="s">
        <v>3531</v>
      </c>
      <c r="L112" t="s">
        <v>3531</v>
      </c>
      <c r="N112" t="s">
        <v>3532</v>
      </c>
      <c r="O112" t="s">
        <v>3533</v>
      </c>
      <c r="P112" t="s">
        <v>2946</v>
      </c>
      <c r="R112" t="b">
        <v>0</v>
      </c>
      <c r="S112" t="s">
        <v>3408</v>
      </c>
    </row>
    <row r="113" spans="1:19" ht="11.25" customHeight="1">
      <c r="A113">
        <v>2655</v>
      </c>
      <c r="B113" t="s">
        <v>87</v>
      </c>
      <c r="C113">
        <v>26356937</v>
      </c>
      <c r="D113" t="s">
        <v>3305</v>
      </c>
      <c r="E113" t="s">
        <v>3306</v>
      </c>
      <c r="F113" t="s">
        <v>3307</v>
      </c>
      <c r="G113" t="s">
        <v>109</v>
      </c>
      <c r="H113" t="s">
        <v>3308</v>
      </c>
      <c r="I113" t="s">
        <v>3309</v>
      </c>
      <c r="J113" t="s">
        <v>3128</v>
      </c>
      <c r="K113" t="s">
        <v>3310</v>
      </c>
      <c r="L113" t="s">
        <v>3310</v>
      </c>
      <c r="M113" t="s">
        <v>3311</v>
      </c>
      <c r="N113" t="s">
        <v>3312</v>
      </c>
      <c r="O113" t="s">
        <v>3313</v>
      </c>
      <c r="P113" t="s">
        <v>2968</v>
      </c>
      <c r="Q113" t="s">
        <v>3314</v>
      </c>
      <c r="R113" t="b">
        <v>0</v>
      </c>
      <c r="S113" t="s">
        <v>3408</v>
      </c>
    </row>
    <row r="114" spans="1:19" ht="11.25" customHeight="1">
      <c r="A114">
        <v>2655</v>
      </c>
      <c r="B114" t="s">
        <v>87</v>
      </c>
      <c r="C114">
        <v>31770754</v>
      </c>
      <c r="D114" t="s">
        <v>3315</v>
      </c>
      <c r="E114" t="s">
        <v>3316</v>
      </c>
      <c r="F114" t="s">
        <v>3317</v>
      </c>
      <c r="G114" t="s">
        <v>3318</v>
      </c>
      <c r="H114" t="s">
        <v>3319</v>
      </c>
      <c r="I114" t="s">
        <v>3320</v>
      </c>
      <c r="K114" t="s">
        <v>3321</v>
      </c>
      <c r="L114" t="s">
        <v>3322</v>
      </c>
      <c r="M114" t="s">
        <v>3323</v>
      </c>
      <c r="N114" t="s">
        <v>3324</v>
      </c>
      <c r="O114" t="s">
        <v>3325</v>
      </c>
      <c r="P114" t="s">
        <v>2946</v>
      </c>
      <c r="Q114" t="s">
        <v>162</v>
      </c>
      <c r="R114" t="b">
        <v>1</v>
      </c>
      <c r="S114" t="s">
        <v>3408</v>
      </c>
    </row>
    <row r="115" spans="1:19" ht="11.25" customHeight="1">
      <c r="A115">
        <v>2655</v>
      </c>
      <c r="B115" t="s">
        <v>87</v>
      </c>
      <c r="C115">
        <v>31528492</v>
      </c>
      <c r="D115" t="s">
        <v>3326</v>
      </c>
      <c r="E115" t="s">
        <v>3327</v>
      </c>
      <c r="F115" t="s">
        <v>3328</v>
      </c>
      <c r="G115" t="s">
        <v>3077</v>
      </c>
      <c r="H115" t="s">
        <v>3329</v>
      </c>
      <c r="I115" t="s">
        <v>3330</v>
      </c>
      <c r="K115" t="s">
        <v>3331</v>
      </c>
      <c r="L115" t="s">
        <v>3331</v>
      </c>
      <c r="M115" t="s">
        <v>3332</v>
      </c>
      <c r="N115" t="s">
        <v>3333</v>
      </c>
      <c r="O115" t="s">
        <v>3334</v>
      </c>
      <c r="P115" t="s">
        <v>3203</v>
      </c>
      <c r="R115" t="b">
        <v>0</v>
      </c>
      <c r="S115" t="s">
        <v>3408</v>
      </c>
    </row>
    <row r="116" spans="1:19" ht="11.25" customHeight="1">
      <c r="A116">
        <v>2655</v>
      </c>
      <c r="B116" t="s">
        <v>87</v>
      </c>
      <c r="C116">
        <v>28270293</v>
      </c>
      <c r="D116" t="s">
        <v>3335</v>
      </c>
      <c r="E116" t="s">
        <v>3336</v>
      </c>
      <c r="F116" t="s">
        <v>3337</v>
      </c>
      <c r="G116" t="s">
        <v>3050</v>
      </c>
      <c r="H116" t="s">
        <v>3338</v>
      </c>
      <c r="I116" t="s">
        <v>3339</v>
      </c>
      <c r="J116" t="s">
        <v>3128</v>
      </c>
      <c r="K116" t="s">
        <v>3340</v>
      </c>
      <c r="L116" t="s">
        <v>3340</v>
      </c>
      <c r="M116" t="s">
        <v>3341</v>
      </c>
      <c r="N116" t="s">
        <v>3342</v>
      </c>
      <c r="O116" t="s">
        <v>3343</v>
      </c>
      <c r="P116" t="s">
        <v>2856</v>
      </c>
      <c r="R116" t="b">
        <v>0</v>
      </c>
      <c r="S116" t="s">
        <v>3408</v>
      </c>
    </row>
    <row r="117" spans="1:19" ht="11.25" customHeight="1">
      <c r="A117">
        <v>2655</v>
      </c>
      <c r="B117" t="s">
        <v>87</v>
      </c>
      <c r="C117">
        <v>28873362</v>
      </c>
      <c r="D117" t="s">
        <v>3344</v>
      </c>
      <c r="E117" t="s">
        <v>3345</v>
      </c>
      <c r="F117" t="s">
        <v>3346</v>
      </c>
      <c r="G117" t="s">
        <v>2828</v>
      </c>
      <c r="H117" t="s">
        <v>3347</v>
      </c>
      <c r="I117" t="s">
        <v>3348</v>
      </c>
      <c r="J117" t="s">
        <v>3128</v>
      </c>
      <c r="K117" t="s">
        <v>3349</v>
      </c>
      <c r="L117" t="s">
        <v>3349</v>
      </c>
      <c r="M117" t="s">
        <v>3350</v>
      </c>
      <c r="N117" t="s">
        <v>3351</v>
      </c>
      <c r="O117" t="s">
        <v>3352</v>
      </c>
      <c r="P117" t="s">
        <v>2946</v>
      </c>
      <c r="Q117" t="s">
        <v>3353</v>
      </c>
      <c r="R117" t="b">
        <v>0</v>
      </c>
      <c r="S117" t="s">
        <v>3408</v>
      </c>
    </row>
    <row r="118" spans="1:19" ht="11.25" customHeight="1">
      <c r="A118">
        <v>2655</v>
      </c>
      <c r="B118" t="s">
        <v>87</v>
      </c>
      <c r="C118">
        <v>28976681</v>
      </c>
      <c r="D118" t="s">
        <v>3354</v>
      </c>
      <c r="E118" t="s">
        <v>3355</v>
      </c>
      <c r="F118" t="s">
        <v>3356</v>
      </c>
      <c r="G118" t="s">
        <v>3050</v>
      </c>
      <c r="H118" t="s">
        <v>3357</v>
      </c>
      <c r="I118" t="s">
        <v>3358</v>
      </c>
      <c r="J118" t="s">
        <v>3128</v>
      </c>
      <c r="K118" t="s">
        <v>3359</v>
      </c>
      <c r="L118" t="s">
        <v>3359</v>
      </c>
      <c r="M118" t="s">
        <v>3360</v>
      </c>
      <c r="O118" t="s">
        <v>3361</v>
      </c>
      <c r="P118" t="s">
        <v>2946</v>
      </c>
      <c r="R118" t="b">
        <v>1</v>
      </c>
      <c r="S118" t="s">
        <v>3408</v>
      </c>
    </row>
    <row r="119" spans="1:19" ht="11.25" customHeight="1">
      <c r="A119">
        <v>2655</v>
      </c>
      <c r="B119" t="s">
        <v>87</v>
      </c>
      <c r="C119">
        <v>30808511</v>
      </c>
      <c r="D119" t="s">
        <v>3373</v>
      </c>
      <c r="E119" t="s">
        <v>3373</v>
      </c>
      <c r="F119" t="s">
        <v>3374</v>
      </c>
      <c r="G119" t="s">
        <v>3375</v>
      </c>
      <c r="H119" t="s">
        <v>3376</v>
      </c>
      <c r="I119" t="s">
        <v>3377</v>
      </c>
      <c r="J119" t="s">
        <v>3378</v>
      </c>
      <c r="K119" t="s">
        <v>3379</v>
      </c>
      <c r="L119" t="s">
        <v>3379</v>
      </c>
      <c r="M119" t="s">
        <v>3380</v>
      </c>
      <c r="O119" t="s">
        <v>3381</v>
      </c>
      <c r="P119" t="s">
        <v>2946</v>
      </c>
      <c r="Q119" t="s">
        <v>3382</v>
      </c>
      <c r="R119" t="b">
        <v>0</v>
      </c>
      <c r="S119" t="s">
        <v>3408</v>
      </c>
    </row>
    <row r="120" spans="1:19" ht="11.25" customHeight="1">
      <c r="A120">
        <v>2655</v>
      </c>
      <c r="B120" t="s">
        <v>87</v>
      </c>
      <c r="C120">
        <v>26987067</v>
      </c>
      <c r="D120" t="s">
        <v>3383</v>
      </c>
      <c r="F120" t="s">
        <v>3374</v>
      </c>
      <c r="G120" t="s">
        <v>3384</v>
      </c>
      <c r="H120" t="s">
        <v>3376</v>
      </c>
      <c r="J120" t="s">
        <v>2896</v>
      </c>
      <c r="K120" t="s">
        <v>3385</v>
      </c>
      <c r="L120" t="s">
        <v>3386</v>
      </c>
      <c r="R120" t="b">
        <v>0</v>
      </c>
      <c r="S120" t="s">
        <v>3408</v>
      </c>
    </row>
    <row r="121" spans="1:19" ht="11.25" customHeight="1">
      <c r="A121">
        <v>2655</v>
      </c>
      <c r="B121" t="s">
        <v>87</v>
      </c>
      <c r="C121">
        <v>26520873</v>
      </c>
      <c r="D121" t="s">
        <v>3387</v>
      </c>
      <c r="E121" t="s">
        <v>3388</v>
      </c>
      <c r="F121" t="s">
        <v>3374</v>
      </c>
      <c r="G121" t="s">
        <v>3389</v>
      </c>
      <c r="H121" t="s">
        <v>3376</v>
      </c>
      <c r="I121" t="s">
        <v>3390</v>
      </c>
      <c r="J121" t="s">
        <v>3378</v>
      </c>
      <c r="K121" t="s">
        <v>3391</v>
      </c>
      <c r="L121" t="s">
        <v>3392</v>
      </c>
      <c r="M121" t="s">
        <v>3393</v>
      </c>
      <c r="N121" t="s">
        <v>3394</v>
      </c>
      <c r="O121" t="s">
        <v>3395</v>
      </c>
      <c r="P121" t="s">
        <v>2946</v>
      </c>
      <c r="Q121" t="s">
        <v>3396</v>
      </c>
      <c r="R121" t="b">
        <v>0</v>
      </c>
      <c r="S121" t="s">
        <v>3408</v>
      </c>
    </row>
    <row r="122" spans="1:19" ht="11.25" customHeight="1">
      <c r="A122">
        <v>2655</v>
      </c>
      <c r="B122" t="s">
        <v>87</v>
      </c>
      <c r="C122">
        <v>28976938</v>
      </c>
      <c r="D122" t="s">
        <v>2799</v>
      </c>
      <c r="E122" t="s">
        <v>2800</v>
      </c>
      <c r="F122" t="s">
        <v>2801</v>
      </c>
      <c r="G122" t="s">
        <v>2802</v>
      </c>
      <c r="H122" t="s">
        <v>2803</v>
      </c>
      <c r="I122" t="s">
        <v>2804</v>
      </c>
      <c r="J122" t="s">
        <v>114</v>
      </c>
      <c r="K122" t="s">
        <v>2805</v>
      </c>
      <c r="L122" t="s">
        <v>2806</v>
      </c>
      <c r="M122" t="s">
        <v>2807</v>
      </c>
      <c r="N122" t="s">
        <v>2808</v>
      </c>
      <c r="O122" t="s">
        <v>2809</v>
      </c>
      <c r="P122" t="s">
        <v>2810</v>
      </c>
      <c r="Q122" t="s">
        <v>2811</v>
      </c>
      <c r="R122" t="b">
        <v>0</v>
      </c>
      <c r="S122" t="s">
        <v>3534</v>
      </c>
    </row>
    <row r="123" spans="1:19" ht="11.25" customHeight="1">
      <c r="A123">
        <v>2655</v>
      </c>
      <c r="B123" t="s">
        <v>87</v>
      </c>
      <c r="C123">
        <v>26356953</v>
      </c>
      <c r="D123" t="s">
        <v>2813</v>
      </c>
      <c r="E123" t="s">
        <v>2814</v>
      </c>
      <c r="F123" t="s">
        <v>2815</v>
      </c>
      <c r="G123" t="s">
        <v>2816</v>
      </c>
      <c r="H123" t="s">
        <v>2817</v>
      </c>
      <c r="I123" t="s">
        <v>2818</v>
      </c>
      <c r="J123" t="s">
        <v>114</v>
      </c>
      <c r="K123" t="s">
        <v>2819</v>
      </c>
      <c r="L123" t="s">
        <v>2819</v>
      </c>
      <c r="M123" t="s">
        <v>2820</v>
      </c>
      <c r="N123" t="s">
        <v>2821</v>
      </c>
      <c r="O123" t="s">
        <v>2822</v>
      </c>
      <c r="P123" t="s">
        <v>2823</v>
      </c>
      <c r="Q123" t="s">
        <v>2824</v>
      </c>
      <c r="R123" t="b">
        <v>0</v>
      </c>
      <c r="S123" t="s">
        <v>3534</v>
      </c>
    </row>
    <row r="124" spans="1:19" ht="11.25" customHeight="1">
      <c r="A124">
        <v>2655</v>
      </c>
      <c r="B124" t="s">
        <v>87</v>
      </c>
      <c r="C124">
        <v>26356915</v>
      </c>
      <c r="D124" t="s">
        <v>3409</v>
      </c>
      <c r="E124" t="s">
        <v>3410</v>
      </c>
      <c r="F124" t="s">
        <v>3411</v>
      </c>
      <c r="G124" t="s">
        <v>3039</v>
      </c>
      <c r="H124" t="s">
        <v>3412</v>
      </c>
      <c r="I124" t="s">
        <v>3413</v>
      </c>
      <c r="J124" t="s">
        <v>114</v>
      </c>
      <c r="K124" t="s">
        <v>3414</v>
      </c>
      <c r="L124" t="s">
        <v>3414</v>
      </c>
      <c r="M124" t="s">
        <v>3415</v>
      </c>
      <c r="N124" t="s">
        <v>3416</v>
      </c>
      <c r="O124" t="s">
        <v>3417</v>
      </c>
      <c r="P124" t="s">
        <v>2856</v>
      </c>
      <c r="Q124" t="s">
        <v>138</v>
      </c>
      <c r="R124" t="b">
        <v>0</v>
      </c>
      <c r="S124" t="s">
        <v>3534</v>
      </c>
    </row>
    <row r="125" spans="1:19" ht="11.25" customHeight="1">
      <c r="A125">
        <v>2655</v>
      </c>
      <c r="B125" t="s">
        <v>87</v>
      </c>
      <c r="C125">
        <v>26357007</v>
      </c>
      <c r="D125" t="s">
        <v>3535</v>
      </c>
      <c r="E125" t="s">
        <v>3536</v>
      </c>
      <c r="F125" t="s">
        <v>3537</v>
      </c>
      <c r="G125" t="s">
        <v>3077</v>
      </c>
      <c r="H125" t="s">
        <v>3538</v>
      </c>
      <c r="I125" t="s">
        <v>3539</v>
      </c>
      <c r="J125" t="s">
        <v>114</v>
      </c>
      <c r="K125" t="s">
        <v>3540</v>
      </c>
      <c r="L125" t="s">
        <v>3540</v>
      </c>
      <c r="M125" t="s">
        <v>3541</v>
      </c>
      <c r="N125" t="s">
        <v>3542</v>
      </c>
      <c r="O125" t="s">
        <v>3543</v>
      </c>
      <c r="P125" t="s">
        <v>2856</v>
      </c>
      <c r="Q125" t="s">
        <v>3544</v>
      </c>
      <c r="R125" t="b">
        <v>0</v>
      </c>
      <c r="S125" t="s">
        <v>3534</v>
      </c>
    </row>
    <row r="126" spans="1:19" ht="11.25" customHeight="1">
      <c r="A126">
        <v>2655</v>
      </c>
      <c r="B126" t="s">
        <v>87</v>
      </c>
      <c r="C126">
        <v>27804990</v>
      </c>
      <c r="D126" t="s">
        <v>2825</v>
      </c>
      <c r="E126" t="s">
        <v>2826</v>
      </c>
      <c r="F126" t="s">
        <v>2827</v>
      </c>
      <c r="G126" t="s">
        <v>2828</v>
      </c>
      <c r="H126" t="s">
        <v>2829</v>
      </c>
      <c r="I126" t="s">
        <v>2830</v>
      </c>
      <c r="J126" t="s">
        <v>114</v>
      </c>
      <c r="K126" t="s">
        <v>2831</v>
      </c>
      <c r="L126" t="s">
        <v>2832</v>
      </c>
      <c r="M126" t="s">
        <v>2833</v>
      </c>
      <c r="N126" t="s">
        <v>2834</v>
      </c>
      <c r="O126" t="s">
        <v>2835</v>
      </c>
      <c r="P126" t="s">
        <v>2836</v>
      </c>
      <c r="Q126" t="s">
        <v>2837</v>
      </c>
      <c r="R126" t="b">
        <v>0</v>
      </c>
      <c r="S126" t="s">
        <v>3534</v>
      </c>
    </row>
    <row r="127" spans="1:19" ht="11.25" customHeight="1">
      <c r="A127">
        <v>2655</v>
      </c>
      <c r="B127" t="s">
        <v>87</v>
      </c>
      <c r="C127">
        <v>28048296</v>
      </c>
      <c r="D127" t="s">
        <v>3545</v>
      </c>
      <c r="E127" t="s">
        <v>3546</v>
      </c>
      <c r="F127" t="s">
        <v>3547</v>
      </c>
      <c r="G127" t="s">
        <v>2828</v>
      </c>
      <c r="H127" t="s">
        <v>3548</v>
      </c>
      <c r="I127" t="s">
        <v>3549</v>
      </c>
      <c r="J127" t="s">
        <v>114</v>
      </c>
      <c r="K127" t="s">
        <v>3550</v>
      </c>
      <c r="L127" t="s">
        <v>2832</v>
      </c>
      <c r="M127" t="s">
        <v>3551</v>
      </c>
      <c r="N127" t="s">
        <v>2834</v>
      </c>
      <c r="O127" t="s">
        <v>2835</v>
      </c>
      <c r="P127" t="s">
        <v>2845</v>
      </c>
      <c r="Q127" t="s">
        <v>2837</v>
      </c>
      <c r="R127" t="b">
        <v>0</v>
      </c>
      <c r="S127" t="s">
        <v>3534</v>
      </c>
    </row>
    <row r="128" spans="1:19" ht="11.25" customHeight="1">
      <c r="A128">
        <v>2655</v>
      </c>
      <c r="B128" t="s">
        <v>87</v>
      </c>
      <c r="C128">
        <v>27804826</v>
      </c>
      <c r="D128" t="s">
        <v>2838</v>
      </c>
      <c r="E128" t="s">
        <v>2839</v>
      </c>
      <c r="F128" t="s">
        <v>2840</v>
      </c>
      <c r="G128" t="s">
        <v>2828</v>
      </c>
      <c r="H128" t="s">
        <v>2841</v>
      </c>
      <c r="I128" t="s">
        <v>2842</v>
      </c>
      <c r="J128" t="s">
        <v>114</v>
      </c>
      <c r="K128" t="s">
        <v>2831</v>
      </c>
      <c r="L128" t="s">
        <v>2832</v>
      </c>
      <c r="M128" t="s">
        <v>2843</v>
      </c>
      <c r="N128" t="s">
        <v>2844</v>
      </c>
      <c r="O128" t="s">
        <v>2835</v>
      </c>
      <c r="P128" t="s">
        <v>2845</v>
      </c>
      <c r="Q128" t="s">
        <v>2837</v>
      </c>
      <c r="R128" t="b">
        <v>0</v>
      </c>
      <c r="S128" t="s">
        <v>3534</v>
      </c>
    </row>
    <row r="129" spans="1:19" ht="11.25" customHeight="1">
      <c r="A129">
        <v>2655</v>
      </c>
      <c r="B129" t="s">
        <v>87</v>
      </c>
      <c r="C129">
        <v>27804896</v>
      </c>
      <c r="D129" t="s">
        <v>3552</v>
      </c>
      <c r="E129" t="s">
        <v>3553</v>
      </c>
      <c r="F129" t="s">
        <v>3554</v>
      </c>
      <c r="G129" t="s">
        <v>2828</v>
      </c>
      <c r="H129" t="s">
        <v>3555</v>
      </c>
      <c r="I129" t="s">
        <v>3556</v>
      </c>
      <c r="J129" t="s">
        <v>114</v>
      </c>
      <c r="K129" t="s">
        <v>2831</v>
      </c>
      <c r="L129" t="s">
        <v>2832</v>
      </c>
      <c r="M129" t="s">
        <v>3557</v>
      </c>
      <c r="N129" t="s">
        <v>3558</v>
      </c>
      <c r="O129" t="s">
        <v>2835</v>
      </c>
      <c r="P129" t="s">
        <v>2845</v>
      </c>
      <c r="Q129" t="s">
        <v>2837</v>
      </c>
      <c r="R129" t="b">
        <v>0</v>
      </c>
      <c r="S129" t="s">
        <v>3534</v>
      </c>
    </row>
    <row r="130" spans="1:19" ht="11.25" customHeight="1">
      <c r="A130">
        <v>2655</v>
      </c>
      <c r="B130" t="s">
        <v>87</v>
      </c>
      <c r="C130">
        <v>27820148</v>
      </c>
      <c r="D130" t="s">
        <v>97</v>
      </c>
      <c r="E130" t="s">
        <v>100</v>
      </c>
      <c r="F130" t="s">
        <v>107</v>
      </c>
      <c r="G130" t="s">
        <v>109</v>
      </c>
      <c r="H130" t="s">
        <v>105</v>
      </c>
      <c r="I130" t="s">
        <v>111</v>
      </c>
      <c r="J130" t="s">
        <v>114</v>
      </c>
      <c r="K130" t="s">
        <v>117</v>
      </c>
      <c r="L130" t="s">
        <v>117</v>
      </c>
      <c r="M130" t="s">
        <v>3426</v>
      </c>
      <c r="N130" t="s">
        <v>125</v>
      </c>
      <c r="O130" t="s">
        <v>3427</v>
      </c>
      <c r="P130" t="s">
        <v>3428</v>
      </c>
      <c r="Q130" t="s">
        <v>134</v>
      </c>
      <c r="R130" t="b">
        <v>0</v>
      </c>
      <c r="S130" t="s">
        <v>3534</v>
      </c>
    </row>
    <row r="131" spans="1:19" ht="11.25" customHeight="1">
      <c r="A131">
        <v>2655</v>
      </c>
      <c r="B131" t="s">
        <v>87</v>
      </c>
      <c r="C131">
        <v>26356905</v>
      </c>
      <c r="D131" t="s">
        <v>3559</v>
      </c>
      <c r="E131" t="s">
        <v>3560</v>
      </c>
      <c r="F131" t="s">
        <v>3561</v>
      </c>
      <c r="G131" t="s">
        <v>2828</v>
      </c>
      <c r="H131" t="s">
        <v>3562</v>
      </c>
      <c r="I131" t="s">
        <v>3563</v>
      </c>
      <c r="J131" t="s">
        <v>114</v>
      </c>
      <c r="K131" t="s">
        <v>3564</v>
      </c>
      <c r="L131" t="s">
        <v>3564</v>
      </c>
      <c r="M131" t="s">
        <v>3565</v>
      </c>
      <c r="N131" t="s">
        <v>3566</v>
      </c>
      <c r="O131" t="s">
        <v>3567</v>
      </c>
      <c r="P131" t="s">
        <v>3568</v>
      </c>
      <c r="Q131" t="s">
        <v>3569</v>
      </c>
      <c r="R131" t="b">
        <v>0</v>
      </c>
      <c r="S131" t="s">
        <v>3534</v>
      </c>
    </row>
    <row r="132" spans="1:19" ht="11.25" customHeight="1">
      <c r="A132">
        <v>2655</v>
      </c>
      <c r="B132" t="s">
        <v>87</v>
      </c>
      <c r="C132">
        <v>26652554</v>
      </c>
      <c r="D132" t="s">
        <v>3570</v>
      </c>
      <c r="E132" t="s">
        <v>3571</v>
      </c>
      <c r="F132" t="s">
        <v>3572</v>
      </c>
      <c r="G132" t="s">
        <v>3318</v>
      </c>
      <c r="H132" t="s">
        <v>3573</v>
      </c>
      <c r="J132" t="s">
        <v>114</v>
      </c>
      <c r="K132" t="s">
        <v>3574</v>
      </c>
      <c r="L132" t="s">
        <v>3574</v>
      </c>
      <c r="M132" t="s">
        <v>3575</v>
      </c>
      <c r="N132" t="s">
        <v>3576</v>
      </c>
      <c r="O132" t="s">
        <v>3577</v>
      </c>
      <c r="P132" t="s">
        <v>2856</v>
      </c>
      <c r="Q132" t="s">
        <v>3578</v>
      </c>
      <c r="R132" t="b">
        <v>0</v>
      </c>
      <c r="S132" t="s">
        <v>3534</v>
      </c>
    </row>
    <row r="133" spans="1:19" ht="11.25" customHeight="1">
      <c r="A133">
        <v>2655</v>
      </c>
      <c r="B133" t="s">
        <v>87</v>
      </c>
      <c r="C133">
        <v>26356926</v>
      </c>
      <c r="D133" t="s">
        <v>3579</v>
      </c>
      <c r="E133" t="s">
        <v>3580</v>
      </c>
      <c r="F133" t="s">
        <v>3581</v>
      </c>
      <c r="G133" t="s">
        <v>109</v>
      </c>
      <c r="H133" t="s">
        <v>3582</v>
      </c>
      <c r="I133" t="s">
        <v>3583</v>
      </c>
      <c r="J133" t="s">
        <v>3584</v>
      </c>
      <c r="K133" t="s">
        <v>3585</v>
      </c>
      <c r="L133" t="s">
        <v>3585</v>
      </c>
      <c r="M133" t="s">
        <v>3586</v>
      </c>
      <c r="N133" t="s">
        <v>3587</v>
      </c>
      <c r="O133" t="s">
        <v>3588</v>
      </c>
      <c r="P133" t="s">
        <v>3589</v>
      </c>
      <c r="Q133" t="s">
        <v>3590</v>
      </c>
      <c r="R133" t="b">
        <v>0</v>
      </c>
      <c r="S133" t="s">
        <v>3534</v>
      </c>
    </row>
    <row r="134" spans="1:19" ht="11.25" customHeight="1">
      <c r="A134">
        <v>2655</v>
      </c>
      <c r="B134" t="s">
        <v>87</v>
      </c>
      <c r="C134">
        <v>28875287</v>
      </c>
      <c r="D134" t="s">
        <v>3591</v>
      </c>
      <c r="E134" t="s">
        <v>3592</v>
      </c>
      <c r="F134" t="s">
        <v>3593</v>
      </c>
      <c r="G134" t="s">
        <v>109</v>
      </c>
      <c r="H134" t="s">
        <v>3594</v>
      </c>
      <c r="I134" t="s">
        <v>3595</v>
      </c>
      <c r="J134" t="s">
        <v>3596</v>
      </c>
      <c r="K134" t="s">
        <v>3597</v>
      </c>
      <c r="L134" t="s">
        <v>3597</v>
      </c>
      <c r="M134" t="s">
        <v>3598</v>
      </c>
      <c r="N134" t="s">
        <v>3599</v>
      </c>
      <c r="O134" t="s">
        <v>3600</v>
      </c>
      <c r="P134" t="s">
        <v>3601</v>
      </c>
      <c r="R134" t="b">
        <v>0</v>
      </c>
      <c r="S134" t="s">
        <v>3534</v>
      </c>
    </row>
    <row r="135" spans="1:19" ht="11.25" customHeight="1">
      <c r="A135">
        <v>2655</v>
      </c>
      <c r="B135" t="s">
        <v>87</v>
      </c>
      <c r="C135">
        <v>31720063</v>
      </c>
      <c r="D135" t="s">
        <v>3602</v>
      </c>
      <c r="E135" t="s">
        <v>3603</v>
      </c>
      <c r="F135" t="s">
        <v>3604</v>
      </c>
      <c r="G135" t="s">
        <v>3001</v>
      </c>
      <c r="H135" t="s">
        <v>3605</v>
      </c>
      <c r="I135" t="s">
        <v>3606</v>
      </c>
      <c r="K135" t="s">
        <v>3607</v>
      </c>
      <c r="L135" t="s">
        <v>3607</v>
      </c>
      <c r="N135" t="s">
        <v>3608</v>
      </c>
      <c r="O135" t="s">
        <v>3609</v>
      </c>
      <c r="P135" t="s">
        <v>2968</v>
      </c>
      <c r="Q135" t="s">
        <v>3610</v>
      </c>
      <c r="R135" t="b">
        <v>0</v>
      </c>
      <c r="S135" t="s">
        <v>3534</v>
      </c>
    </row>
    <row r="136" spans="1:19" ht="11.25" customHeight="1">
      <c r="A136">
        <v>2655</v>
      </c>
      <c r="B136" t="s">
        <v>87</v>
      </c>
      <c r="C136">
        <v>31826293</v>
      </c>
      <c r="D136" t="s">
        <v>3611</v>
      </c>
      <c r="E136" t="s">
        <v>3612</v>
      </c>
      <c r="F136" t="s">
        <v>3613</v>
      </c>
      <c r="G136" t="s">
        <v>3614</v>
      </c>
      <c r="H136" t="s">
        <v>3615</v>
      </c>
      <c r="I136" t="s">
        <v>3616</v>
      </c>
      <c r="K136" t="s">
        <v>3617</v>
      </c>
      <c r="L136" t="s">
        <v>3618</v>
      </c>
      <c r="M136" t="s">
        <v>162</v>
      </c>
      <c r="N136" t="s">
        <v>3211</v>
      </c>
      <c r="O136" t="s">
        <v>3212</v>
      </c>
      <c r="P136" t="s">
        <v>2968</v>
      </c>
      <c r="Q136" t="s">
        <v>162</v>
      </c>
      <c r="R136" t="b">
        <v>0</v>
      </c>
      <c r="S136" t="s">
        <v>3534</v>
      </c>
    </row>
    <row r="137" spans="1:19" ht="11.25" customHeight="1">
      <c r="A137">
        <v>2655</v>
      </c>
      <c r="B137" t="s">
        <v>87</v>
      </c>
      <c r="C137">
        <v>28262434</v>
      </c>
      <c r="D137" t="s">
        <v>3619</v>
      </c>
      <c r="E137" t="s">
        <v>3620</v>
      </c>
      <c r="F137" t="s">
        <v>3621</v>
      </c>
      <c r="G137" t="s">
        <v>3622</v>
      </c>
      <c r="H137" t="s">
        <v>3623</v>
      </c>
      <c r="I137" t="s">
        <v>3624</v>
      </c>
      <c r="J137" t="s">
        <v>114</v>
      </c>
      <c r="K137" t="s">
        <v>3625</v>
      </c>
      <c r="L137" t="s">
        <v>3625</v>
      </c>
      <c r="M137" t="s">
        <v>3626</v>
      </c>
      <c r="N137" t="s">
        <v>3627</v>
      </c>
      <c r="O137" t="s">
        <v>3628</v>
      </c>
      <c r="P137" t="s">
        <v>2856</v>
      </c>
      <c r="R137" t="b">
        <v>0</v>
      </c>
      <c r="S137" t="s">
        <v>3534</v>
      </c>
    </row>
    <row r="138" spans="1:19" ht="11.25" customHeight="1">
      <c r="A138">
        <v>2655</v>
      </c>
      <c r="B138" t="s">
        <v>87</v>
      </c>
      <c r="C138">
        <v>31382238</v>
      </c>
      <c r="D138" t="s">
        <v>3629</v>
      </c>
      <c r="E138" t="s">
        <v>3630</v>
      </c>
      <c r="F138" t="s">
        <v>3631</v>
      </c>
      <c r="G138" t="s">
        <v>3632</v>
      </c>
      <c r="H138" t="s">
        <v>3633</v>
      </c>
      <c r="I138" t="s">
        <v>3634</v>
      </c>
      <c r="J138" t="s">
        <v>3635</v>
      </c>
      <c r="K138" t="s">
        <v>3636</v>
      </c>
      <c r="L138" t="s">
        <v>3636</v>
      </c>
      <c r="O138" t="s">
        <v>3637</v>
      </c>
      <c r="P138" t="s">
        <v>3638</v>
      </c>
      <c r="R138" t="b">
        <v>1</v>
      </c>
      <c r="S138" t="s">
        <v>3534</v>
      </c>
    </row>
    <row r="139" spans="1:19" ht="11.25" customHeight="1">
      <c r="A139">
        <v>2655</v>
      </c>
      <c r="B139" t="s">
        <v>87</v>
      </c>
      <c r="C139">
        <v>26322867</v>
      </c>
      <c r="D139" t="s">
        <v>2910</v>
      </c>
      <c r="E139" t="s">
        <v>2911</v>
      </c>
      <c r="F139" t="s">
        <v>2912</v>
      </c>
      <c r="G139" t="s">
        <v>2871</v>
      </c>
      <c r="H139" t="s">
        <v>2913</v>
      </c>
      <c r="I139" t="s">
        <v>2914</v>
      </c>
      <c r="J139" t="s">
        <v>114</v>
      </c>
      <c r="K139" t="s">
        <v>2915</v>
      </c>
      <c r="L139" t="s">
        <v>2915</v>
      </c>
      <c r="M139" t="s">
        <v>2916</v>
      </c>
      <c r="N139" t="s">
        <v>2917</v>
      </c>
      <c r="O139" t="s">
        <v>2918</v>
      </c>
      <c r="P139" t="s">
        <v>2856</v>
      </c>
      <c r="Q139" t="s">
        <v>2919</v>
      </c>
      <c r="R139" t="b">
        <v>0</v>
      </c>
      <c r="S139" t="s">
        <v>3534</v>
      </c>
    </row>
    <row r="140" spans="1:19" ht="11.25" customHeight="1">
      <c r="A140">
        <v>2655</v>
      </c>
      <c r="B140" t="s">
        <v>87</v>
      </c>
      <c r="C140">
        <v>26824396</v>
      </c>
      <c r="D140" t="s">
        <v>2929</v>
      </c>
      <c r="E140" t="s">
        <v>2930</v>
      </c>
      <c r="F140" t="s">
        <v>2903</v>
      </c>
      <c r="G140" t="s">
        <v>2931</v>
      </c>
      <c r="H140" t="s">
        <v>2904</v>
      </c>
      <c r="J140" t="s">
        <v>2896</v>
      </c>
      <c r="K140" t="s">
        <v>2932</v>
      </c>
      <c r="L140" t="s">
        <v>2932</v>
      </c>
      <c r="M140" t="s">
        <v>2933</v>
      </c>
      <c r="O140" t="s">
        <v>2934</v>
      </c>
      <c r="P140" t="s">
        <v>2928</v>
      </c>
      <c r="R140" t="b">
        <v>0</v>
      </c>
      <c r="S140" t="s">
        <v>3534</v>
      </c>
    </row>
    <row r="141" spans="1:19" ht="11.25" customHeight="1">
      <c r="A141">
        <v>2655</v>
      </c>
      <c r="B141" t="s">
        <v>87</v>
      </c>
      <c r="C141">
        <v>30808700</v>
      </c>
      <c r="D141" t="s">
        <v>2958</v>
      </c>
      <c r="E141" t="s">
        <v>2959</v>
      </c>
      <c r="F141" t="s">
        <v>2960</v>
      </c>
      <c r="G141" t="s">
        <v>2849</v>
      </c>
      <c r="H141" t="s">
        <v>2961</v>
      </c>
      <c r="I141" t="s">
        <v>2962</v>
      </c>
      <c r="J141" t="s">
        <v>2953</v>
      </c>
      <c r="K141" t="s">
        <v>2963</v>
      </c>
      <c r="L141" t="s">
        <v>2964</v>
      </c>
      <c r="M141" t="s">
        <v>2965</v>
      </c>
      <c r="N141" t="s">
        <v>2966</v>
      </c>
      <c r="O141" t="s">
        <v>2967</v>
      </c>
      <c r="P141" t="s">
        <v>2968</v>
      </c>
      <c r="R141" t="b">
        <v>1</v>
      </c>
      <c r="S141" t="s">
        <v>3534</v>
      </c>
    </row>
    <row r="142" spans="1:19" ht="11.25" customHeight="1">
      <c r="A142">
        <v>2655</v>
      </c>
      <c r="B142" t="s">
        <v>87</v>
      </c>
      <c r="C142">
        <v>31319221</v>
      </c>
      <c r="D142" t="s">
        <v>2969</v>
      </c>
      <c r="E142" t="s">
        <v>2970</v>
      </c>
      <c r="F142" t="s">
        <v>2971</v>
      </c>
      <c r="G142" t="s">
        <v>2950</v>
      </c>
      <c r="H142" t="s">
        <v>2972</v>
      </c>
      <c r="I142" t="s">
        <v>2973</v>
      </c>
      <c r="J142" t="s">
        <v>2941</v>
      </c>
      <c r="K142" t="s">
        <v>2974</v>
      </c>
      <c r="L142" t="s">
        <v>2975</v>
      </c>
      <c r="M142" t="s">
        <v>2976</v>
      </c>
      <c r="N142" t="s">
        <v>2977</v>
      </c>
      <c r="O142" t="s">
        <v>2978</v>
      </c>
      <c r="P142" t="s">
        <v>2946</v>
      </c>
      <c r="R142" t="b">
        <v>0</v>
      </c>
      <c r="S142" t="s">
        <v>3534</v>
      </c>
    </row>
    <row r="143" spans="1:19" ht="11.25" customHeight="1">
      <c r="A143">
        <v>2655</v>
      </c>
      <c r="B143" t="s">
        <v>87</v>
      </c>
      <c r="C143">
        <v>31343443</v>
      </c>
      <c r="D143" t="s">
        <v>2990</v>
      </c>
      <c r="E143" t="s">
        <v>2991</v>
      </c>
      <c r="F143" t="s">
        <v>2992</v>
      </c>
      <c r="G143" t="s">
        <v>2849</v>
      </c>
      <c r="H143" t="s">
        <v>2993</v>
      </c>
      <c r="I143" t="s">
        <v>2994</v>
      </c>
      <c r="J143" t="s">
        <v>2941</v>
      </c>
      <c r="K143" t="s">
        <v>2995</v>
      </c>
      <c r="L143" t="s">
        <v>2995</v>
      </c>
      <c r="N143" t="s">
        <v>2996</v>
      </c>
      <c r="O143" t="s">
        <v>2997</v>
      </c>
      <c r="P143" t="s">
        <v>2968</v>
      </c>
      <c r="R143" t="b">
        <v>0</v>
      </c>
      <c r="S143" t="s">
        <v>3534</v>
      </c>
    </row>
    <row r="144" spans="1:19" ht="11.25" customHeight="1">
      <c r="A144">
        <v>2655</v>
      </c>
      <c r="B144" t="s">
        <v>87</v>
      </c>
      <c r="C144">
        <v>31367841</v>
      </c>
      <c r="D144" t="s">
        <v>2998</v>
      </c>
      <c r="E144" t="s">
        <v>2999</v>
      </c>
      <c r="F144" t="s">
        <v>3000</v>
      </c>
      <c r="G144" t="s">
        <v>3001</v>
      </c>
      <c r="H144" t="s">
        <v>3002</v>
      </c>
      <c r="I144" t="s">
        <v>3003</v>
      </c>
      <c r="J144" t="s">
        <v>2953</v>
      </c>
      <c r="K144" t="s">
        <v>3004</v>
      </c>
      <c r="L144" t="s">
        <v>3004</v>
      </c>
      <c r="N144" t="s">
        <v>3005</v>
      </c>
      <c r="O144" t="s">
        <v>3006</v>
      </c>
      <c r="P144" t="s">
        <v>2946</v>
      </c>
      <c r="R144" t="b">
        <v>0</v>
      </c>
      <c r="S144" t="s">
        <v>3534</v>
      </c>
    </row>
    <row r="145" spans="1:19" ht="11.25" customHeight="1">
      <c r="A145">
        <v>2655</v>
      </c>
      <c r="B145" t="s">
        <v>87</v>
      </c>
      <c r="C145">
        <v>31087651</v>
      </c>
      <c r="D145" t="s">
        <v>3007</v>
      </c>
      <c r="E145" t="s">
        <v>3008</v>
      </c>
      <c r="F145" t="s">
        <v>3009</v>
      </c>
      <c r="G145" t="s">
        <v>3010</v>
      </c>
      <c r="H145" t="s">
        <v>3011</v>
      </c>
      <c r="I145" t="s">
        <v>3012</v>
      </c>
      <c r="J145" t="s">
        <v>2941</v>
      </c>
      <c r="K145" t="s">
        <v>3013</v>
      </c>
      <c r="L145" t="s">
        <v>3013</v>
      </c>
      <c r="M145" t="s">
        <v>3014</v>
      </c>
      <c r="N145" t="s">
        <v>3015</v>
      </c>
      <c r="O145" t="s">
        <v>3016</v>
      </c>
      <c r="R145" t="b">
        <v>0</v>
      </c>
      <c r="S145" t="s">
        <v>3534</v>
      </c>
    </row>
    <row r="146" spans="1:19" ht="11.25" customHeight="1">
      <c r="A146">
        <v>2655</v>
      </c>
      <c r="B146" t="s">
        <v>87</v>
      </c>
      <c r="C146">
        <v>31367862</v>
      </c>
      <c r="D146" t="s">
        <v>3017</v>
      </c>
      <c r="E146" t="s">
        <v>3018</v>
      </c>
      <c r="F146" t="s">
        <v>3019</v>
      </c>
      <c r="G146" t="s">
        <v>3001</v>
      </c>
      <c r="H146" t="s">
        <v>3020</v>
      </c>
      <c r="I146" t="s">
        <v>3021</v>
      </c>
      <c r="J146" t="s">
        <v>2941</v>
      </c>
      <c r="K146" t="s">
        <v>3022</v>
      </c>
      <c r="L146" t="s">
        <v>3022</v>
      </c>
      <c r="N146" t="s">
        <v>3023</v>
      </c>
      <c r="O146" t="s">
        <v>3024</v>
      </c>
      <c r="P146" t="s">
        <v>2946</v>
      </c>
      <c r="R146" t="b">
        <v>0</v>
      </c>
      <c r="S146" t="s">
        <v>3534</v>
      </c>
    </row>
    <row r="147" spans="1:19" ht="11.25" customHeight="1">
      <c r="A147">
        <v>2655</v>
      </c>
      <c r="B147" t="s">
        <v>87</v>
      </c>
      <c r="C147">
        <v>31618036</v>
      </c>
      <c r="D147" t="s">
        <v>3025</v>
      </c>
      <c r="E147" t="s">
        <v>3026</v>
      </c>
      <c r="F147" t="s">
        <v>3027</v>
      </c>
      <c r="G147" t="s">
        <v>2828</v>
      </c>
      <c r="H147" t="s">
        <v>3028</v>
      </c>
      <c r="I147" t="s">
        <v>3029</v>
      </c>
      <c r="K147" t="s">
        <v>3030</v>
      </c>
      <c r="L147" t="s">
        <v>3031</v>
      </c>
      <c r="M147" t="s">
        <v>3032</v>
      </c>
      <c r="N147" t="s">
        <v>3033</v>
      </c>
      <c r="O147" t="s">
        <v>3034</v>
      </c>
      <c r="P147" t="s">
        <v>2946</v>
      </c>
      <c r="Q147" t="s">
        <v>3035</v>
      </c>
      <c r="R147" t="b">
        <v>0</v>
      </c>
      <c r="S147" t="s">
        <v>3534</v>
      </c>
    </row>
    <row r="148" spans="1:19" ht="11.25" customHeight="1">
      <c r="A148">
        <v>2655</v>
      </c>
      <c r="B148" t="s">
        <v>87</v>
      </c>
      <c r="C148">
        <v>31085797</v>
      </c>
      <c r="D148" t="s">
        <v>3639</v>
      </c>
      <c r="E148" t="s">
        <v>3640</v>
      </c>
      <c r="F148" t="s">
        <v>3641</v>
      </c>
      <c r="G148" t="s">
        <v>3518</v>
      </c>
      <c r="H148" t="s">
        <v>3642</v>
      </c>
      <c r="I148" t="s">
        <v>3643</v>
      </c>
      <c r="J148" t="s">
        <v>2953</v>
      </c>
      <c r="K148" t="s">
        <v>3644</v>
      </c>
      <c r="L148" t="s">
        <v>3645</v>
      </c>
      <c r="M148" t="s">
        <v>3646</v>
      </c>
      <c r="N148" t="s">
        <v>3647</v>
      </c>
      <c r="O148" t="s">
        <v>3648</v>
      </c>
      <c r="P148" t="s">
        <v>2946</v>
      </c>
      <c r="R148" t="b">
        <v>1</v>
      </c>
      <c r="S148" t="s">
        <v>3534</v>
      </c>
    </row>
    <row r="149" spans="1:19" ht="11.25" customHeight="1">
      <c r="A149">
        <v>2655</v>
      </c>
      <c r="B149" t="s">
        <v>87</v>
      </c>
      <c r="C149">
        <v>26486390</v>
      </c>
      <c r="D149" t="s">
        <v>3036</v>
      </c>
      <c r="E149" t="s">
        <v>3037</v>
      </c>
      <c r="F149" t="s">
        <v>3038</v>
      </c>
      <c r="G149" t="s">
        <v>3039</v>
      </c>
      <c r="H149" t="s">
        <v>3040</v>
      </c>
      <c r="I149" t="s">
        <v>3041</v>
      </c>
      <c r="J149" t="s">
        <v>2953</v>
      </c>
      <c r="K149" t="s">
        <v>3042</v>
      </c>
      <c r="L149" t="s">
        <v>3043</v>
      </c>
      <c r="M149" t="s">
        <v>3044</v>
      </c>
      <c r="N149" t="s">
        <v>3045</v>
      </c>
      <c r="O149" t="s">
        <v>3046</v>
      </c>
      <c r="P149" t="s">
        <v>2946</v>
      </c>
      <c r="R149" t="b">
        <v>0</v>
      </c>
      <c r="S149" t="s">
        <v>3534</v>
      </c>
    </row>
    <row r="150" spans="1:19" ht="11.25" customHeight="1">
      <c r="A150">
        <v>2655</v>
      </c>
      <c r="B150" t="s">
        <v>87</v>
      </c>
      <c r="C150">
        <v>31187282</v>
      </c>
      <c r="D150" t="s">
        <v>3649</v>
      </c>
      <c r="E150" t="s">
        <v>3650</v>
      </c>
      <c r="F150" t="s">
        <v>3651</v>
      </c>
      <c r="G150" t="s">
        <v>2861</v>
      </c>
      <c r="H150" t="s">
        <v>3652</v>
      </c>
      <c r="I150" t="s">
        <v>3653</v>
      </c>
      <c r="J150" t="s">
        <v>2953</v>
      </c>
      <c r="K150" t="s">
        <v>3654</v>
      </c>
      <c r="L150" t="s">
        <v>3654</v>
      </c>
      <c r="N150" t="s">
        <v>3655</v>
      </c>
      <c r="O150" t="s">
        <v>3656</v>
      </c>
      <c r="P150" t="s">
        <v>2946</v>
      </c>
      <c r="R150" t="b">
        <v>0</v>
      </c>
      <c r="S150" t="s">
        <v>3534</v>
      </c>
    </row>
    <row r="151" spans="1:19" ht="11.25" customHeight="1">
      <c r="A151">
        <v>2655</v>
      </c>
      <c r="B151" t="s">
        <v>87</v>
      </c>
      <c r="C151">
        <v>31284269</v>
      </c>
      <c r="D151" t="s">
        <v>3084</v>
      </c>
      <c r="E151" t="s">
        <v>3085</v>
      </c>
      <c r="F151" t="s">
        <v>3086</v>
      </c>
      <c r="G151" t="s">
        <v>3010</v>
      </c>
      <c r="H151" t="s">
        <v>3087</v>
      </c>
      <c r="I151" t="s">
        <v>3088</v>
      </c>
      <c r="J151" t="s">
        <v>2953</v>
      </c>
      <c r="K151" t="s">
        <v>3089</v>
      </c>
      <c r="L151" t="s">
        <v>3090</v>
      </c>
      <c r="M151" t="s">
        <v>3091</v>
      </c>
      <c r="N151" t="s">
        <v>3092</v>
      </c>
      <c r="O151" t="s">
        <v>3093</v>
      </c>
      <c r="R151" t="b">
        <v>0</v>
      </c>
      <c r="S151" t="s">
        <v>3534</v>
      </c>
    </row>
    <row r="152" spans="1:19" ht="11.25" customHeight="1">
      <c r="A152">
        <v>2655</v>
      </c>
      <c r="B152" t="s">
        <v>87</v>
      </c>
      <c r="C152">
        <v>31159389</v>
      </c>
      <c r="D152" t="s">
        <v>3657</v>
      </c>
      <c r="E152" t="s">
        <v>3658</v>
      </c>
      <c r="F152" t="s">
        <v>3659</v>
      </c>
      <c r="G152" t="s">
        <v>2982</v>
      </c>
      <c r="H152" t="s">
        <v>3660</v>
      </c>
      <c r="I152" t="s">
        <v>3661</v>
      </c>
      <c r="J152" t="s">
        <v>2953</v>
      </c>
      <c r="K152" t="s">
        <v>3662</v>
      </c>
      <c r="L152" t="s">
        <v>3663</v>
      </c>
      <c r="M152" t="s">
        <v>3664</v>
      </c>
      <c r="N152" t="s">
        <v>3665</v>
      </c>
      <c r="O152" t="s">
        <v>3666</v>
      </c>
      <c r="P152" t="s">
        <v>2946</v>
      </c>
      <c r="R152" t="b">
        <v>0</v>
      </c>
      <c r="S152" t="s">
        <v>3534</v>
      </c>
    </row>
    <row r="153" spans="1:19" ht="11.25" customHeight="1">
      <c r="A153">
        <v>2655</v>
      </c>
      <c r="B153" t="s">
        <v>87</v>
      </c>
      <c r="C153">
        <v>26322895</v>
      </c>
      <c r="D153" t="s">
        <v>3114</v>
      </c>
      <c r="E153" t="s">
        <v>3115</v>
      </c>
      <c r="F153" t="s">
        <v>3116</v>
      </c>
      <c r="G153" t="s">
        <v>2828</v>
      </c>
      <c r="H153" t="s">
        <v>3117</v>
      </c>
      <c r="I153" t="s">
        <v>3118</v>
      </c>
      <c r="J153" t="s">
        <v>2896</v>
      </c>
      <c r="K153" t="s">
        <v>3119</v>
      </c>
      <c r="L153" t="s">
        <v>3119</v>
      </c>
      <c r="M153" t="s">
        <v>3120</v>
      </c>
      <c r="N153" t="s">
        <v>3121</v>
      </c>
      <c r="O153" t="s">
        <v>3122</v>
      </c>
      <c r="P153" t="s">
        <v>2856</v>
      </c>
      <c r="Q153" t="s">
        <v>3123</v>
      </c>
      <c r="R153" t="b">
        <v>0</v>
      </c>
      <c r="S153" t="s">
        <v>3534</v>
      </c>
    </row>
    <row r="154" spans="1:19" ht="11.25" customHeight="1">
      <c r="A154">
        <v>2655</v>
      </c>
      <c r="B154" t="s">
        <v>87</v>
      </c>
      <c r="C154">
        <v>26356930</v>
      </c>
      <c r="D154" t="s">
        <v>3667</v>
      </c>
      <c r="E154" t="s">
        <v>3668</v>
      </c>
      <c r="F154" t="s">
        <v>3669</v>
      </c>
      <c r="G154" t="s">
        <v>109</v>
      </c>
      <c r="H154" t="s">
        <v>3670</v>
      </c>
      <c r="I154" t="s">
        <v>3671</v>
      </c>
      <c r="J154" t="s">
        <v>3128</v>
      </c>
      <c r="K154" t="s">
        <v>3672</v>
      </c>
      <c r="L154" t="s">
        <v>3672</v>
      </c>
      <c r="M154" t="s">
        <v>3673</v>
      </c>
      <c r="O154" t="s">
        <v>3674</v>
      </c>
      <c r="P154" t="s">
        <v>2946</v>
      </c>
      <c r="R154" t="b">
        <v>1</v>
      </c>
      <c r="S154" t="s">
        <v>3534</v>
      </c>
    </row>
    <row r="155" spans="1:19" ht="11.25" customHeight="1">
      <c r="A155">
        <v>2655</v>
      </c>
      <c r="B155" t="s">
        <v>87</v>
      </c>
      <c r="C155">
        <v>30843704</v>
      </c>
      <c r="D155" t="s">
        <v>3675</v>
      </c>
      <c r="E155" t="s">
        <v>3676</v>
      </c>
      <c r="F155" t="s">
        <v>3677</v>
      </c>
      <c r="G155" t="s">
        <v>2828</v>
      </c>
      <c r="H155" t="s">
        <v>3678</v>
      </c>
      <c r="I155" t="s">
        <v>3679</v>
      </c>
      <c r="J155" t="s">
        <v>3128</v>
      </c>
      <c r="K155" t="s">
        <v>3680</v>
      </c>
      <c r="L155" t="s">
        <v>3681</v>
      </c>
      <c r="N155" t="s">
        <v>3682</v>
      </c>
      <c r="O155" t="s">
        <v>3683</v>
      </c>
      <c r="P155" t="s">
        <v>2856</v>
      </c>
      <c r="R155" t="b">
        <v>0</v>
      </c>
      <c r="S155" t="s">
        <v>3534</v>
      </c>
    </row>
    <row r="156" spans="1:19" ht="11.25" customHeight="1">
      <c r="A156">
        <v>2655</v>
      </c>
      <c r="B156" t="s">
        <v>87</v>
      </c>
      <c r="C156">
        <v>26798812</v>
      </c>
      <c r="D156" t="s">
        <v>3684</v>
      </c>
      <c r="E156" t="s">
        <v>3685</v>
      </c>
      <c r="F156" t="s">
        <v>3686</v>
      </c>
      <c r="G156" t="s">
        <v>3518</v>
      </c>
      <c r="H156" t="s">
        <v>3687</v>
      </c>
      <c r="I156" t="s">
        <v>3688</v>
      </c>
      <c r="J156" t="s">
        <v>3128</v>
      </c>
      <c r="K156" t="s">
        <v>3689</v>
      </c>
      <c r="L156" t="s">
        <v>3689</v>
      </c>
      <c r="M156" t="s">
        <v>3690</v>
      </c>
      <c r="N156" t="s">
        <v>3691</v>
      </c>
      <c r="O156" t="s">
        <v>3692</v>
      </c>
      <c r="P156" t="s">
        <v>2856</v>
      </c>
      <c r="Q156" t="s">
        <v>3693</v>
      </c>
      <c r="R156" t="b">
        <v>0</v>
      </c>
      <c r="S156" t="s">
        <v>3534</v>
      </c>
    </row>
    <row r="157" spans="1:19" ht="11.25" customHeight="1">
      <c r="A157">
        <v>2655</v>
      </c>
      <c r="B157" t="s">
        <v>87</v>
      </c>
      <c r="C157">
        <v>28003986</v>
      </c>
      <c r="D157" t="s">
        <v>3694</v>
      </c>
      <c r="E157" t="s">
        <v>3695</v>
      </c>
      <c r="F157" t="s">
        <v>3696</v>
      </c>
      <c r="G157" t="s">
        <v>2861</v>
      </c>
      <c r="H157" t="s">
        <v>3697</v>
      </c>
      <c r="I157" t="s">
        <v>3698</v>
      </c>
      <c r="J157" t="s">
        <v>3128</v>
      </c>
      <c r="K157" t="s">
        <v>3699</v>
      </c>
      <c r="L157" t="s">
        <v>3699</v>
      </c>
      <c r="M157" t="s">
        <v>3700</v>
      </c>
      <c r="N157" t="s">
        <v>3701</v>
      </c>
      <c r="O157" t="s">
        <v>3702</v>
      </c>
      <c r="P157" t="s">
        <v>2946</v>
      </c>
      <c r="R157" t="b">
        <v>1</v>
      </c>
      <c r="S157" t="s">
        <v>3534</v>
      </c>
    </row>
    <row r="158" spans="1:19" ht="11.25" customHeight="1">
      <c r="A158">
        <v>2655</v>
      </c>
      <c r="B158" t="s">
        <v>87</v>
      </c>
      <c r="C158">
        <v>30398770</v>
      </c>
      <c r="D158" t="s">
        <v>3703</v>
      </c>
      <c r="E158" t="s">
        <v>3704</v>
      </c>
      <c r="F158" t="s">
        <v>3705</v>
      </c>
      <c r="G158" t="s">
        <v>3518</v>
      </c>
      <c r="H158" t="s">
        <v>3706</v>
      </c>
      <c r="I158" t="s">
        <v>3707</v>
      </c>
      <c r="J158" t="s">
        <v>3128</v>
      </c>
      <c r="L158" t="s">
        <v>3708</v>
      </c>
      <c r="M158" t="s">
        <v>3709</v>
      </c>
      <c r="N158" t="s">
        <v>3710</v>
      </c>
      <c r="O158" t="s">
        <v>3711</v>
      </c>
      <c r="P158" t="s">
        <v>2856</v>
      </c>
      <c r="R158" t="b">
        <v>0</v>
      </c>
      <c r="S158" t="s">
        <v>3534</v>
      </c>
    </row>
    <row r="159" spans="1:19" ht="11.25" customHeight="1">
      <c r="A159">
        <v>2655</v>
      </c>
      <c r="B159" t="s">
        <v>87</v>
      </c>
      <c r="C159">
        <v>31775146</v>
      </c>
      <c r="D159" t="s">
        <v>3141</v>
      </c>
      <c r="E159" t="s">
        <v>3142</v>
      </c>
      <c r="F159" t="s">
        <v>3143</v>
      </c>
      <c r="G159" t="s">
        <v>109</v>
      </c>
      <c r="H159" t="s">
        <v>3144</v>
      </c>
      <c r="I159" t="s">
        <v>3145</v>
      </c>
      <c r="K159" t="s">
        <v>3146</v>
      </c>
      <c r="L159" t="s">
        <v>3146</v>
      </c>
      <c r="M159" t="s">
        <v>3147</v>
      </c>
      <c r="N159" t="s">
        <v>3148</v>
      </c>
      <c r="O159" t="s">
        <v>3149</v>
      </c>
      <c r="P159" t="s">
        <v>2968</v>
      </c>
      <c r="Q159" t="s">
        <v>162</v>
      </c>
      <c r="R159" t="b">
        <v>1</v>
      </c>
      <c r="S159" t="s">
        <v>3534</v>
      </c>
    </row>
    <row r="160" spans="1:19" ht="11.25" customHeight="1">
      <c r="A160">
        <v>2655</v>
      </c>
      <c r="B160" t="s">
        <v>87</v>
      </c>
      <c r="C160">
        <v>28873685</v>
      </c>
      <c r="D160" t="s">
        <v>3712</v>
      </c>
      <c r="E160" t="s">
        <v>3713</v>
      </c>
      <c r="F160" t="s">
        <v>3714</v>
      </c>
      <c r="G160" t="s">
        <v>109</v>
      </c>
      <c r="H160" t="s">
        <v>3715</v>
      </c>
      <c r="I160" t="s">
        <v>3716</v>
      </c>
      <c r="J160" t="s">
        <v>3128</v>
      </c>
      <c r="K160" t="s">
        <v>3717</v>
      </c>
      <c r="L160" t="s">
        <v>3717</v>
      </c>
      <c r="M160" t="s">
        <v>3718</v>
      </c>
      <c r="N160" t="s">
        <v>3148</v>
      </c>
      <c r="O160" t="s">
        <v>3149</v>
      </c>
      <c r="P160" t="s">
        <v>2856</v>
      </c>
      <c r="Q160" t="s">
        <v>3719</v>
      </c>
      <c r="R160" t="b">
        <v>1</v>
      </c>
      <c r="S160" t="s">
        <v>3534</v>
      </c>
    </row>
    <row r="161" spans="1:19" ht="11.25" customHeight="1">
      <c r="A161">
        <v>2655</v>
      </c>
      <c r="B161" t="s">
        <v>87</v>
      </c>
      <c r="C161">
        <v>28869965</v>
      </c>
      <c r="D161" t="s">
        <v>3150</v>
      </c>
      <c r="E161" t="s">
        <v>3151</v>
      </c>
      <c r="F161" t="s">
        <v>3152</v>
      </c>
      <c r="G161" t="s">
        <v>2938</v>
      </c>
      <c r="H161" t="s">
        <v>3153</v>
      </c>
      <c r="J161" t="s">
        <v>3128</v>
      </c>
      <c r="K161" t="s">
        <v>3154</v>
      </c>
      <c r="L161" t="s">
        <v>3154</v>
      </c>
      <c r="M161" t="s">
        <v>3155</v>
      </c>
      <c r="N161" t="s">
        <v>3156</v>
      </c>
      <c r="O161" t="s">
        <v>3157</v>
      </c>
      <c r="P161" t="s">
        <v>2856</v>
      </c>
      <c r="Q161" t="s">
        <v>3158</v>
      </c>
      <c r="R161" t="b">
        <v>0</v>
      </c>
      <c r="S161" t="s">
        <v>3534</v>
      </c>
    </row>
    <row r="162" spans="1:19" ht="11.25" customHeight="1">
      <c r="A162">
        <v>2655</v>
      </c>
      <c r="B162" t="s">
        <v>87</v>
      </c>
      <c r="C162">
        <v>31573961</v>
      </c>
      <c r="D162" t="s">
        <v>3204</v>
      </c>
      <c r="E162" t="s">
        <v>3205</v>
      </c>
      <c r="F162" t="s">
        <v>3206</v>
      </c>
      <c r="G162" t="s">
        <v>3050</v>
      </c>
      <c r="H162" t="s">
        <v>3207</v>
      </c>
      <c r="I162" t="s">
        <v>3208</v>
      </c>
      <c r="K162" t="s">
        <v>3209</v>
      </c>
      <c r="L162" t="s">
        <v>3209</v>
      </c>
      <c r="M162" t="s">
        <v>3210</v>
      </c>
      <c r="N162" t="s">
        <v>3211</v>
      </c>
      <c r="O162" t="s">
        <v>3212</v>
      </c>
      <c r="P162" t="s">
        <v>2856</v>
      </c>
      <c r="R162" t="b">
        <v>0</v>
      </c>
      <c r="S162" t="s">
        <v>3534</v>
      </c>
    </row>
    <row r="163" spans="1:19" ht="11.25" customHeight="1">
      <c r="A163">
        <v>2655</v>
      </c>
      <c r="B163" t="s">
        <v>87</v>
      </c>
      <c r="C163">
        <v>31245446</v>
      </c>
      <c r="D163" t="s">
        <v>3720</v>
      </c>
      <c r="E163" t="s">
        <v>3721</v>
      </c>
      <c r="F163" t="s">
        <v>3722</v>
      </c>
      <c r="G163" t="s">
        <v>3195</v>
      </c>
      <c r="H163" t="s">
        <v>3723</v>
      </c>
      <c r="I163" t="s">
        <v>3724</v>
      </c>
      <c r="J163" t="s">
        <v>3128</v>
      </c>
      <c r="L163" t="s">
        <v>3725</v>
      </c>
      <c r="N163" t="s">
        <v>3726</v>
      </c>
      <c r="O163" t="s">
        <v>3727</v>
      </c>
      <c r="P163" t="s">
        <v>2946</v>
      </c>
      <c r="R163" t="b">
        <v>0</v>
      </c>
      <c r="S163" t="s">
        <v>3534</v>
      </c>
    </row>
    <row r="164" spans="1:19" ht="11.25" customHeight="1">
      <c r="A164">
        <v>2655</v>
      </c>
      <c r="B164" t="s">
        <v>87</v>
      </c>
      <c r="C164">
        <v>26476793</v>
      </c>
      <c r="D164" t="s">
        <v>3728</v>
      </c>
      <c r="E164" t="s">
        <v>3729</v>
      </c>
      <c r="F164" t="s">
        <v>3730</v>
      </c>
      <c r="G164" t="s">
        <v>3622</v>
      </c>
      <c r="H164" t="s">
        <v>3731</v>
      </c>
      <c r="I164" t="s">
        <v>3732</v>
      </c>
      <c r="J164" t="s">
        <v>3128</v>
      </c>
      <c r="K164" t="s">
        <v>3733</v>
      </c>
      <c r="L164" t="s">
        <v>3733</v>
      </c>
      <c r="M164" t="s">
        <v>3734</v>
      </c>
      <c r="N164" t="s">
        <v>3735</v>
      </c>
      <c r="O164" t="s">
        <v>3736</v>
      </c>
      <c r="P164" t="s">
        <v>2946</v>
      </c>
      <c r="Q164" t="s">
        <v>138</v>
      </c>
      <c r="R164" t="b">
        <v>1</v>
      </c>
      <c r="S164" t="s">
        <v>3534</v>
      </c>
    </row>
    <row r="165" spans="1:19" ht="11.25" customHeight="1">
      <c r="A165">
        <v>2655</v>
      </c>
      <c r="B165" t="s">
        <v>87</v>
      </c>
      <c r="C165">
        <v>28509720</v>
      </c>
      <c r="D165" t="s">
        <v>3737</v>
      </c>
      <c r="E165" t="s">
        <v>3738</v>
      </c>
      <c r="F165" t="s">
        <v>3739</v>
      </c>
      <c r="G165" t="s">
        <v>3740</v>
      </c>
      <c r="H165" t="s">
        <v>3741</v>
      </c>
      <c r="I165" t="s">
        <v>3742</v>
      </c>
      <c r="J165" t="s">
        <v>3128</v>
      </c>
      <c r="K165" t="s">
        <v>3743</v>
      </c>
      <c r="L165" t="s">
        <v>3744</v>
      </c>
      <c r="M165" t="s">
        <v>3745</v>
      </c>
      <c r="O165" t="s">
        <v>3746</v>
      </c>
      <c r="P165" t="s">
        <v>2856</v>
      </c>
      <c r="R165" t="b">
        <v>0</v>
      </c>
      <c r="S165" t="s">
        <v>3534</v>
      </c>
    </row>
    <row r="166" spans="1:19" ht="11.25" customHeight="1">
      <c r="A166">
        <v>2655</v>
      </c>
      <c r="B166" t="s">
        <v>87</v>
      </c>
      <c r="C166">
        <v>30950350</v>
      </c>
      <c r="D166" t="s">
        <v>3747</v>
      </c>
      <c r="E166" t="s">
        <v>3748</v>
      </c>
      <c r="F166" t="s">
        <v>3749</v>
      </c>
      <c r="G166" t="s">
        <v>3077</v>
      </c>
      <c r="H166" t="s">
        <v>3750</v>
      </c>
      <c r="I166" t="s">
        <v>3751</v>
      </c>
      <c r="J166" t="s">
        <v>3128</v>
      </c>
      <c r="K166" t="s">
        <v>3752</v>
      </c>
      <c r="L166" t="s">
        <v>3752</v>
      </c>
      <c r="M166" t="s">
        <v>3753</v>
      </c>
      <c r="N166" t="s">
        <v>3754</v>
      </c>
      <c r="O166" t="s">
        <v>3755</v>
      </c>
      <c r="P166" t="s">
        <v>2946</v>
      </c>
      <c r="Q166" t="s">
        <v>138</v>
      </c>
      <c r="R166" t="b">
        <v>0</v>
      </c>
      <c r="S166" t="s">
        <v>3534</v>
      </c>
    </row>
    <row r="167" spans="1:19" ht="11.25" customHeight="1">
      <c r="A167">
        <v>2655</v>
      </c>
      <c r="B167" t="s">
        <v>87</v>
      </c>
      <c r="C167">
        <v>31527562</v>
      </c>
      <c r="D167" t="s">
        <v>3213</v>
      </c>
      <c r="E167" t="s">
        <v>3214</v>
      </c>
      <c r="F167" t="s">
        <v>3215</v>
      </c>
      <c r="G167" t="s">
        <v>3216</v>
      </c>
      <c r="H167" t="s">
        <v>3217</v>
      </c>
      <c r="I167" t="s">
        <v>3218</v>
      </c>
      <c r="K167" t="s">
        <v>3219</v>
      </c>
      <c r="L167" t="s">
        <v>3220</v>
      </c>
      <c r="O167" t="s">
        <v>3221</v>
      </c>
      <c r="R167" t="b">
        <v>0</v>
      </c>
      <c r="S167" t="s">
        <v>3534</v>
      </c>
    </row>
    <row r="168" spans="1:19" ht="11.25" customHeight="1">
      <c r="A168">
        <v>2655</v>
      </c>
      <c r="B168" t="s">
        <v>87</v>
      </c>
      <c r="C168">
        <v>31874557</v>
      </c>
      <c r="D168" t="s">
        <v>3756</v>
      </c>
      <c r="E168" t="s">
        <v>3757</v>
      </c>
      <c r="F168" t="s">
        <v>3758</v>
      </c>
      <c r="G168" t="s">
        <v>3077</v>
      </c>
      <c r="H168" t="s">
        <v>3759</v>
      </c>
      <c r="I168" t="s">
        <v>3760</v>
      </c>
      <c r="K168" t="s">
        <v>3761</v>
      </c>
      <c r="L168" t="s">
        <v>3761</v>
      </c>
      <c r="M168" t="s">
        <v>3762</v>
      </c>
      <c r="N168" t="s">
        <v>3763</v>
      </c>
      <c r="O168" t="s">
        <v>3764</v>
      </c>
      <c r="P168" t="s">
        <v>2856</v>
      </c>
      <c r="Q168" t="s">
        <v>162</v>
      </c>
      <c r="R168" t="b">
        <v>1</v>
      </c>
      <c r="S168" t="s">
        <v>3534</v>
      </c>
    </row>
    <row r="169" spans="1:19" ht="11.25" customHeight="1">
      <c r="A169">
        <v>2655</v>
      </c>
      <c r="B169" t="s">
        <v>87</v>
      </c>
      <c r="C169">
        <v>31656254</v>
      </c>
      <c r="D169" t="s">
        <v>3231</v>
      </c>
      <c r="E169" t="s">
        <v>3232</v>
      </c>
      <c r="F169" t="s">
        <v>3233</v>
      </c>
      <c r="G169" t="s">
        <v>3234</v>
      </c>
      <c r="H169" t="s">
        <v>3235</v>
      </c>
      <c r="I169" t="s">
        <v>3236</v>
      </c>
      <c r="K169" t="s">
        <v>3237</v>
      </c>
      <c r="L169" t="s">
        <v>3238</v>
      </c>
      <c r="M169" t="s">
        <v>3239</v>
      </c>
      <c r="N169" t="s">
        <v>3240</v>
      </c>
      <c r="O169" t="s">
        <v>3241</v>
      </c>
      <c r="P169" t="s">
        <v>2946</v>
      </c>
      <c r="Q169" t="s">
        <v>3242</v>
      </c>
      <c r="R169" t="b">
        <v>0</v>
      </c>
      <c r="S169" t="s">
        <v>3534</v>
      </c>
    </row>
    <row r="170" spans="1:19" ht="11.25" customHeight="1">
      <c r="A170">
        <v>2655</v>
      </c>
      <c r="B170" t="s">
        <v>87</v>
      </c>
      <c r="C170">
        <v>26356927</v>
      </c>
      <c r="D170" t="s">
        <v>3765</v>
      </c>
      <c r="E170" t="s">
        <v>3766</v>
      </c>
      <c r="F170" t="s">
        <v>3767</v>
      </c>
      <c r="G170" t="s">
        <v>109</v>
      </c>
      <c r="H170" t="s">
        <v>3768</v>
      </c>
      <c r="I170" t="s">
        <v>3769</v>
      </c>
      <c r="J170" t="s">
        <v>3128</v>
      </c>
      <c r="K170" t="s">
        <v>3770</v>
      </c>
      <c r="L170" t="s">
        <v>3770</v>
      </c>
      <c r="M170" t="s">
        <v>3771</v>
      </c>
      <c r="N170" t="s">
        <v>3772</v>
      </c>
      <c r="O170" t="s">
        <v>3773</v>
      </c>
      <c r="P170" t="s">
        <v>2968</v>
      </c>
      <c r="R170" t="b">
        <v>1</v>
      </c>
      <c r="S170" t="s">
        <v>3534</v>
      </c>
    </row>
    <row r="171" spans="1:19" ht="11.25" customHeight="1">
      <c r="A171">
        <v>2655</v>
      </c>
      <c r="B171" t="s">
        <v>87</v>
      </c>
      <c r="C171">
        <v>28878273</v>
      </c>
      <c r="D171" t="s">
        <v>3774</v>
      </c>
      <c r="E171" t="s">
        <v>3775</v>
      </c>
      <c r="F171" t="s">
        <v>3776</v>
      </c>
      <c r="G171" t="s">
        <v>2828</v>
      </c>
      <c r="H171" t="s">
        <v>3777</v>
      </c>
      <c r="J171" t="s">
        <v>3128</v>
      </c>
      <c r="K171" t="s">
        <v>3778</v>
      </c>
      <c r="L171" t="s">
        <v>3779</v>
      </c>
      <c r="M171" t="s">
        <v>3780</v>
      </c>
      <c r="N171" t="s">
        <v>3781</v>
      </c>
      <c r="O171" t="s">
        <v>3782</v>
      </c>
      <c r="P171" t="s">
        <v>2856</v>
      </c>
      <c r="Q171" t="s">
        <v>3783</v>
      </c>
      <c r="R171" t="b">
        <v>0</v>
      </c>
      <c r="S171" t="s">
        <v>3534</v>
      </c>
    </row>
    <row r="172" spans="1:19" ht="11.25" customHeight="1">
      <c r="A172">
        <v>2655</v>
      </c>
      <c r="B172" t="s">
        <v>87</v>
      </c>
      <c r="C172">
        <v>26562805</v>
      </c>
      <c r="D172" t="s">
        <v>3784</v>
      </c>
      <c r="E172" t="s">
        <v>3785</v>
      </c>
      <c r="F172" t="s">
        <v>3786</v>
      </c>
      <c r="G172" t="s">
        <v>3039</v>
      </c>
      <c r="H172" t="s">
        <v>3787</v>
      </c>
      <c r="I172" t="s">
        <v>3788</v>
      </c>
      <c r="J172" t="s">
        <v>3128</v>
      </c>
      <c r="K172" t="s">
        <v>3789</v>
      </c>
      <c r="L172" t="s">
        <v>3789</v>
      </c>
      <c r="M172" t="s">
        <v>3790</v>
      </c>
      <c r="N172" t="s">
        <v>3791</v>
      </c>
      <c r="O172" t="s">
        <v>3792</v>
      </c>
      <c r="P172" t="s">
        <v>2946</v>
      </c>
      <c r="Q172" t="s">
        <v>3793</v>
      </c>
      <c r="R172" t="b">
        <v>0</v>
      </c>
      <c r="S172" t="s">
        <v>3534</v>
      </c>
    </row>
    <row r="173" spans="1:19" ht="11.25" customHeight="1">
      <c r="A173">
        <v>2655</v>
      </c>
      <c r="B173" t="s">
        <v>87</v>
      </c>
      <c r="C173">
        <v>31684090</v>
      </c>
      <c r="D173" t="s">
        <v>3794</v>
      </c>
      <c r="E173" t="s">
        <v>3795</v>
      </c>
      <c r="F173" t="s">
        <v>3796</v>
      </c>
      <c r="G173" t="s">
        <v>2828</v>
      </c>
      <c r="H173" t="s">
        <v>3797</v>
      </c>
      <c r="I173" t="s">
        <v>3798</v>
      </c>
      <c r="K173" t="s">
        <v>3799</v>
      </c>
      <c r="L173" t="s">
        <v>3800</v>
      </c>
      <c r="O173" t="s">
        <v>3801</v>
      </c>
      <c r="P173" t="s">
        <v>3203</v>
      </c>
      <c r="Q173" t="s">
        <v>3802</v>
      </c>
      <c r="R173" t="b">
        <v>0</v>
      </c>
      <c r="S173" t="s">
        <v>3534</v>
      </c>
    </row>
    <row r="174" spans="1:19" ht="11.25" customHeight="1">
      <c r="A174">
        <v>2655</v>
      </c>
      <c r="B174" t="s">
        <v>87</v>
      </c>
      <c r="C174">
        <v>27997588</v>
      </c>
      <c r="D174" t="s">
        <v>3803</v>
      </c>
      <c r="E174" t="s">
        <v>3804</v>
      </c>
      <c r="F174" t="s">
        <v>3805</v>
      </c>
      <c r="G174" t="s">
        <v>2938</v>
      </c>
      <c r="H174" t="s">
        <v>3806</v>
      </c>
      <c r="I174" t="s">
        <v>3807</v>
      </c>
      <c r="J174" t="s">
        <v>3128</v>
      </c>
      <c r="K174" t="s">
        <v>3808</v>
      </c>
      <c r="L174" t="s">
        <v>3808</v>
      </c>
      <c r="M174" t="s">
        <v>3809</v>
      </c>
      <c r="N174" t="s">
        <v>3810</v>
      </c>
      <c r="O174" t="s">
        <v>3811</v>
      </c>
      <c r="P174" t="s">
        <v>3167</v>
      </c>
      <c r="R174" t="b">
        <v>0</v>
      </c>
      <c r="S174" t="s">
        <v>3534</v>
      </c>
    </row>
    <row r="175" spans="1:19" ht="11.25" customHeight="1">
      <c r="A175">
        <v>2655</v>
      </c>
      <c r="B175" t="s">
        <v>87</v>
      </c>
      <c r="C175">
        <v>28882034</v>
      </c>
      <c r="D175" t="s">
        <v>3812</v>
      </c>
      <c r="E175" t="s">
        <v>3813</v>
      </c>
      <c r="F175" t="s">
        <v>3814</v>
      </c>
      <c r="G175" t="s">
        <v>2828</v>
      </c>
      <c r="H175" t="s">
        <v>3815</v>
      </c>
      <c r="J175" t="s">
        <v>3128</v>
      </c>
      <c r="K175" t="s">
        <v>3816</v>
      </c>
      <c r="L175" t="s">
        <v>3816</v>
      </c>
      <c r="O175" t="s">
        <v>3817</v>
      </c>
      <c r="P175" t="s">
        <v>2946</v>
      </c>
      <c r="R175" t="b">
        <v>0</v>
      </c>
      <c r="S175" t="s">
        <v>3534</v>
      </c>
    </row>
    <row r="176" spans="1:19" ht="11.25" customHeight="1">
      <c r="A176">
        <v>2655</v>
      </c>
      <c r="B176" t="s">
        <v>87</v>
      </c>
      <c r="C176">
        <v>26648537</v>
      </c>
      <c r="D176" t="s">
        <v>3818</v>
      </c>
      <c r="E176" t="s">
        <v>3819</v>
      </c>
      <c r="F176" t="s">
        <v>3820</v>
      </c>
      <c r="G176" t="s">
        <v>2828</v>
      </c>
      <c r="H176" t="s">
        <v>3821</v>
      </c>
      <c r="I176" t="s">
        <v>3822</v>
      </c>
      <c r="J176" t="s">
        <v>3128</v>
      </c>
      <c r="K176" t="s">
        <v>3823</v>
      </c>
      <c r="L176" t="s">
        <v>3823</v>
      </c>
      <c r="M176" t="s">
        <v>3824</v>
      </c>
      <c r="N176" t="s">
        <v>3825</v>
      </c>
      <c r="O176" t="s">
        <v>3826</v>
      </c>
      <c r="P176" t="s">
        <v>2946</v>
      </c>
      <c r="Q176" t="s">
        <v>3827</v>
      </c>
      <c r="R176" t="b">
        <v>0</v>
      </c>
      <c r="S176" t="s">
        <v>3534</v>
      </c>
    </row>
    <row r="177" spans="1:19" ht="11.25" customHeight="1">
      <c r="A177">
        <v>2655</v>
      </c>
      <c r="B177" t="s">
        <v>87</v>
      </c>
      <c r="C177">
        <v>31519209</v>
      </c>
      <c r="D177" t="s">
        <v>3828</v>
      </c>
      <c r="E177" t="s">
        <v>3829</v>
      </c>
      <c r="F177" t="s">
        <v>3830</v>
      </c>
      <c r="G177" t="s">
        <v>109</v>
      </c>
      <c r="H177" t="s">
        <v>3831</v>
      </c>
      <c r="I177" t="s">
        <v>3832</v>
      </c>
      <c r="J177" t="s">
        <v>3128</v>
      </c>
      <c r="K177" t="s">
        <v>3833</v>
      </c>
      <c r="L177" t="s">
        <v>3834</v>
      </c>
      <c r="M177" t="s">
        <v>3835</v>
      </c>
      <c r="N177" t="s">
        <v>3836</v>
      </c>
      <c r="O177" t="s">
        <v>3837</v>
      </c>
      <c r="P177" t="s">
        <v>3203</v>
      </c>
      <c r="R177" t="b">
        <v>0</v>
      </c>
      <c r="S177" t="s">
        <v>3534</v>
      </c>
    </row>
    <row r="178" spans="1:19" ht="11.25" customHeight="1">
      <c r="A178">
        <v>2655</v>
      </c>
      <c r="B178" t="s">
        <v>87</v>
      </c>
      <c r="C178">
        <v>31574053</v>
      </c>
      <c r="D178" t="s">
        <v>3497</v>
      </c>
      <c r="E178" t="s">
        <v>3498</v>
      </c>
      <c r="F178" t="s">
        <v>3499</v>
      </c>
      <c r="G178" t="s">
        <v>3077</v>
      </c>
      <c r="H178" t="s">
        <v>3500</v>
      </c>
      <c r="I178" t="s">
        <v>3501</v>
      </c>
      <c r="K178" t="s">
        <v>3502</v>
      </c>
      <c r="L178" t="s">
        <v>3502</v>
      </c>
      <c r="M178" t="s">
        <v>3503</v>
      </c>
      <c r="N178" t="s">
        <v>3504</v>
      </c>
      <c r="O178" t="s">
        <v>3505</v>
      </c>
      <c r="P178" t="s">
        <v>2946</v>
      </c>
      <c r="R178" t="b">
        <v>0</v>
      </c>
      <c r="S178" t="s">
        <v>3534</v>
      </c>
    </row>
    <row r="179" spans="1:19" ht="11.25" customHeight="1">
      <c r="A179">
        <v>2655</v>
      </c>
      <c r="B179" t="s">
        <v>87</v>
      </c>
      <c r="C179">
        <v>28141951</v>
      </c>
      <c r="D179" t="s">
        <v>3838</v>
      </c>
      <c r="E179" t="s">
        <v>3839</v>
      </c>
      <c r="F179" t="s">
        <v>3840</v>
      </c>
      <c r="G179" t="s">
        <v>2861</v>
      </c>
      <c r="H179" t="s">
        <v>3841</v>
      </c>
      <c r="I179" t="s">
        <v>3842</v>
      </c>
      <c r="J179" t="s">
        <v>3128</v>
      </c>
      <c r="K179" t="s">
        <v>3843</v>
      </c>
      <c r="L179" t="s">
        <v>3843</v>
      </c>
      <c r="M179" t="s">
        <v>3844</v>
      </c>
      <c r="N179" t="s">
        <v>3845</v>
      </c>
      <c r="O179" t="s">
        <v>3846</v>
      </c>
      <c r="P179" t="s">
        <v>2856</v>
      </c>
      <c r="Q179" t="s">
        <v>3847</v>
      </c>
      <c r="R179" t="b">
        <v>0</v>
      </c>
      <c r="S179" t="s">
        <v>3534</v>
      </c>
    </row>
    <row r="180" spans="1:19" ht="11.25" customHeight="1">
      <c r="A180">
        <v>2655</v>
      </c>
      <c r="B180" t="s">
        <v>87</v>
      </c>
      <c r="C180">
        <v>26852793</v>
      </c>
      <c r="D180" t="s">
        <v>3848</v>
      </c>
      <c r="E180" t="s">
        <v>3849</v>
      </c>
      <c r="F180" t="s">
        <v>3850</v>
      </c>
      <c r="G180" t="s">
        <v>3077</v>
      </c>
      <c r="H180" t="s">
        <v>3851</v>
      </c>
      <c r="I180" t="s">
        <v>3852</v>
      </c>
      <c r="J180" t="s">
        <v>3128</v>
      </c>
      <c r="K180" t="s">
        <v>3540</v>
      </c>
      <c r="L180" t="s">
        <v>3540</v>
      </c>
      <c r="M180" t="s">
        <v>3853</v>
      </c>
      <c r="N180" t="s">
        <v>3854</v>
      </c>
      <c r="O180" t="s">
        <v>3855</v>
      </c>
      <c r="P180" t="s">
        <v>2856</v>
      </c>
      <c r="Q180" t="s">
        <v>138</v>
      </c>
      <c r="R180" t="b">
        <v>0</v>
      </c>
      <c r="S180" t="s">
        <v>3534</v>
      </c>
    </row>
    <row r="181" spans="1:19" ht="11.25" customHeight="1">
      <c r="A181">
        <v>2655</v>
      </c>
      <c r="B181" t="s">
        <v>87</v>
      </c>
      <c r="C181">
        <v>28141966</v>
      </c>
      <c r="D181" t="s">
        <v>3856</v>
      </c>
      <c r="E181" t="s">
        <v>3857</v>
      </c>
      <c r="F181" t="s">
        <v>3858</v>
      </c>
      <c r="G181" t="s">
        <v>3518</v>
      </c>
      <c r="H181" t="s">
        <v>3859</v>
      </c>
      <c r="I181" t="s">
        <v>3860</v>
      </c>
      <c r="J181" t="s">
        <v>3128</v>
      </c>
      <c r="K181" t="s">
        <v>3861</v>
      </c>
      <c r="L181" t="s">
        <v>3862</v>
      </c>
      <c r="M181" t="s">
        <v>3863</v>
      </c>
      <c r="N181" t="s">
        <v>3864</v>
      </c>
      <c r="O181" t="s">
        <v>3865</v>
      </c>
      <c r="P181" t="s">
        <v>2856</v>
      </c>
      <c r="Q181" t="s">
        <v>3866</v>
      </c>
      <c r="R181" t="b">
        <v>0</v>
      </c>
      <c r="S181" t="s">
        <v>3534</v>
      </c>
    </row>
    <row r="182" spans="1:19" ht="11.25" customHeight="1">
      <c r="A182">
        <v>2655</v>
      </c>
      <c r="B182" t="s">
        <v>87</v>
      </c>
      <c r="C182">
        <v>31424033</v>
      </c>
      <c r="D182" t="s">
        <v>3243</v>
      </c>
      <c r="E182" t="s">
        <v>3244</v>
      </c>
      <c r="F182" t="s">
        <v>3245</v>
      </c>
      <c r="G182" t="s">
        <v>3246</v>
      </c>
      <c r="H182" t="s">
        <v>3247</v>
      </c>
      <c r="J182" t="s">
        <v>3128</v>
      </c>
      <c r="R182" t="b">
        <v>0</v>
      </c>
      <c r="S182" t="s">
        <v>3534</v>
      </c>
    </row>
    <row r="183" spans="1:19" ht="11.25" customHeight="1">
      <c r="A183">
        <v>2655</v>
      </c>
      <c r="B183" t="s">
        <v>87</v>
      </c>
      <c r="C183">
        <v>27838991</v>
      </c>
      <c r="D183" t="s">
        <v>3506</v>
      </c>
      <c r="E183" t="s">
        <v>3507</v>
      </c>
      <c r="F183" t="s">
        <v>3508</v>
      </c>
      <c r="G183" t="s">
        <v>2861</v>
      </c>
      <c r="H183" t="s">
        <v>3509</v>
      </c>
      <c r="I183" t="s">
        <v>3510</v>
      </c>
      <c r="J183" t="s">
        <v>3128</v>
      </c>
      <c r="K183" t="s">
        <v>3511</v>
      </c>
      <c r="L183" t="s">
        <v>3512</v>
      </c>
      <c r="M183" t="s">
        <v>3513</v>
      </c>
      <c r="N183" t="s">
        <v>3514</v>
      </c>
      <c r="O183" t="s">
        <v>3515</v>
      </c>
      <c r="P183" t="s">
        <v>2856</v>
      </c>
      <c r="R183" t="b">
        <v>0</v>
      </c>
      <c r="S183" t="s">
        <v>3534</v>
      </c>
    </row>
    <row r="184" spans="1:19" ht="11.25" customHeight="1">
      <c r="A184">
        <v>2655</v>
      </c>
      <c r="B184" t="s">
        <v>87</v>
      </c>
      <c r="C184">
        <v>26356931</v>
      </c>
      <c r="D184" t="s">
        <v>3867</v>
      </c>
      <c r="E184" t="s">
        <v>3868</v>
      </c>
      <c r="F184" t="s">
        <v>3869</v>
      </c>
      <c r="G184" t="s">
        <v>109</v>
      </c>
      <c r="H184" t="s">
        <v>3870</v>
      </c>
      <c r="I184" t="s">
        <v>3871</v>
      </c>
      <c r="J184" t="s">
        <v>3128</v>
      </c>
      <c r="K184" t="s">
        <v>3872</v>
      </c>
      <c r="L184" t="s">
        <v>3872</v>
      </c>
      <c r="M184" t="s">
        <v>3873</v>
      </c>
      <c r="N184" t="s">
        <v>3874</v>
      </c>
      <c r="O184" t="s">
        <v>3875</v>
      </c>
      <c r="P184" t="s">
        <v>2946</v>
      </c>
      <c r="Q184" t="s">
        <v>138</v>
      </c>
      <c r="R184" t="b">
        <v>1</v>
      </c>
      <c r="S184" t="s">
        <v>3534</v>
      </c>
    </row>
    <row r="185" spans="1:19" ht="11.25" customHeight="1">
      <c r="A185">
        <v>2655</v>
      </c>
      <c r="B185" t="s">
        <v>87</v>
      </c>
      <c r="C185">
        <v>28151808</v>
      </c>
      <c r="D185" t="s">
        <v>3257</v>
      </c>
      <c r="E185" t="s">
        <v>3258</v>
      </c>
      <c r="F185" t="s">
        <v>3259</v>
      </c>
      <c r="G185" t="s">
        <v>2849</v>
      </c>
      <c r="H185" t="s">
        <v>3260</v>
      </c>
      <c r="I185" t="s">
        <v>3261</v>
      </c>
      <c r="J185" t="s">
        <v>3128</v>
      </c>
      <c r="K185" t="s">
        <v>3262</v>
      </c>
      <c r="L185" t="s">
        <v>3263</v>
      </c>
      <c r="M185" t="s">
        <v>3264</v>
      </c>
      <c r="N185" t="s">
        <v>3265</v>
      </c>
      <c r="O185" t="s">
        <v>3266</v>
      </c>
      <c r="P185" t="s">
        <v>2856</v>
      </c>
      <c r="R185" t="b">
        <v>1</v>
      </c>
      <c r="S185" t="s">
        <v>3534</v>
      </c>
    </row>
    <row r="186" spans="1:19" ht="11.25" customHeight="1">
      <c r="A186">
        <v>2655</v>
      </c>
      <c r="B186" t="s">
        <v>87</v>
      </c>
      <c r="C186">
        <v>30433806</v>
      </c>
      <c r="D186" t="s">
        <v>3876</v>
      </c>
      <c r="E186" t="s">
        <v>3877</v>
      </c>
      <c r="F186" t="s">
        <v>3878</v>
      </c>
      <c r="G186" t="s">
        <v>3039</v>
      </c>
      <c r="H186" t="s">
        <v>3879</v>
      </c>
      <c r="I186" t="s">
        <v>3880</v>
      </c>
      <c r="J186" t="s">
        <v>3128</v>
      </c>
      <c r="K186" t="s">
        <v>3881</v>
      </c>
      <c r="L186" t="s">
        <v>3881</v>
      </c>
      <c r="M186" t="s">
        <v>3882</v>
      </c>
      <c r="N186" t="s">
        <v>3883</v>
      </c>
      <c r="O186" t="s">
        <v>3884</v>
      </c>
      <c r="P186" t="s">
        <v>2946</v>
      </c>
      <c r="Q186" t="s">
        <v>138</v>
      </c>
      <c r="R186" t="b">
        <v>0</v>
      </c>
      <c r="S186" t="s">
        <v>3534</v>
      </c>
    </row>
    <row r="187" spans="1:19" ht="11.25" customHeight="1">
      <c r="A187">
        <v>2655</v>
      </c>
      <c r="B187" t="s">
        <v>87</v>
      </c>
      <c r="C187">
        <v>31743966</v>
      </c>
      <c r="D187" t="s">
        <v>3885</v>
      </c>
      <c r="E187" t="s">
        <v>3886</v>
      </c>
      <c r="F187" t="s">
        <v>3887</v>
      </c>
      <c r="G187" t="s">
        <v>2828</v>
      </c>
      <c r="H187" t="s">
        <v>3888</v>
      </c>
      <c r="I187" t="s">
        <v>3889</v>
      </c>
      <c r="K187" t="s">
        <v>3890</v>
      </c>
      <c r="L187" t="s">
        <v>3890</v>
      </c>
      <c r="M187" t="s">
        <v>3891</v>
      </c>
      <c r="N187" t="s">
        <v>3892</v>
      </c>
      <c r="O187" t="s">
        <v>3893</v>
      </c>
      <c r="P187" t="s">
        <v>2856</v>
      </c>
      <c r="Q187" t="s">
        <v>3894</v>
      </c>
      <c r="R187" t="b">
        <v>1</v>
      </c>
      <c r="S187" t="s">
        <v>3534</v>
      </c>
    </row>
    <row r="188" spans="1:19" ht="11.25" customHeight="1">
      <c r="A188">
        <v>2655</v>
      </c>
      <c r="B188" t="s">
        <v>87</v>
      </c>
      <c r="C188">
        <v>30874454</v>
      </c>
      <c r="D188" t="s">
        <v>3895</v>
      </c>
      <c r="E188" t="s">
        <v>3896</v>
      </c>
      <c r="F188" t="s">
        <v>3897</v>
      </c>
      <c r="G188" t="s">
        <v>3246</v>
      </c>
      <c r="H188" t="s">
        <v>3898</v>
      </c>
      <c r="I188" t="s">
        <v>3899</v>
      </c>
      <c r="J188" t="s">
        <v>3128</v>
      </c>
      <c r="K188" t="s">
        <v>3900</v>
      </c>
      <c r="L188" t="s">
        <v>3901</v>
      </c>
      <c r="M188" t="s">
        <v>3902</v>
      </c>
      <c r="N188" t="s">
        <v>3864</v>
      </c>
      <c r="O188" t="s">
        <v>3903</v>
      </c>
      <c r="P188" t="s">
        <v>2968</v>
      </c>
      <c r="Q188" t="s">
        <v>3904</v>
      </c>
      <c r="R188" t="b">
        <v>0</v>
      </c>
      <c r="S188" t="s">
        <v>3534</v>
      </c>
    </row>
    <row r="189" spans="1:19" ht="11.25" customHeight="1">
      <c r="A189">
        <v>2655</v>
      </c>
      <c r="B189" t="s">
        <v>87</v>
      </c>
      <c r="C189">
        <v>26356987</v>
      </c>
      <c r="D189" t="s">
        <v>3277</v>
      </c>
      <c r="E189" t="s">
        <v>3278</v>
      </c>
      <c r="F189" t="s">
        <v>3279</v>
      </c>
      <c r="G189" t="s">
        <v>3280</v>
      </c>
      <c r="H189" t="s">
        <v>3281</v>
      </c>
      <c r="I189" t="s">
        <v>3282</v>
      </c>
      <c r="J189" t="s">
        <v>3128</v>
      </c>
      <c r="K189" t="s">
        <v>3283</v>
      </c>
      <c r="L189" t="s">
        <v>3283</v>
      </c>
      <c r="M189" t="s">
        <v>3284</v>
      </c>
      <c r="N189" t="s">
        <v>3285</v>
      </c>
      <c r="O189" t="s">
        <v>3286</v>
      </c>
      <c r="P189" t="s">
        <v>2968</v>
      </c>
      <c r="Q189" t="s">
        <v>3287</v>
      </c>
      <c r="R189" t="b">
        <v>1</v>
      </c>
      <c r="S189" t="s">
        <v>3534</v>
      </c>
    </row>
    <row r="190" spans="1:19" ht="11.25" customHeight="1">
      <c r="A190">
        <v>2655</v>
      </c>
      <c r="B190" t="s">
        <v>87</v>
      </c>
      <c r="C190">
        <v>30856223</v>
      </c>
      <c r="D190" t="s">
        <v>3905</v>
      </c>
      <c r="E190" t="s">
        <v>3906</v>
      </c>
      <c r="F190" t="s">
        <v>3907</v>
      </c>
      <c r="G190" t="s">
        <v>2861</v>
      </c>
      <c r="H190" t="s">
        <v>3908</v>
      </c>
      <c r="I190" t="s">
        <v>3909</v>
      </c>
      <c r="J190" t="s">
        <v>3128</v>
      </c>
      <c r="K190" t="s">
        <v>3910</v>
      </c>
      <c r="L190" t="s">
        <v>3910</v>
      </c>
      <c r="M190" t="s">
        <v>3911</v>
      </c>
      <c r="N190" t="s">
        <v>3912</v>
      </c>
      <c r="O190" t="s">
        <v>3913</v>
      </c>
      <c r="P190" t="s">
        <v>2856</v>
      </c>
      <c r="Q190" t="s">
        <v>3914</v>
      </c>
      <c r="R190" t="b">
        <v>0</v>
      </c>
      <c r="S190" t="s">
        <v>3534</v>
      </c>
    </row>
    <row r="191" spans="1:19" ht="11.25" customHeight="1">
      <c r="A191">
        <v>2655</v>
      </c>
      <c r="B191" t="s">
        <v>87</v>
      </c>
      <c r="C191">
        <v>31373026</v>
      </c>
      <c r="D191" t="s">
        <v>3905</v>
      </c>
      <c r="E191" t="s">
        <v>3906</v>
      </c>
      <c r="F191" t="s">
        <v>3915</v>
      </c>
      <c r="G191" t="s">
        <v>3318</v>
      </c>
      <c r="H191" t="s">
        <v>3916</v>
      </c>
      <c r="I191" t="s">
        <v>3917</v>
      </c>
      <c r="J191" t="s">
        <v>3128</v>
      </c>
      <c r="K191" t="s">
        <v>3918</v>
      </c>
      <c r="L191" t="s">
        <v>3918</v>
      </c>
      <c r="M191" t="s">
        <v>3919</v>
      </c>
      <c r="N191" t="s">
        <v>3920</v>
      </c>
      <c r="O191" t="s">
        <v>3921</v>
      </c>
      <c r="P191" t="s">
        <v>3922</v>
      </c>
      <c r="R191" t="b">
        <v>1</v>
      </c>
      <c r="S191" t="s">
        <v>3534</v>
      </c>
    </row>
    <row r="192" spans="1:19" ht="11.25" customHeight="1">
      <c r="A192">
        <v>2655</v>
      </c>
      <c r="B192" t="s">
        <v>87</v>
      </c>
      <c r="C192">
        <v>31579609</v>
      </c>
      <c r="D192" t="s">
        <v>3923</v>
      </c>
      <c r="E192" t="s">
        <v>3924</v>
      </c>
      <c r="F192" t="s">
        <v>3925</v>
      </c>
      <c r="G192" t="s">
        <v>2849</v>
      </c>
      <c r="H192" t="s">
        <v>3926</v>
      </c>
      <c r="I192" t="s">
        <v>3927</v>
      </c>
      <c r="K192" t="s">
        <v>3928</v>
      </c>
      <c r="L192" t="s">
        <v>3928</v>
      </c>
      <c r="M192" t="s">
        <v>3929</v>
      </c>
      <c r="N192" t="s">
        <v>3930</v>
      </c>
      <c r="O192" t="s">
        <v>3931</v>
      </c>
      <c r="P192" t="s">
        <v>2856</v>
      </c>
      <c r="R192" t="b">
        <v>1</v>
      </c>
      <c r="S192" t="s">
        <v>3534</v>
      </c>
    </row>
    <row r="193" spans="1:19" ht="11.25" customHeight="1">
      <c r="A193">
        <v>2655</v>
      </c>
      <c r="B193" t="s">
        <v>87</v>
      </c>
      <c r="C193">
        <v>26356891</v>
      </c>
      <c r="D193" t="s">
        <v>3288</v>
      </c>
      <c r="E193" t="s">
        <v>3289</v>
      </c>
      <c r="F193" t="s">
        <v>3290</v>
      </c>
      <c r="G193" t="s">
        <v>3050</v>
      </c>
      <c r="H193" t="s">
        <v>3291</v>
      </c>
      <c r="I193" t="s">
        <v>3292</v>
      </c>
      <c r="J193" t="s">
        <v>3128</v>
      </c>
      <c r="K193" t="s">
        <v>3293</v>
      </c>
      <c r="L193" t="s">
        <v>3293</v>
      </c>
      <c r="M193" t="s">
        <v>3294</v>
      </c>
      <c r="N193" t="s">
        <v>3295</v>
      </c>
      <c r="O193" t="s">
        <v>3296</v>
      </c>
      <c r="P193" t="s">
        <v>2946</v>
      </c>
      <c r="R193" t="b">
        <v>0</v>
      </c>
      <c r="S193" t="s">
        <v>3534</v>
      </c>
    </row>
    <row r="194" spans="1:19" ht="11.25" customHeight="1">
      <c r="A194">
        <v>2655</v>
      </c>
      <c r="B194" t="s">
        <v>87</v>
      </c>
      <c r="C194">
        <v>31300677</v>
      </c>
      <c r="D194" t="s">
        <v>3932</v>
      </c>
      <c r="E194" t="s">
        <v>3933</v>
      </c>
      <c r="F194" t="s">
        <v>3934</v>
      </c>
      <c r="G194" t="s">
        <v>2938</v>
      </c>
      <c r="H194" t="s">
        <v>3935</v>
      </c>
      <c r="I194" t="s">
        <v>3936</v>
      </c>
      <c r="J194" t="s">
        <v>3128</v>
      </c>
      <c r="K194" t="s">
        <v>3937</v>
      </c>
      <c r="L194" t="s">
        <v>3937</v>
      </c>
      <c r="M194" t="s">
        <v>3938</v>
      </c>
      <c r="N194" t="s">
        <v>3939</v>
      </c>
      <c r="O194" t="s">
        <v>3940</v>
      </c>
      <c r="P194" t="s">
        <v>3203</v>
      </c>
      <c r="R194" t="b">
        <v>0</v>
      </c>
      <c r="S194" t="s">
        <v>3534</v>
      </c>
    </row>
    <row r="195" spans="1:19" ht="11.25" customHeight="1">
      <c r="A195">
        <v>2655</v>
      </c>
      <c r="B195" t="s">
        <v>87</v>
      </c>
      <c r="C195">
        <v>27566835</v>
      </c>
      <c r="D195" t="s">
        <v>3941</v>
      </c>
      <c r="E195" t="s">
        <v>3942</v>
      </c>
      <c r="F195" t="s">
        <v>3943</v>
      </c>
      <c r="G195" t="s">
        <v>3050</v>
      </c>
      <c r="H195" t="s">
        <v>3944</v>
      </c>
      <c r="I195" t="s">
        <v>3945</v>
      </c>
      <c r="J195" t="s">
        <v>3128</v>
      </c>
      <c r="K195" t="s">
        <v>3946</v>
      </c>
      <c r="L195" t="s">
        <v>3946</v>
      </c>
      <c r="M195" t="s">
        <v>3947</v>
      </c>
      <c r="N195" t="s">
        <v>3072</v>
      </c>
      <c r="O195" t="s">
        <v>3948</v>
      </c>
      <c r="P195" t="s">
        <v>2946</v>
      </c>
      <c r="Q195" t="s">
        <v>138</v>
      </c>
      <c r="R195" t="b">
        <v>0</v>
      </c>
      <c r="S195" t="s">
        <v>3534</v>
      </c>
    </row>
    <row r="196" spans="1:19" ht="11.25" customHeight="1">
      <c r="A196">
        <v>2655</v>
      </c>
      <c r="B196" t="s">
        <v>87</v>
      </c>
      <c r="C196">
        <v>31229342</v>
      </c>
      <c r="D196" t="s">
        <v>3949</v>
      </c>
      <c r="E196" t="s">
        <v>3950</v>
      </c>
      <c r="F196" t="s">
        <v>3951</v>
      </c>
      <c r="G196" t="s">
        <v>3077</v>
      </c>
      <c r="H196" t="s">
        <v>3952</v>
      </c>
      <c r="I196" t="s">
        <v>3953</v>
      </c>
      <c r="J196" t="s">
        <v>3128</v>
      </c>
      <c r="K196" t="s">
        <v>3954</v>
      </c>
      <c r="L196" t="s">
        <v>3954</v>
      </c>
      <c r="M196" t="s">
        <v>3955</v>
      </c>
      <c r="N196" t="s">
        <v>3956</v>
      </c>
      <c r="O196" t="s">
        <v>3166</v>
      </c>
      <c r="P196" t="s">
        <v>2856</v>
      </c>
      <c r="R196" t="b">
        <v>0</v>
      </c>
      <c r="S196" t="s">
        <v>3534</v>
      </c>
    </row>
    <row r="197" spans="1:19" ht="11.25" customHeight="1">
      <c r="A197">
        <v>2655</v>
      </c>
      <c r="B197" t="s">
        <v>87</v>
      </c>
      <c r="C197">
        <v>31690080</v>
      </c>
      <c r="D197" t="s">
        <v>3957</v>
      </c>
      <c r="E197" t="s">
        <v>3958</v>
      </c>
      <c r="F197" t="s">
        <v>3959</v>
      </c>
      <c r="G197" t="s">
        <v>3077</v>
      </c>
      <c r="H197" t="s">
        <v>3960</v>
      </c>
      <c r="I197" t="s">
        <v>3961</v>
      </c>
      <c r="K197" t="s">
        <v>3962</v>
      </c>
      <c r="L197" t="s">
        <v>3962</v>
      </c>
      <c r="M197" t="s">
        <v>3963</v>
      </c>
      <c r="N197" t="s">
        <v>3964</v>
      </c>
      <c r="O197" t="s">
        <v>3965</v>
      </c>
      <c r="P197" t="s">
        <v>2946</v>
      </c>
      <c r="R197" t="b">
        <v>1</v>
      </c>
      <c r="S197" t="s">
        <v>3534</v>
      </c>
    </row>
    <row r="198" spans="1:19" ht="11.25" customHeight="1">
      <c r="A198">
        <v>2655</v>
      </c>
      <c r="B198" t="s">
        <v>87</v>
      </c>
      <c r="C198">
        <v>31539720</v>
      </c>
      <c r="D198" t="s">
        <v>3957</v>
      </c>
      <c r="E198" t="s">
        <v>3966</v>
      </c>
      <c r="F198" t="s">
        <v>3967</v>
      </c>
      <c r="G198" t="s">
        <v>3077</v>
      </c>
      <c r="H198" t="s">
        <v>3968</v>
      </c>
      <c r="I198" t="s">
        <v>3969</v>
      </c>
      <c r="K198" t="s">
        <v>3970</v>
      </c>
      <c r="L198" t="s">
        <v>3970</v>
      </c>
      <c r="M198" t="s">
        <v>3971</v>
      </c>
      <c r="O198" t="s">
        <v>3972</v>
      </c>
      <c r="P198" t="s">
        <v>3203</v>
      </c>
      <c r="Q198" t="s">
        <v>3973</v>
      </c>
      <c r="R198" t="b">
        <v>0</v>
      </c>
      <c r="S198" t="s">
        <v>3534</v>
      </c>
    </row>
    <row r="199" spans="1:19" ht="11.25" customHeight="1">
      <c r="A199">
        <v>2655</v>
      </c>
      <c r="B199" t="s">
        <v>87</v>
      </c>
      <c r="C199">
        <v>30872315</v>
      </c>
      <c r="D199" t="s">
        <v>3974</v>
      </c>
      <c r="E199" t="s">
        <v>3975</v>
      </c>
      <c r="F199" t="s">
        <v>3976</v>
      </c>
      <c r="G199" t="s">
        <v>2828</v>
      </c>
      <c r="H199" t="s">
        <v>3977</v>
      </c>
      <c r="I199" t="s">
        <v>3978</v>
      </c>
      <c r="J199" t="s">
        <v>3128</v>
      </c>
      <c r="K199" t="s">
        <v>3979</v>
      </c>
      <c r="L199" t="s">
        <v>3979</v>
      </c>
      <c r="M199" t="s">
        <v>3980</v>
      </c>
      <c r="N199" t="s">
        <v>3981</v>
      </c>
      <c r="O199" t="s">
        <v>3982</v>
      </c>
      <c r="P199" t="s">
        <v>2946</v>
      </c>
      <c r="R199" t="b">
        <v>0</v>
      </c>
      <c r="S199" t="s">
        <v>3534</v>
      </c>
    </row>
    <row r="200" spans="1:19" ht="11.25" customHeight="1">
      <c r="A200">
        <v>2655</v>
      </c>
      <c r="B200" t="s">
        <v>87</v>
      </c>
      <c r="C200">
        <v>30424850</v>
      </c>
      <c r="D200" t="s">
        <v>3974</v>
      </c>
      <c r="E200" t="s">
        <v>3975</v>
      </c>
      <c r="F200" t="s">
        <v>3983</v>
      </c>
      <c r="G200" t="s">
        <v>3518</v>
      </c>
      <c r="H200" t="s">
        <v>3984</v>
      </c>
      <c r="I200" t="s">
        <v>3985</v>
      </c>
      <c r="J200" t="s">
        <v>3128</v>
      </c>
      <c r="K200" t="s">
        <v>3986</v>
      </c>
      <c r="L200" t="s">
        <v>3986</v>
      </c>
      <c r="M200" t="s">
        <v>3987</v>
      </c>
      <c r="N200" t="s">
        <v>3988</v>
      </c>
      <c r="O200" t="s">
        <v>3989</v>
      </c>
      <c r="P200" t="s">
        <v>2946</v>
      </c>
      <c r="R200" t="b">
        <v>0</v>
      </c>
      <c r="S200" t="s">
        <v>3534</v>
      </c>
    </row>
    <row r="201" spans="1:19" ht="11.25" customHeight="1">
      <c r="A201">
        <v>2655</v>
      </c>
      <c r="B201" t="s">
        <v>87</v>
      </c>
      <c r="C201">
        <v>30856253</v>
      </c>
      <c r="D201" t="s">
        <v>3990</v>
      </c>
      <c r="E201" t="s">
        <v>3991</v>
      </c>
      <c r="F201" t="s">
        <v>3992</v>
      </c>
      <c r="G201" t="s">
        <v>2849</v>
      </c>
      <c r="H201" t="s">
        <v>3993</v>
      </c>
      <c r="I201" t="s">
        <v>3994</v>
      </c>
      <c r="J201" t="s">
        <v>3128</v>
      </c>
      <c r="K201" t="s">
        <v>3995</v>
      </c>
      <c r="L201" t="s">
        <v>3995</v>
      </c>
      <c r="M201" t="s">
        <v>3996</v>
      </c>
      <c r="N201" t="s">
        <v>3997</v>
      </c>
      <c r="O201" t="s">
        <v>3998</v>
      </c>
      <c r="P201" t="s">
        <v>2946</v>
      </c>
      <c r="R201" t="b">
        <v>0</v>
      </c>
      <c r="S201" t="s">
        <v>3534</v>
      </c>
    </row>
    <row r="202" spans="1:19" ht="11.25" customHeight="1">
      <c r="A202">
        <v>2655</v>
      </c>
      <c r="B202" t="s">
        <v>87</v>
      </c>
      <c r="C202">
        <v>26517842</v>
      </c>
      <c r="D202" t="s">
        <v>3999</v>
      </c>
      <c r="E202" t="s">
        <v>4000</v>
      </c>
      <c r="F202" t="s">
        <v>4001</v>
      </c>
      <c r="G202" t="s">
        <v>3050</v>
      </c>
      <c r="H202" t="s">
        <v>4002</v>
      </c>
      <c r="I202" t="s">
        <v>4003</v>
      </c>
      <c r="J202" t="s">
        <v>3128</v>
      </c>
      <c r="K202" t="s">
        <v>4004</v>
      </c>
      <c r="L202" t="s">
        <v>2832</v>
      </c>
      <c r="M202" t="s">
        <v>4005</v>
      </c>
      <c r="N202" t="s">
        <v>4006</v>
      </c>
      <c r="O202" t="s">
        <v>4007</v>
      </c>
      <c r="P202" t="s">
        <v>2856</v>
      </c>
      <c r="R202" t="b">
        <v>0</v>
      </c>
      <c r="S202" t="s">
        <v>3534</v>
      </c>
    </row>
    <row r="203" spans="1:19" ht="11.25" customHeight="1">
      <c r="A203">
        <v>2655</v>
      </c>
      <c r="B203" t="s">
        <v>87</v>
      </c>
      <c r="C203">
        <v>26356937</v>
      </c>
      <c r="D203" t="s">
        <v>3305</v>
      </c>
      <c r="E203" t="s">
        <v>3306</v>
      </c>
      <c r="F203" t="s">
        <v>3307</v>
      </c>
      <c r="G203" t="s">
        <v>109</v>
      </c>
      <c r="H203" t="s">
        <v>3308</v>
      </c>
      <c r="I203" t="s">
        <v>3309</v>
      </c>
      <c r="J203" t="s">
        <v>3128</v>
      </c>
      <c r="K203" t="s">
        <v>3310</v>
      </c>
      <c r="L203" t="s">
        <v>3310</v>
      </c>
      <c r="M203" t="s">
        <v>3311</v>
      </c>
      <c r="N203" t="s">
        <v>3312</v>
      </c>
      <c r="O203" t="s">
        <v>3313</v>
      </c>
      <c r="P203" t="s">
        <v>2968</v>
      </c>
      <c r="Q203" t="s">
        <v>3314</v>
      </c>
      <c r="R203" t="b">
        <v>0</v>
      </c>
      <c r="S203" t="s">
        <v>3534</v>
      </c>
    </row>
    <row r="204" spans="1:19" ht="11.25" customHeight="1">
      <c r="A204">
        <v>2655</v>
      </c>
      <c r="B204" t="s">
        <v>87</v>
      </c>
      <c r="C204">
        <v>31473621</v>
      </c>
      <c r="D204" t="s">
        <v>4008</v>
      </c>
      <c r="E204" t="s">
        <v>4009</v>
      </c>
      <c r="F204" t="s">
        <v>4010</v>
      </c>
      <c r="G204" t="s">
        <v>2982</v>
      </c>
      <c r="H204" t="s">
        <v>4011</v>
      </c>
      <c r="I204" t="s">
        <v>4012</v>
      </c>
      <c r="J204" t="s">
        <v>3128</v>
      </c>
      <c r="K204" t="s">
        <v>4013</v>
      </c>
      <c r="L204" t="s">
        <v>4013</v>
      </c>
      <c r="M204" t="s">
        <v>4014</v>
      </c>
      <c r="N204" t="s">
        <v>4015</v>
      </c>
      <c r="O204" t="s">
        <v>4016</v>
      </c>
      <c r="P204" t="s">
        <v>2856</v>
      </c>
      <c r="Q204" t="s">
        <v>4017</v>
      </c>
      <c r="R204" t="b">
        <v>0</v>
      </c>
      <c r="S204" t="s">
        <v>3534</v>
      </c>
    </row>
    <row r="205" spans="1:19" ht="11.25" customHeight="1">
      <c r="A205">
        <v>2655</v>
      </c>
      <c r="B205" t="s">
        <v>87</v>
      </c>
      <c r="C205">
        <v>31004851</v>
      </c>
      <c r="D205" t="s">
        <v>4018</v>
      </c>
      <c r="E205" t="s">
        <v>4019</v>
      </c>
      <c r="F205" t="s">
        <v>4020</v>
      </c>
      <c r="G205" t="s">
        <v>2861</v>
      </c>
      <c r="H205" t="s">
        <v>4021</v>
      </c>
      <c r="I205" t="s">
        <v>4022</v>
      </c>
      <c r="J205" t="s">
        <v>3128</v>
      </c>
      <c r="K205" t="s">
        <v>4023</v>
      </c>
      <c r="L205" t="s">
        <v>4024</v>
      </c>
      <c r="M205" t="s">
        <v>4025</v>
      </c>
      <c r="N205" t="s">
        <v>4026</v>
      </c>
      <c r="O205" t="s">
        <v>4027</v>
      </c>
      <c r="R205" t="b">
        <v>0</v>
      </c>
      <c r="S205" t="s">
        <v>3534</v>
      </c>
    </row>
    <row r="206" spans="1:19" ht="11.25" customHeight="1">
      <c r="A206">
        <v>2655</v>
      </c>
      <c r="B206" t="s">
        <v>87</v>
      </c>
      <c r="C206">
        <v>26356976</v>
      </c>
      <c r="D206" t="s">
        <v>4028</v>
      </c>
      <c r="E206" t="s">
        <v>4029</v>
      </c>
      <c r="F206" t="s">
        <v>4030</v>
      </c>
      <c r="G206" t="s">
        <v>3270</v>
      </c>
      <c r="H206" t="s">
        <v>4031</v>
      </c>
      <c r="I206" t="s">
        <v>4032</v>
      </c>
      <c r="J206" t="s">
        <v>3128</v>
      </c>
      <c r="K206" t="s">
        <v>4033</v>
      </c>
      <c r="L206" t="s">
        <v>4033</v>
      </c>
      <c r="M206" t="s">
        <v>4034</v>
      </c>
      <c r="N206" t="s">
        <v>4035</v>
      </c>
      <c r="O206" t="s">
        <v>4036</v>
      </c>
      <c r="P206" t="s">
        <v>2823</v>
      </c>
      <c r="Q206" t="s">
        <v>4037</v>
      </c>
      <c r="R206" t="b">
        <v>0</v>
      </c>
      <c r="S206" t="s">
        <v>3534</v>
      </c>
    </row>
    <row r="207" spans="1:19" ht="11.25" customHeight="1">
      <c r="A207">
        <v>2655</v>
      </c>
      <c r="B207" t="s">
        <v>87</v>
      </c>
      <c r="C207">
        <v>28274482</v>
      </c>
      <c r="D207" t="s">
        <v>4038</v>
      </c>
      <c r="E207" t="s">
        <v>4039</v>
      </c>
      <c r="F207" t="s">
        <v>4040</v>
      </c>
      <c r="G207" t="s">
        <v>2849</v>
      </c>
      <c r="H207" t="s">
        <v>4041</v>
      </c>
      <c r="I207" t="s">
        <v>4042</v>
      </c>
      <c r="J207" t="s">
        <v>3128</v>
      </c>
      <c r="K207" t="s">
        <v>4043</v>
      </c>
      <c r="L207" t="s">
        <v>4044</v>
      </c>
      <c r="M207" t="s">
        <v>3264</v>
      </c>
      <c r="N207" t="s">
        <v>4045</v>
      </c>
      <c r="O207" t="s">
        <v>3266</v>
      </c>
      <c r="P207" t="s">
        <v>2946</v>
      </c>
      <c r="R207" t="b">
        <v>0</v>
      </c>
      <c r="S207" t="s">
        <v>3534</v>
      </c>
    </row>
    <row r="208" spans="1:19" ht="11.25" customHeight="1">
      <c r="A208">
        <v>2655</v>
      </c>
      <c r="B208" t="s">
        <v>87</v>
      </c>
      <c r="C208">
        <v>31224454</v>
      </c>
      <c r="D208" t="s">
        <v>4046</v>
      </c>
      <c r="E208" t="s">
        <v>4047</v>
      </c>
      <c r="F208" t="s">
        <v>4048</v>
      </c>
      <c r="G208" t="s">
        <v>2861</v>
      </c>
      <c r="H208" t="s">
        <v>4049</v>
      </c>
      <c r="I208" t="s">
        <v>4050</v>
      </c>
      <c r="J208" t="s">
        <v>3128</v>
      </c>
      <c r="K208" t="s">
        <v>4051</v>
      </c>
      <c r="L208" t="s">
        <v>4051</v>
      </c>
      <c r="M208" t="s">
        <v>4052</v>
      </c>
      <c r="N208" t="s">
        <v>4053</v>
      </c>
      <c r="O208" t="s">
        <v>4054</v>
      </c>
      <c r="P208" t="s">
        <v>2856</v>
      </c>
      <c r="R208" t="b">
        <v>0</v>
      </c>
      <c r="S208" t="s">
        <v>3534</v>
      </c>
    </row>
    <row r="209" spans="1:19" ht="11.25" customHeight="1">
      <c r="A209">
        <v>2655</v>
      </c>
      <c r="B209" t="s">
        <v>87</v>
      </c>
      <c r="C209">
        <v>26852692</v>
      </c>
      <c r="D209" t="s">
        <v>4055</v>
      </c>
      <c r="E209" t="s">
        <v>4056</v>
      </c>
      <c r="F209" t="s">
        <v>4057</v>
      </c>
      <c r="G209" t="s">
        <v>3270</v>
      </c>
      <c r="H209" t="s">
        <v>4058</v>
      </c>
      <c r="I209" t="s">
        <v>4059</v>
      </c>
      <c r="K209" t="s">
        <v>4060</v>
      </c>
      <c r="L209" t="s">
        <v>4060</v>
      </c>
      <c r="M209" t="s">
        <v>4061</v>
      </c>
      <c r="N209" t="s">
        <v>4062</v>
      </c>
      <c r="O209" t="s">
        <v>4063</v>
      </c>
      <c r="P209" t="s">
        <v>2946</v>
      </c>
      <c r="R209" t="b">
        <v>1</v>
      </c>
      <c r="S209" t="s">
        <v>3534</v>
      </c>
    </row>
    <row r="210" spans="1:19" ht="11.25" customHeight="1">
      <c r="A210">
        <v>2655</v>
      </c>
      <c r="B210" t="s">
        <v>87</v>
      </c>
      <c r="C210">
        <v>31416239</v>
      </c>
      <c r="D210" t="s">
        <v>4064</v>
      </c>
      <c r="E210" t="s">
        <v>4065</v>
      </c>
      <c r="F210" t="s">
        <v>4066</v>
      </c>
      <c r="G210" t="s">
        <v>109</v>
      </c>
      <c r="H210" t="s">
        <v>4067</v>
      </c>
      <c r="I210" t="s">
        <v>4068</v>
      </c>
      <c r="J210" t="s">
        <v>3128</v>
      </c>
      <c r="K210" t="s">
        <v>4069</v>
      </c>
      <c r="L210" t="s">
        <v>4069</v>
      </c>
      <c r="M210" t="s">
        <v>4070</v>
      </c>
      <c r="O210" t="s">
        <v>4071</v>
      </c>
      <c r="P210" t="s">
        <v>2946</v>
      </c>
      <c r="R210" t="b">
        <v>1</v>
      </c>
      <c r="S210" t="s">
        <v>3534</v>
      </c>
    </row>
    <row r="211" spans="1:19" ht="11.25" customHeight="1">
      <c r="A211">
        <v>2655</v>
      </c>
      <c r="B211" t="s">
        <v>87</v>
      </c>
      <c r="C211">
        <v>31534676</v>
      </c>
      <c r="D211" t="s">
        <v>4072</v>
      </c>
      <c r="E211" t="s">
        <v>4073</v>
      </c>
      <c r="F211" t="s">
        <v>4074</v>
      </c>
      <c r="G211" t="s">
        <v>2982</v>
      </c>
      <c r="H211" t="s">
        <v>4075</v>
      </c>
      <c r="I211" t="s">
        <v>4076</v>
      </c>
      <c r="K211" t="s">
        <v>4077</v>
      </c>
      <c r="L211" t="s">
        <v>4078</v>
      </c>
      <c r="M211" t="s">
        <v>4079</v>
      </c>
      <c r="N211" t="s">
        <v>4080</v>
      </c>
      <c r="O211" t="s">
        <v>4081</v>
      </c>
      <c r="P211" t="s">
        <v>2946</v>
      </c>
      <c r="R211" t="b">
        <v>0</v>
      </c>
      <c r="S211" t="s">
        <v>3534</v>
      </c>
    </row>
    <row r="212" spans="1:19" ht="11.25" customHeight="1">
      <c r="A212">
        <v>2655</v>
      </c>
      <c r="B212" t="s">
        <v>87</v>
      </c>
      <c r="C212">
        <v>26356899</v>
      </c>
      <c r="D212" t="s">
        <v>4082</v>
      </c>
      <c r="E212" t="s">
        <v>4083</v>
      </c>
      <c r="F212" t="s">
        <v>4084</v>
      </c>
      <c r="G212" t="s">
        <v>4085</v>
      </c>
      <c r="H212" t="s">
        <v>4086</v>
      </c>
      <c r="J212" t="s">
        <v>3128</v>
      </c>
      <c r="K212" t="s">
        <v>3359</v>
      </c>
      <c r="L212" t="s">
        <v>3359</v>
      </c>
      <c r="M212" t="s">
        <v>4087</v>
      </c>
      <c r="O212" t="s">
        <v>3361</v>
      </c>
      <c r="P212" t="s">
        <v>2946</v>
      </c>
      <c r="R212" t="b">
        <v>0</v>
      </c>
      <c r="S212" t="s">
        <v>3534</v>
      </c>
    </row>
    <row r="213" spans="1:19" ht="11.25" customHeight="1">
      <c r="A213">
        <v>2655</v>
      </c>
      <c r="B213" t="s">
        <v>87</v>
      </c>
      <c r="C213">
        <v>31224507</v>
      </c>
      <c r="D213" t="s">
        <v>4088</v>
      </c>
      <c r="E213" t="s">
        <v>4089</v>
      </c>
      <c r="F213" t="s">
        <v>4090</v>
      </c>
      <c r="G213" t="s">
        <v>4091</v>
      </c>
      <c r="H213" t="s">
        <v>4092</v>
      </c>
      <c r="I213" t="s">
        <v>4093</v>
      </c>
      <c r="J213" t="s">
        <v>3128</v>
      </c>
      <c r="K213" t="s">
        <v>4094</v>
      </c>
      <c r="L213" t="s">
        <v>4094</v>
      </c>
      <c r="M213" t="s">
        <v>4095</v>
      </c>
      <c r="N213" t="s">
        <v>4096</v>
      </c>
      <c r="O213" t="s">
        <v>4054</v>
      </c>
      <c r="P213" t="s">
        <v>2856</v>
      </c>
      <c r="R213" t="b">
        <v>0</v>
      </c>
      <c r="S213" t="s">
        <v>3534</v>
      </c>
    </row>
    <row r="214" spans="1:19" ht="11.25" customHeight="1">
      <c r="A214">
        <v>2655</v>
      </c>
      <c r="B214" t="s">
        <v>87</v>
      </c>
      <c r="C214">
        <v>27968109</v>
      </c>
      <c r="D214" t="s">
        <v>4097</v>
      </c>
      <c r="E214" t="s">
        <v>4098</v>
      </c>
      <c r="F214" t="s">
        <v>4099</v>
      </c>
      <c r="G214" t="s">
        <v>2828</v>
      </c>
      <c r="H214" t="s">
        <v>4100</v>
      </c>
      <c r="I214" t="s">
        <v>4101</v>
      </c>
      <c r="J214" t="s">
        <v>3128</v>
      </c>
      <c r="K214" t="s">
        <v>4102</v>
      </c>
      <c r="L214" t="s">
        <v>4102</v>
      </c>
      <c r="M214" t="s">
        <v>4103</v>
      </c>
      <c r="N214" t="s">
        <v>4104</v>
      </c>
      <c r="O214" t="s">
        <v>4105</v>
      </c>
      <c r="P214" t="s">
        <v>2856</v>
      </c>
      <c r="Q214" t="s">
        <v>4106</v>
      </c>
      <c r="R214" t="b">
        <v>0</v>
      </c>
      <c r="S214" t="s">
        <v>3534</v>
      </c>
    </row>
    <row r="215" spans="1:19" ht="11.25" customHeight="1">
      <c r="A215">
        <v>2655</v>
      </c>
      <c r="B215" t="s">
        <v>87</v>
      </c>
      <c r="C215">
        <v>26356932</v>
      </c>
      <c r="D215" t="s">
        <v>4107</v>
      </c>
      <c r="E215" t="s">
        <v>4108</v>
      </c>
      <c r="F215" t="s">
        <v>4109</v>
      </c>
      <c r="G215" t="s">
        <v>109</v>
      </c>
      <c r="H215" t="s">
        <v>4110</v>
      </c>
      <c r="I215" t="s">
        <v>4111</v>
      </c>
      <c r="J215" t="s">
        <v>3128</v>
      </c>
      <c r="K215" t="s">
        <v>4112</v>
      </c>
      <c r="L215" t="s">
        <v>4112</v>
      </c>
      <c r="M215" t="s">
        <v>4113</v>
      </c>
      <c r="N215" t="s">
        <v>4114</v>
      </c>
      <c r="O215" t="s">
        <v>4115</v>
      </c>
      <c r="P215" t="s">
        <v>2946</v>
      </c>
      <c r="R215" t="b">
        <v>1</v>
      </c>
      <c r="S215" t="s">
        <v>3534</v>
      </c>
    </row>
    <row r="216" spans="1:19" ht="11.25" customHeight="1">
      <c r="A216">
        <v>2655</v>
      </c>
      <c r="B216" t="s">
        <v>87</v>
      </c>
      <c r="C216">
        <v>28270293</v>
      </c>
      <c r="D216" t="s">
        <v>3335</v>
      </c>
      <c r="E216" t="s">
        <v>3336</v>
      </c>
      <c r="F216" t="s">
        <v>3337</v>
      </c>
      <c r="G216" t="s">
        <v>3050</v>
      </c>
      <c r="H216" t="s">
        <v>3338</v>
      </c>
      <c r="I216" t="s">
        <v>3339</v>
      </c>
      <c r="J216" t="s">
        <v>3128</v>
      </c>
      <c r="K216" t="s">
        <v>3340</v>
      </c>
      <c r="L216" t="s">
        <v>3340</v>
      </c>
      <c r="M216" t="s">
        <v>3341</v>
      </c>
      <c r="N216" t="s">
        <v>3342</v>
      </c>
      <c r="O216" t="s">
        <v>3343</v>
      </c>
      <c r="P216" t="s">
        <v>2856</v>
      </c>
      <c r="R216" t="b">
        <v>0</v>
      </c>
      <c r="S216" t="s">
        <v>3534</v>
      </c>
    </row>
    <row r="217" spans="1:19" ht="11.25" customHeight="1">
      <c r="A217">
        <v>2655</v>
      </c>
      <c r="B217" t="s">
        <v>87</v>
      </c>
      <c r="C217">
        <v>28873362</v>
      </c>
      <c r="D217" t="s">
        <v>3344</v>
      </c>
      <c r="E217" t="s">
        <v>3345</v>
      </c>
      <c r="F217" t="s">
        <v>3346</v>
      </c>
      <c r="G217" t="s">
        <v>2828</v>
      </c>
      <c r="H217" t="s">
        <v>3347</v>
      </c>
      <c r="I217" t="s">
        <v>3348</v>
      </c>
      <c r="J217" t="s">
        <v>3128</v>
      </c>
      <c r="K217" t="s">
        <v>3349</v>
      </c>
      <c r="L217" t="s">
        <v>3349</v>
      </c>
      <c r="M217" t="s">
        <v>3350</v>
      </c>
      <c r="N217" t="s">
        <v>3351</v>
      </c>
      <c r="O217" t="s">
        <v>3352</v>
      </c>
      <c r="P217" t="s">
        <v>2946</v>
      </c>
      <c r="Q217" t="s">
        <v>3353</v>
      </c>
      <c r="R217" t="b">
        <v>0</v>
      </c>
      <c r="S217" t="s">
        <v>3534</v>
      </c>
    </row>
    <row r="218" spans="1:19" ht="11.25" customHeight="1">
      <c r="A218">
        <v>2655</v>
      </c>
      <c r="B218" t="s">
        <v>87</v>
      </c>
      <c r="C218">
        <v>31774768</v>
      </c>
      <c r="D218" t="s">
        <v>4116</v>
      </c>
      <c r="E218" t="s">
        <v>4117</v>
      </c>
      <c r="F218" t="s">
        <v>4118</v>
      </c>
      <c r="G218" t="s">
        <v>3077</v>
      </c>
      <c r="H218" t="s">
        <v>4119</v>
      </c>
      <c r="I218" t="s">
        <v>4120</v>
      </c>
      <c r="K218" t="s">
        <v>4121</v>
      </c>
      <c r="L218" t="s">
        <v>4121</v>
      </c>
      <c r="M218" t="s">
        <v>162</v>
      </c>
      <c r="N218" t="s">
        <v>4122</v>
      </c>
      <c r="O218" t="s">
        <v>4123</v>
      </c>
      <c r="P218" t="s">
        <v>3203</v>
      </c>
      <c r="Q218" t="s">
        <v>162</v>
      </c>
      <c r="R218" t="b">
        <v>1</v>
      </c>
      <c r="S218" t="s">
        <v>3534</v>
      </c>
    </row>
    <row r="219" spans="1:19" ht="11.25" customHeight="1">
      <c r="A219">
        <v>2655</v>
      </c>
      <c r="B219" t="s">
        <v>87</v>
      </c>
      <c r="C219">
        <v>30992391</v>
      </c>
      <c r="D219" t="s">
        <v>3362</v>
      </c>
      <c r="E219" t="s">
        <v>3363</v>
      </c>
      <c r="F219" t="s">
        <v>3364</v>
      </c>
      <c r="G219" t="s">
        <v>2938</v>
      </c>
      <c r="H219" t="s">
        <v>3365</v>
      </c>
      <c r="I219" t="s">
        <v>3366</v>
      </c>
      <c r="J219" t="s">
        <v>3128</v>
      </c>
      <c r="K219" t="s">
        <v>3367</v>
      </c>
      <c r="L219" t="s">
        <v>3368</v>
      </c>
      <c r="M219" t="s">
        <v>3369</v>
      </c>
      <c r="N219" t="s">
        <v>3370</v>
      </c>
      <c r="O219" t="s">
        <v>3371</v>
      </c>
      <c r="P219" t="s">
        <v>2946</v>
      </c>
      <c r="Q219" t="s">
        <v>3372</v>
      </c>
      <c r="R219" t="b">
        <v>0</v>
      </c>
      <c r="S219" t="s">
        <v>3534</v>
      </c>
    </row>
    <row r="220" spans="1:19" ht="11.25" customHeight="1">
      <c r="A220">
        <v>2655</v>
      </c>
      <c r="B220" t="s">
        <v>87</v>
      </c>
      <c r="C220">
        <v>31491836</v>
      </c>
      <c r="D220" t="s">
        <v>4124</v>
      </c>
      <c r="E220" t="s">
        <v>4125</v>
      </c>
      <c r="F220" t="s">
        <v>4126</v>
      </c>
      <c r="G220" t="s">
        <v>2828</v>
      </c>
      <c r="H220" t="s">
        <v>4127</v>
      </c>
      <c r="I220" t="s">
        <v>4128</v>
      </c>
      <c r="J220" t="s">
        <v>3128</v>
      </c>
      <c r="K220" t="s">
        <v>4129</v>
      </c>
      <c r="L220" t="s">
        <v>4130</v>
      </c>
      <c r="M220" t="s">
        <v>4131</v>
      </c>
      <c r="N220" t="s">
        <v>4132</v>
      </c>
      <c r="O220" t="s">
        <v>4133</v>
      </c>
      <c r="P220" t="s">
        <v>2968</v>
      </c>
      <c r="R220" t="b">
        <v>1</v>
      </c>
      <c r="S220" t="s">
        <v>3534</v>
      </c>
    </row>
    <row r="221" spans="1:19" ht="11.25" customHeight="1">
      <c r="A221">
        <v>2655</v>
      </c>
      <c r="B221" t="s">
        <v>87</v>
      </c>
      <c r="C221">
        <v>26356974</v>
      </c>
      <c r="D221" t="s">
        <v>4134</v>
      </c>
      <c r="E221" t="s">
        <v>4135</v>
      </c>
      <c r="F221" t="s">
        <v>4136</v>
      </c>
      <c r="G221" t="s">
        <v>4137</v>
      </c>
      <c r="H221" t="s">
        <v>4138</v>
      </c>
      <c r="I221" t="s">
        <v>4139</v>
      </c>
      <c r="J221" t="s">
        <v>3128</v>
      </c>
      <c r="K221" t="s">
        <v>4140</v>
      </c>
      <c r="L221" t="s">
        <v>4140</v>
      </c>
      <c r="M221" t="s">
        <v>4141</v>
      </c>
      <c r="N221" t="s">
        <v>4142</v>
      </c>
      <c r="O221" t="s">
        <v>4143</v>
      </c>
      <c r="P221" t="s">
        <v>2946</v>
      </c>
      <c r="Q221" t="s">
        <v>4144</v>
      </c>
      <c r="R221" t="b">
        <v>0</v>
      </c>
      <c r="S221" t="s">
        <v>3534</v>
      </c>
    </row>
    <row r="222" spans="1:19" ht="11.25" customHeight="1">
      <c r="A222">
        <v>2655</v>
      </c>
      <c r="B222" t="s">
        <v>87</v>
      </c>
      <c r="C222">
        <v>31365968</v>
      </c>
      <c r="D222" t="s">
        <v>4145</v>
      </c>
      <c r="E222" t="s">
        <v>4146</v>
      </c>
      <c r="F222" t="s">
        <v>4147</v>
      </c>
      <c r="G222" t="s">
        <v>3010</v>
      </c>
      <c r="H222" t="s">
        <v>4148</v>
      </c>
      <c r="I222" t="s">
        <v>4149</v>
      </c>
      <c r="J222" t="s">
        <v>3128</v>
      </c>
      <c r="K222" t="s">
        <v>4150</v>
      </c>
      <c r="L222" t="s">
        <v>4150</v>
      </c>
      <c r="M222" t="s">
        <v>4151</v>
      </c>
      <c r="N222" t="s">
        <v>4152</v>
      </c>
      <c r="O222" t="s">
        <v>4153</v>
      </c>
      <c r="P222" t="s">
        <v>2856</v>
      </c>
      <c r="R222" t="b">
        <v>0</v>
      </c>
      <c r="S222" t="s">
        <v>3534</v>
      </c>
    </row>
    <row r="223" spans="1:19" ht="11.25" customHeight="1">
      <c r="A223">
        <v>2655</v>
      </c>
      <c r="B223" t="s">
        <v>87</v>
      </c>
      <c r="C223">
        <v>31038861</v>
      </c>
      <c r="D223" t="s">
        <v>4154</v>
      </c>
      <c r="E223" t="s">
        <v>4155</v>
      </c>
      <c r="F223" t="s">
        <v>4156</v>
      </c>
      <c r="G223" t="s">
        <v>2861</v>
      </c>
      <c r="H223" t="s">
        <v>4157</v>
      </c>
      <c r="I223" t="s">
        <v>4158</v>
      </c>
      <c r="J223" t="s">
        <v>3128</v>
      </c>
      <c r="K223" t="s">
        <v>4159</v>
      </c>
      <c r="L223" t="s">
        <v>4160</v>
      </c>
      <c r="M223" t="s">
        <v>4161</v>
      </c>
      <c r="N223" t="s">
        <v>4162</v>
      </c>
      <c r="O223" t="s">
        <v>4163</v>
      </c>
      <c r="P223" t="s">
        <v>2856</v>
      </c>
      <c r="R223" t="b">
        <v>0</v>
      </c>
      <c r="S223" t="s">
        <v>3534</v>
      </c>
    </row>
    <row r="224" spans="1:19" ht="11.25" customHeight="1">
      <c r="A224">
        <v>2655</v>
      </c>
      <c r="B224" t="s">
        <v>87</v>
      </c>
      <c r="C224">
        <v>26519663</v>
      </c>
      <c r="D224" t="s">
        <v>4164</v>
      </c>
      <c r="E224" t="s">
        <v>4165</v>
      </c>
      <c r="F224" t="s">
        <v>4166</v>
      </c>
      <c r="G224" t="s">
        <v>3001</v>
      </c>
      <c r="H224" t="s">
        <v>4167</v>
      </c>
      <c r="I224" t="s">
        <v>4168</v>
      </c>
      <c r="J224" t="s">
        <v>2896</v>
      </c>
      <c r="K224" t="s">
        <v>4169</v>
      </c>
      <c r="L224" t="s">
        <v>4169</v>
      </c>
      <c r="M224" t="s">
        <v>4170</v>
      </c>
      <c r="N224" t="s">
        <v>4171</v>
      </c>
      <c r="O224" t="s">
        <v>4172</v>
      </c>
      <c r="P224" t="s">
        <v>2823</v>
      </c>
      <c r="Q224" t="s">
        <v>4173</v>
      </c>
      <c r="R224" t="b">
        <v>0</v>
      </c>
      <c r="S224" t="s">
        <v>3534</v>
      </c>
    </row>
    <row r="225" spans="1:19" ht="11.25" customHeight="1">
      <c r="A225">
        <v>2655</v>
      </c>
      <c r="B225" t="s">
        <v>87</v>
      </c>
      <c r="C225">
        <v>26356985</v>
      </c>
      <c r="D225" t="s">
        <v>4174</v>
      </c>
      <c r="E225" t="s">
        <v>4175</v>
      </c>
      <c r="F225" t="s">
        <v>4176</v>
      </c>
      <c r="G225" t="s">
        <v>4177</v>
      </c>
      <c r="H225" t="s">
        <v>4178</v>
      </c>
      <c r="I225" t="s">
        <v>4179</v>
      </c>
      <c r="J225" t="s">
        <v>4180</v>
      </c>
      <c r="K225" t="s">
        <v>4181</v>
      </c>
      <c r="L225" t="s">
        <v>4181</v>
      </c>
      <c r="O225" t="s">
        <v>4182</v>
      </c>
      <c r="P225" t="s">
        <v>4183</v>
      </c>
      <c r="R225" t="b">
        <v>1</v>
      </c>
      <c r="S225" t="s">
        <v>3534</v>
      </c>
    </row>
    <row r="226" spans="1:19" ht="11.25" customHeight="1">
      <c r="A226">
        <v>2655</v>
      </c>
      <c r="B226" t="s">
        <v>87</v>
      </c>
      <c r="C226">
        <v>30874530</v>
      </c>
      <c r="D226" t="s">
        <v>4184</v>
      </c>
      <c r="E226" t="s">
        <v>4185</v>
      </c>
      <c r="F226" t="s">
        <v>4186</v>
      </c>
      <c r="G226" t="s">
        <v>4187</v>
      </c>
      <c r="H226" t="s">
        <v>4188</v>
      </c>
      <c r="I226" t="s">
        <v>4189</v>
      </c>
      <c r="J226" t="s">
        <v>3128</v>
      </c>
      <c r="K226" t="s">
        <v>4190</v>
      </c>
      <c r="L226" t="s">
        <v>4191</v>
      </c>
      <c r="M226" t="s">
        <v>4192</v>
      </c>
      <c r="N226" t="s">
        <v>4193</v>
      </c>
      <c r="O226" t="s">
        <v>4194</v>
      </c>
      <c r="P226" t="s">
        <v>4195</v>
      </c>
      <c r="R226" t="b">
        <v>0</v>
      </c>
      <c r="S226" t="s">
        <v>3534</v>
      </c>
    </row>
    <row r="227" spans="1:19" ht="11.25" customHeight="1">
      <c r="A227">
        <v>2655</v>
      </c>
      <c r="B227" t="s">
        <v>87</v>
      </c>
      <c r="C227">
        <v>30808511</v>
      </c>
      <c r="D227" t="s">
        <v>3373</v>
      </c>
      <c r="E227" t="s">
        <v>3373</v>
      </c>
      <c r="F227" t="s">
        <v>3374</v>
      </c>
      <c r="G227" t="s">
        <v>3375</v>
      </c>
      <c r="H227" t="s">
        <v>3376</v>
      </c>
      <c r="I227" t="s">
        <v>3377</v>
      </c>
      <c r="J227" t="s">
        <v>3378</v>
      </c>
      <c r="K227" t="s">
        <v>3379</v>
      </c>
      <c r="L227" t="s">
        <v>3379</v>
      </c>
      <c r="M227" t="s">
        <v>3380</v>
      </c>
      <c r="O227" t="s">
        <v>3381</v>
      </c>
      <c r="P227" t="s">
        <v>2946</v>
      </c>
      <c r="Q227" t="s">
        <v>3382</v>
      </c>
      <c r="R227" t="b">
        <v>0</v>
      </c>
      <c r="S227" t="s">
        <v>3534</v>
      </c>
    </row>
    <row r="228" spans="1:19" ht="11.25" customHeight="1">
      <c r="A228">
        <v>2655</v>
      </c>
      <c r="B228" t="s">
        <v>87</v>
      </c>
      <c r="C228">
        <v>30829962</v>
      </c>
      <c r="D228" t="s">
        <v>4196</v>
      </c>
      <c r="E228" t="s">
        <v>4197</v>
      </c>
      <c r="F228" t="s">
        <v>3374</v>
      </c>
      <c r="G228" t="s">
        <v>2828</v>
      </c>
      <c r="H228" t="s">
        <v>3376</v>
      </c>
      <c r="I228" t="s">
        <v>4198</v>
      </c>
      <c r="J228" t="s">
        <v>3378</v>
      </c>
      <c r="K228" t="s">
        <v>4199</v>
      </c>
      <c r="L228" t="s">
        <v>4199</v>
      </c>
      <c r="M228" t="s">
        <v>4200</v>
      </c>
      <c r="N228" t="s">
        <v>4201</v>
      </c>
      <c r="O228" t="s">
        <v>4202</v>
      </c>
      <c r="P228" t="s">
        <v>2968</v>
      </c>
      <c r="R228" t="b">
        <v>0</v>
      </c>
      <c r="S228" t="s">
        <v>3534</v>
      </c>
    </row>
    <row r="229" spans="1:19" ht="11.25" customHeight="1">
      <c r="A229">
        <v>2655</v>
      </c>
      <c r="B229" t="s">
        <v>87</v>
      </c>
      <c r="C229">
        <v>28977129</v>
      </c>
      <c r="D229" t="s">
        <v>4203</v>
      </c>
      <c r="E229" t="s">
        <v>4204</v>
      </c>
      <c r="F229" t="s">
        <v>3374</v>
      </c>
      <c r="G229" t="s">
        <v>4205</v>
      </c>
      <c r="H229" t="s">
        <v>3376</v>
      </c>
      <c r="I229" t="s">
        <v>3390</v>
      </c>
      <c r="J229" t="s">
        <v>3378</v>
      </c>
      <c r="K229" t="s">
        <v>4206</v>
      </c>
      <c r="L229" t="s">
        <v>4207</v>
      </c>
      <c r="M229" t="s">
        <v>4208</v>
      </c>
      <c r="O229" t="s">
        <v>4209</v>
      </c>
      <c r="P229" t="s">
        <v>2946</v>
      </c>
      <c r="R229" t="b">
        <v>0</v>
      </c>
      <c r="S229" t="s">
        <v>3534</v>
      </c>
    </row>
    <row r="230" spans="1:19" ht="11.25" customHeight="1">
      <c r="A230">
        <v>2655</v>
      </c>
      <c r="B230" t="s">
        <v>87</v>
      </c>
      <c r="C230">
        <v>26520873</v>
      </c>
      <c r="D230" t="s">
        <v>3387</v>
      </c>
      <c r="E230" t="s">
        <v>3388</v>
      </c>
      <c r="F230" t="s">
        <v>3374</v>
      </c>
      <c r="G230" t="s">
        <v>3389</v>
      </c>
      <c r="H230" t="s">
        <v>3376</v>
      </c>
      <c r="I230" t="s">
        <v>3390</v>
      </c>
      <c r="J230" t="s">
        <v>3378</v>
      </c>
      <c r="K230" t="s">
        <v>3391</v>
      </c>
      <c r="L230" t="s">
        <v>3392</v>
      </c>
      <c r="M230" t="s">
        <v>3393</v>
      </c>
      <c r="N230" t="s">
        <v>3394</v>
      </c>
      <c r="O230" t="s">
        <v>3395</v>
      </c>
      <c r="P230" t="s">
        <v>2946</v>
      </c>
      <c r="Q230" t="s">
        <v>3396</v>
      </c>
      <c r="R230" t="b">
        <v>0</v>
      </c>
      <c r="S230" t="s">
        <v>3534</v>
      </c>
    </row>
    <row r="231" spans="1:19" ht="11.25" customHeight="1">
      <c r="A231">
        <v>2655</v>
      </c>
      <c r="B231" t="s">
        <v>87</v>
      </c>
      <c r="C231">
        <v>30914574</v>
      </c>
      <c r="D231" t="s">
        <v>4210</v>
      </c>
      <c r="E231" t="s">
        <v>4211</v>
      </c>
      <c r="F231" t="s">
        <v>4212</v>
      </c>
      <c r="G231" t="s">
        <v>4213</v>
      </c>
      <c r="H231" t="s">
        <v>4214</v>
      </c>
      <c r="I231" t="s">
        <v>4215</v>
      </c>
      <c r="J231" t="s">
        <v>4216</v>
      </c>
      <c r="L231" t="s">
        <v>4217</v>
      </c>
      <c r="M231" t="s">
        <v>4218</v>
      </c>
      <c r="N231" t="s">
        <v>4219</v>
      </c>
      <c r="O231" t="s">
        <v>4220</v>
      </c>
      <c r="P231" t="s">
        <v>4221</v>
      </c>
      <c r="R231" t="b">
        <v>0</v>
      </c>
      <c r="S231" t="s">
        <v>3534</v>
      </c>
    </row>
    <row r="232" spans="1:19" ht="11.25" customHeight="1">
      <c r="A232">
        <v>2655</v>
      </c>
      <c r="B232" t="s">
        <v>87</v>
      </c>
      <c r="C232">
        <v>26356953</v>
      </c>
      <c r="D232" t="s">
        <v>2813</v>
      </c>
      <c r="E232" t="s">
        <v>2814</v>
      </c>
      <c r="F232" t="s">
        <v>2815</v>
      </c>
      <c r="G232" t="s">
        <v>2816</v>
      </c>
      <c r="H232" t="s">
        <v>2817</v>
      </c>
      <c r="I232" t="s">
        <v>2818</v>
      </c>
      <c r="J232" t="s">
        <v>114</v>
      </c>
      <c r="K232" t="s">
        <v>2819</v>
      </c>
      <c r="L232" t="s">
        <v>2819</v>
      </c>
      <c r="M232" t="s">
        <v>2820</v>
      </c>
      <c r="N232" t="s">
        <v>2821</v>
      </c>
      <c r="O232" t="s">
        <v>2822</v>
      </c>
      <c r="P232" t="s">
        <v>2823</v>
      </c>
      <c r="Q232" t="s">
        <v>2824</v>
      </c>
      <c r="R232" t="b">
        <v>0</v>
      </c>
      <c r="S232" t="s">
        <v>4222</v>
      </c>
    </row>
    <row r="233" spans="1:19" ht="11.25" customHeight="1">
      <c r="A233">
        <v>2655</v>
      </c>
      <c r="B233" t="s">
        <v>87</v>
      </c>
      <c r="C233">
        <v>26356915</v>
      </c>
      <c r="D233" t="s">
        <v>3409</v>
      </c>
      <c r="E233" t="s">
        <v>3410</v>
      </c>
      <c r="F233" t="s">
        <v>3411</v>
      </c>
      <c r="G233" t="s">
        <v>3039</v>
      </c>
      <c r="H233" t="s">
        <v>3412</v>
      </c>
      <c r="I233" t="s">
        <v>3413</v>
      </c>
      <c r="J233" t="s">
        <v>114</v>
      </c>
      <c r="K233" t="s">
        <v>3414</v>
      </c>
      <c r="L233" t="s">
        <v>3414</v>
      </c>
      <c r="M233" t="s">
        <v>3415</v>
      </c>
      <c r="N233" t="s">
        <v>3416</v>
      </c>
      <c r="O233" t="s">
        <v>3417</v>
      </c>
      <c r="P233" t="s">
        <v>2856</v>
      </c>
      <c r="Q233" t="s">
        <v>138</v>
      </c>
      <c r="R233" t="b">
        <v>0</v>
      </c>
      <c r="S233" t="s">
        <v>4222</v>
      </c>
    </row>
    <row r="234" spans="1:19" ht="11.25" customHeight="1">
      <c r="A234">
        <v>2655</v>
      </c>
      <c r="B234" t="s">
        <v>87</v>
      </c>
      <c r="C234">
        <v>26357007</v>
      </c>
      <c r="D234" t="s">
        <v>3535</v>
      </c>
      <c r="E234" t="s">
        <v>3536</v>
      </c>
      <c r="F234" t="s">
        <v>3537</v>
      </c>
      <c r="G234" t="s">
        <v>3077</v>
      </c>
      <c r="H234" t="s">
        <v>3538</v>
      </c>
      <c r="I234" t="s">
        <v>3539</v>
      </c>
      <c r="J234" t="s">
        <v>114</v>
      </c>
      <c r="K234" t="s">
        <v>3540</v>
      </c>
      <c r="L234" t="s">
        <v>3540</v>
      </c>
      <c r="M234" t="s">
        <v>3541</v>
      </c>
      <c r="N234" t="s">
        <v>3542</v>
      </c>
      <c r="O234" t="s">
        <v>3543</v>
      </c>
      <c r="P234" t="s">
        <v>2856</v>
      </c>
      <c r="Q234" t="s">
        <v>3544</v>
      </c>
      <c r="R234" t="b">
        <v>0</v>
      </c>
      <c r="S234" t="s">
        <v>4222</v>
      </c>
    </row>
    <row r="235" spans="1:19" ht="11.25" customHeight="1">
      <c r="A235">
        <v>2655</v>
      </c>
      <c r="B235" t="s">
        <v>87</v>
      </c>
      <c r="C235">
        <v>27804990</v>
      </c>
      <c r="D235" t="s">
        <v>2825</v>
      </c>
      <c r="E235" t="s">
        <v>2826</v>
      </c>
      <c r="F235" t="s">
        <v>2827</v>
      </c>
      <c r="G235" t="s">
        <v>2828</v>
      </c>
      <c r="H235" t="s">
        <v>2829</v>
      </c>
      <c r="I235" t="s">
        <v>2830</v>
      </c>
      <c r="J235" t="s">
        <v>114</v>
      </c>
      <c r="K235" t="s">
        <v>2831</v>
      </c>
      <c r="L235" t="s">
        <v>2832</v>
      </c>
      <c r="M235" t="s">
        <v>2833</v>
      </c>
      <c r="N235" t="s">
        <v>2834</v>
      </c>
      <c r="O235" t="s">
        <v>2835</v>
      </c>
      <c r="P235" t="s">
        <v>2836</v>
      </c>
      <c r="Q235" t="s">
        <v>2837</v>
      </c>
      <c r="R235" t="b">
        <v>0</v>
      </c>
      <c r="S235" t="s">
        <v>4222</v>
      </c>
    </row>
    <row r="236" spans="1:19" ht="11.25" customHeight="1">
      <c r="A236">
        <v>2655</v>
      </c>
      <c r="B236" t="s">
        <v>87</v>
      </c>
      <c r="C236">
        <v>28048296</v>
      </c>
      <c r="D236" t="s">
        <v>3545</v>
      </c>
      <c r="E236" t="s">
        <v>3546</v>
      </c>
      <c r="F236" t="s">
        <v>3547</v>
      </c>
      <c r="G236" t="s">
        <v>2828</v>
      </c>
      <c r="H236" t="s">
        <v>3548</v>
      </c>
      <c r="I236" t="s">
        <v>3549</v>
      </c>
      <c r="J236" t="s">
        <v>114</v>
      </c>
      <c r="K236" t="s">
        <v>3550</v>
      </c>
      <c r="L236" t="s">
        <v>2832</v>
      </c>
      <c r="M236" t="s">
        <v>3551</v>
      </c>
      <c r="N236" t="s">
        <v>2834</v>
      </c>
      <c r="O236" t="s">
        <v>2835</v>
      </c>
      <c r="P236" t="s">
        <v>2845</v>
      </c>
      <c r="Q236" t="s">
        <v>2837</v>
      </c>
      <c r="R236" t="b">
        <v>0</v>
      </c>
      <c r="S236" t="s">
        <v>4222</v>
      </c>
    </row>
    <row r="237" spans="1:19" ht="11.25" customHeight="1">
      <c r="A237">
        <v>2655</v>
      </c>
      <c r="B237" t="s">
        <v>87</v>
      </c>
      <c r="C237">
        <v>27804826</v>
      </c>
      <c r="D237" t="s">
        <v>2838</v>
      </c>
      <c r="E237" t="s">
        <v>2839</v>
      </c>
      <c r="F237" t="s">
        <v>2840</v>
      </c>
      <c r="G237" t="s">
        <v>2828</v>
      </c>
      <c r="H237" t="s">
        <v>2841</v>
      </c>
      <c r="I237" t="s">
        <v>2842</v>
      </c>
      <c r="J237" t="s">
        <v>114</v>
      </c>
      <c r="K237" t="s">
        <v>2831</v>
      </c>
      <c r="L237" t="s">
        <v>2832</v>
      </c>
      <c r="M237" t="s">
        <v>2843</v>
      </c>
      <c r="N237" t="s">
        <v>2844</v>
      </c>
      <c r="O237" t="s">
        <v>2835</v>
      </c>
      <c r="P237" t="s">
        <v>2845</v>
      </c>
      <c r="Q237" t="s">
        <v>2837</v>
      </c>
      <c r="R237" t="b">
        <v>0</v>
      </c>
      <c r="S237" t="s">
        <v>4222</v>
      </c>
    </row>
    <row r="238" spans="1:19" ht="11.25" customHeight="1">
      <c r="A238">
        <v>2655</v>
      </c>
      <c r="B238" t="s">
        <v>87</v>
      </c>
      <c r="C238">
        <v>27804896</v>
      </c>
      <c r="D238" t="s">
        <v>3552</v>
      </c>
      <c r="E238" t="s">
        <v>3553</v>
      </c>
      <c r="F238" t="s">
        <v>3554</v>
      </c>
      <c r="G238" t="s">
        <v>2828</v>
      </c>
      <c r="H238" t="s">
        <v>3555</v>
      </c>
      <c r="I238" t="s">
        <v>3556</v>
      </c>
      <c r="J238" t="s">
        <v>114</v>
      </c>
      <c r="K238" t="s">
        <v>2831</v>
      </c>
      <c r="L238" t="s">
        <v>2832</v>
      </c>
      <c r="M238" t="s">
        <v>3557</v>
      </c>
      <c r="N238" t="s">
        <v>3558</v>
      </c>
      <c r="O238" t="s">
        <v>2835</v>
      </c>
      <c r="P238" t="s">
        <v>2845</v>
      </c>
      <c r="Q238" t="s">
        <v>2837</v>
      </c>
      <c r="R238" t="b">
        <v>0</v>
      </c>
      <c r="S238" t="s">
        <v>4222</v>
      </c>
    </row>
    <row r="239" spans="1:19" ht="11.25" customHeight="1">
      <c r="A239">
        <v>2655</v>
      </c>
      <c r="B239" t="s">
        <v>87</v>
      </c>
      <c r="C239">
        <v>27820148</v>
      </c>
      <c r="D239" t="s">
        <v>97</v>
      </c>
      <c r="E239" t="s">
        <v>100</v>
      </c>
      <c r="F239" t="s">
        <v>107</v>
      </c>
      <c r="G239" t="s">
        <v>109</v>
      </c>
      <c r="H239" t="s">
        <v>105</v>
      </c>
      <c r="I239" t="s">
        <v>111</v>
      </c>
      <c r="J239" t="s">
        <v>114</v>
      </c>
      <c r="K239" t="s">
        <v>117</v>
      </c>
      <c r="L239" t="s">
        <v>117</v>
      </c>
      <c r="M239" t="s">
        <v>3426</v>
      </c>
      <c r="N239" t="s">
        <v>125</v>
      </c>
      <c r="O239" t="s">
        <v>3427</v>
      </c>
      <c r="P239" t="s">
        <v>3428</v>
      </c>
      <c r="Q239" t="s">
        <v>134</v>
      </c>
      <c r="R239" t="b">
        <v>0</v>
      </c>
      <c r="S239" t="s">
        <v>4222</v>
      </c>
    </row>
    <row r="240" spans="1:19" ht="11.25" customHeight="1">
      <c r="A240">
        <v>2655</v>
      </c>
      <c r="B240" t="s">
        <v>87</v>
      </c>
      <c r="C240">
        <v>30808700</v>
      </c>
      <c r="D240" t="s">
        <v>2958</v>
      </c>
      <c r="E240" t="s">
        <v>2959</v>
      </c>
      <c r="F240" t="s">
        <v>2960</v>
      </c>
      <c r="G240" t="s">
        <v>2849</v>
      </c>
      <c r="H240" t="s">
        <v>2961</v>
      </c>
      <c r="I240" t="s">
        <v>2962</v>
      </c>
      <c r="J240" t="s">
        <v>2953</v>
      </c>
      <c r="K240" t="s">
        <v>2963</v>
      </c>
      <c r="L240" t="s">
        <v>2964</v>
      </c>
      <c r="M240" t="s">
        <v>2965</v>
      </c>
      <c r="N240" t="s">
        <v>2966</v>
      </c>
      <c r="O240" t="s">
        <v>2967</v>
      </c>
      <c r="P240" t="s">
        <v>2968</v>
      </c>
      <c r="R240" t="b">
        <v>1</v>
      </c>
      <c r="S240" t="s">
        <v>4222</v>
      </c>
    </row>
    <row r="241" spans="1:19" ht="11.25" customHeight="1">
      <c r="A241">
        <v>2655</v>
      </c>
      <c r="B241" t="s">
        <v>87</v>
      </c>
      <c r="C241">
        <v>31343443</v>
      </c>
      <c r="D241" t="s">
        <v>2990</v>
      </c>
      <c r="E241" t="s">
        <v>2991</v>
      </c>
      <c r="F241" t="s">
        <v>2992</v>
      </c>
      <c r="G241" t="s">
        <v>2849</v>
      </c>
      <c r="H241" t="s">
        <v>2993</v>
      </c>
      <c r="I241" t="s">
        <v>2994</v>
      </c>
      <c r="J241" t="s">
        <v>2941</v>
      </c>
      <c r="K241" t="s">
        <v>2995</v>
      </c>
      <c r="L241" t="s">
        <v>2995</v>
      </c>
      <c r="N241" t="s">
        <v>2996</v>
      </c>
      <c r="O241" t="s">
        <v>2997</v>
      </c>
      <c r="P241" t="s">
        <v>2968</v>
      </c>
      <c r="R241" t="b">
        <v>0</v>
      </c>
      <c r="S241" t="s">
        <v>4222</v>
      </c>
    </row>
    <row r="242" spans="1:19" ht="11.25" customHeight="1">
      <c r="A242">
        <v>2655</v>
      </c>
      <c r="B242" t="s">
        <v>87</v>
      </c>
      <c r="C242">
        <v>31087651</v>
      </c>
      <c r="D242" t="s">
        <v>3007</v>
      </c>
      <c r="E242" t="s">
        <v>3008</v>
      </c>
      <c r="F242" t="s">
        <v>3009</v>
      </c>
      <c r="G242" t="s">
        <v>3010</v>
      </c>
      <c r="H242" t="s">
        <v>3011</v>
      </c>
      <c r="I242" t="s">
        <v>3012</v>
      </c>
      <c r="J242" t="s">
        <v>2941</v>
      </c>
      <c r="K242" t="s">
        <v>3013</v>
      </c>
      <c r="L242" t="s">
        <v>3013</v>
      </c>
      <c r="M242" t="s">
        <v>3014</v>
      </c>
      <c r="N242" t="s">
        <v>3015</v>
      </c>
      <c r="O242" t="s">
        <v>3016</v>
      </c>
      <c r="R242" t="b">
        <v>0</v>
      </c>
      <c r="S242" t="s">
        <v>4222</v>
      </c>
    </row>
    <row r="243" spans="1:19" ht="11.25" customHeight="1">
      <c r="A243">
        <v>2655</v>
      </c>
      <c r="B243" t="s">
        <v>87</v>
      </c>
      <c r="C243">
        <v>31618036</v>
      </c>
      <c r="D243" t="s">
        <v>3025</v>
      </c>
      <c r="E243" t="s">
        <v>3026</v>
      </c>
      <c r="F243" t="s">
        <v>3027</v>
      </c>
      <c r="G243" t="s">
        <v>2828</v>
      </c>
      <c r="H243" t="s">
        <v>3028</v>
      </c>
      <c r="I243" t="s">
        <v>3029</v>
      </c>
      <c r="K243" t="s">
        <v>3030</v>
      </c>
      <c r="L243" t="s">
        <v>3031</v>
      </c>
      <c r="M243" t="s">
        <v>3032</v>
      </c>
      <c r="N243" t="s">
        <v>3033</v>
      </c>
      <c r="O243" t="s">
        <v>3034</v>
      </c>
      <c r="P243" t="s">
        <v>2946</v>
      </c>
      <c r="Q243" t="s">
        <v>3035</v>
      </c>
      <c r="R243" t="b">
        <v>0</v>
      </c>
      <c r="S243" t="s">
        <v>4222</v>
      </c>
    </row>
    <row r="244" spans="1:19" ht="11.25" customHeight="1">
      <c r="A244">
        <v>2655</v>
      </c>
      <c r="B244" t="s">
        <v>87</v>
      </c>
      <c r="C244">
        <v>31085797</v>
      </c>
      <c r="D244" t="s">
        <v>3639</v>
      </c>
      <c r="E244" t="s">
        <v>3640</v>
      </c>
      <c r="F244" t="s">
        <v>3641</v>
      </c>
      <c r="G244" t="s">
        <v>3518</v>
      </c>
      <c r="H244" t="s">
        <v>3642</v>
      </c>
      <c r="I244" t="s">
        <v>3643</v>
      </c>
      <c r="J244" t="s">
        <v>2953</v>
      </c>
      <c r="K244" t="s">
        <v>3644</v>
      </c>
      <c r="L244" t="s">
        <v>3645</v>
      </c>
      <c r="M244" t="s">
        <v>3646</v>
      </c>
      <c r="N244" t="s">
        <v>3647</v>
      </c>
      <c r="O244" t="s">
        <v>3648</v>
      </c>
      <c r="P244" t="s">
        <v>2946</v>
      </c>
      <c r="R244" t="b">
        <v>1</v>
      </c>
      <c r="S244" t="s">
        <v>4222</v>
      </c>
    </row>
    <row r="245" spans="1:19" ht="11.25" customHeight="1">
      <c r="A245">
        <v>2655</v>
      </c>
      <c r="B245" t="s">
        <v>87</v>
      </c>
      <c r="C245">
        <v>31187282</v>
      </c>
      <c r="D245" t="s">
        <v>3649</v>
      </c>
      <c r="E245" t="s">
        <v>3650</v>
      </c>
      <c r="F245" t="s">
        <v>3651</v>
      </c>
      <c r="G245" t="s">
        <v>2861</v>
      </c>
      <c r="H245" t="s">
        <v>3652</v>
      </c>
      <c r="I245" t="s">
        <v>3653</v>
      </c>
      <c r="J245" t="s">
        <v>2953</v>
      </c>
      <c r="K245" t="s">
        <v>3654</v>
      </c>
      <c r="L245" t="s">
        <v>3654</v>
      </c>
      <c r="N245" t="s">
        <v>3655</v>
      </c>
      <c r="O245" t="s">
        <v>3656</v>
      </c>
      <c r="P245" t="s">
        <v>2946</v>
      </c>
      <c r="R245" t="b">
        <v>0</v>
      </c>
      <c r="S245" t="s">
        <v>4222</v>
      </c>
    </row>
    <row r="246" spans="1:19" ht="11.25" customHeight="1">
      <c r="A246">
        <v>2655</v>
      </c>
      <c r="B246" t="s">
        <v>87</v>
      </c>
      <c r="C246">
        <v>31284269</v>
      </c>
      <c r="D246" t="s">
        <v>3084</v>
      </c>
      <c r="E246" t="s">
        <v>3085</v>
      </c>
      <c r="F246" t="s">
        <v>3086</v>
      </c>
      <c r="G246" t="s">
        <v>3010</v>
      </c>
      <c r="H246" t="s">
        <v>3087</v>
      </c>
      <c r="I246" t="s">
        <v>3088</v>
      </c>
      <c r="J246" t="s">
        <v>2953</v>
      </c>
      <c r="K246" t="s">
        <v>3089</v>
      </c>
      <c r="L246" t="s">
        <v>3090</v>
      </c>
      <c r="M246" t="s">
        <v>3091</v>
      </c>
      <c r="N246" t="s">
        <v>3092</v>
      </c>
      <c r="O246" t="s">
        <v>3093</v>
      </c>
      <c r="R246" t="b">
        <v>0</v>
      </c>
      <c r="S246" t="s">
        <v>4222</v>
      </c>
    </row>
    <row r="247" spans="1:19" ht="11.25" customHeight="1">
      <c r="A247">
        <v>2655</v>
      </c>
      <c r="B247" t="s">
        <v>87</v>
      </c>
      <c r="C247">
        <v>31159389</v>
      </c>
      <c r="D247" t="s">
        <v>3657</v>
      </c>
      <c r="E247" t="s">
        <v>3658</v>
      </c>
      <c r="F247" t="s">
        <v>3659</v>
      </c>
      <c r="G247" t="s">
        <v>2982</v>
      </c>
      <c r="H247" t="s">
        <v>3660</v>
      </c>
      <c r="I247" t="s">
        <v>3661</v>
      </c>
      <c r="J247" t="s">
        <v>2953</v>
      </c>
      <c r="K247" t="s">
        <v>3662</v>
      </c>
      <c r="L247" t="s">
        <v>3663</v>
      </c>
      <c r="M247" t="s">
        <v>3664</v>
      </c>
      <c r="N247" t="s">
        <v>3665</v>
      </c>
      <c r="O247" t="s">
        <v>3666</v>
      </c>
      <c r="P247" t="s">
        <v>2946</v>
      </c>
      <c r="R247" t="b">
        <v>0</v>
      </c>
      <c r="S247" t="s">
        <v>4222</v>
      </c>
    </row>
    <row r="248" spans="1:19" ht="11.25" customHeight="1">
      <c r="A248">
        <v>2655</v>
      </c>
      <c r="B248" t="s">
        <v>87</v>
      </c>
      <c r="C248">
        <v>30843704</v>
      </c>
      <c r="D248" t="s">
        <v>3675</v>
      </c>
      <c r="E248" t="s">
        <v>3676</v>
      </c>
      <c r="F248" t="s">
        <v>3677</v>
      </c>
      <c r="G248" t="s">
        <v>2828</v>
      </c>
      <c r="H248" t="s">
        <v>3678</v>
      </c>
      <c r="I248" t="s">
        <v>3679</v>
      </c>
      <c r="J248" t="s">
        <v>3128</v>
      </c>
      <c r="K248" t="s">
        <v>3680</v>
      </c>
      <c r="L248" t="s">
        <v>3681</v>
      </c>
      <c r="N248" t="s">
        <v>3682</v>
      </c>
      <c r="O248" t="s">
        <v>3683</v>
      </c>
      <c r="P248" t="s">
        <v>2856</v>
      </c>
      <c r="R248" t="b">
        <v>0</v>
      </c>
      <c r="S248" t="s">
        <v>4222</v>
      </c>
    </row>
    <row r="249" spans="1:19" ht="11.25" customHeight="1">
      <c r="A249">
        <v>2655</v>
      </c>
      <c r="B249" t="s">
        <v>87</v>
      </c>
      <c r="C249">
        <v>28869965</v>
      </c>
      <c r="D249" t="s">
        <v>3150</v>
      </c>
      <c r="E249" t="s">
        <v>3151</v>
      </c>
      <c r="F249" t="s">
        <v>3152</v>
      </c>
      <c r="G249" t="s">
        <v>2938</v>
      </c>
      <c r="H249" t="s">
        <v>3153</v>
      </c>
      <c r="J249" t="s">
        <v>3128</v>
      </c>
      <c r="K249" t="s">
        <v>3154</v>
      </c>
      <c r="L249" t="s">
        <v>3154</v>
      </c>
      <c r="M249" t="s">
        <v>3155</v>
      </c>
      <c r="N249" t="s">
        <v>3156</v>
      </c>
      <c r="O249" t="s">
        <v>3157</v>
      </c>
      <c r="P249" t="s">
        <v>2856</v>
      </c>
      <c r="Q249" t="s">
        <v>3158</v>
      </c>
      <c r="R249" t="b">
        <v>0</v>
      </c>
      <c r="S249" t="s">
        <v>4222</v>
      </c>
    </row>
    <row r="250" spans="1:19" ht="11.25" customHeight="1">
      <c r="A250">
        <v>2655</v>
      </c>
      <c r="B250" t="s">
        <v>87</v>
      </c>
      <c r="C250">
        <v>31245446</v>
      </c>
      <c r="D250" t="s">
        <v>3720</v>
      </c>
      <c r="E250" t="s">
        <v>3721</v>
      </c>
      <c r="F250" t="s">
        <v>3722</v>
      </c>
      <c r="G250" t="s">
        <v>3195</v>
      </c>
      <c r="H250" t="s">
        <v>3723</v>
      </c>
      <c r="I250" t="s">
        <v>3724</v>
      </c>
      <c r="J250" t="s">
        <v>3128</v>
      </c>
      <c r="L250" t="s">
        <v>3725</v>
      </c>
      <c r="N250" t="s">
        <v>3726</v>
      </c>
      <c r="O250" t="s">
        <v>3727</v>
      </c>
      <c r="P250" t="s">
        <v>2946</v>
      </c>
      <c r="R250" t="b">
        <v>0</v>
      </c>
      <c r="S250" t="s">
        <v>4222</v>
      </c>
    </row>
    <row r="251" spans="1:19" ht="11.25" customHeight="1">
      <c r="A251">
        <v>2655</v>
      </c>
      <c r="B251" t="s">
        <v>87</v>
      </c>
      <c r="C251">
        <v>30950350</v>
      </c>
      <c r="D251" t="s">
        <v>3747</v>
      </c>
      <c r="E251" t="s">
        <v>3748</v>
      </c>
      <c r="F251" t="s">
        <v>3749</v>
      </c>
      <c r="G251" t="s">
        <v>3077</v>
      </c>
      <c r="H251" t="s">
        <v>3750</v>
      </c>
      <c r="I251" t="s">
        <v>3751</v>
      </c>
      <c r="J251" t="s">
        <v>3128</v>
      </c>
      <c r="K251" t="s">
        <v>3752</v>
      </c>
      <c r="L251" t="s">
        <v>3752</v>
      </c>
      <c r="M251" t="s">
        <v>3753</v>
      </c>
      <c r="N251" t="s">
        <v>3754</v>
      </c>
      <c r="O251" t="s">
        <v>3755</v>
      </c>
      <c r="P251" t="s">
        <v>2946</v>
      </c>
      <c r="Q251" t="s">
        <v>138</v>
      </c>
      <c r="R251" t="b">
        <v>0</v>
      </c>
      <c r="S251" t="s">
        <v>4222</v>
      </c>
    </row>
    <row r="252" spans="1:19" ht="11.25" customHeight="1">
      <c r="A252">
        <v>2655</v>
      </c>
      <c r="B252" t="s">
        <v>87</v>
      </c>
      <c r="C252">
        <v>31874557</v>
      </c>
      <c r="D252" t="s">
        <v>3756</v>
      </c>
      <c r="E252" t="s">
        <v>3757</v>
      </c>
      <c r="F252" t="s">
        <v>3758</v>
      </c>
      <c r="G252" t="s">
        <v>3077</v>
      </c>
      <c r="H252" t="s">
        <v>3759</v>
      </c>
      <c r="I252" t="s">
        <v>3760</v>
      </c>
      <c r="K252" t="s">
        <v>3761</v>
      </c>
      <c r="L252" t="s">
        <v>3761</v>
      </c>
      <c r="M252" t="s">
        <v>3762</v>
      </c>
      <c r="N252" t="s">
        <v>3763</v>
      </c>
      <c r="O252" t="s">
        <v>3764</v>
      </c>
      <c r="P252" t="s">
        <v>2856</v>
      </c>
      <c r="Q252" t="s">
        <v>162</v>
      </c>
      <c r="R252" t="b">
        <v>1</v>
      </c>
      <c r="S252" t="s">
        <v>4222</v>
      </c>
    </row>
    <row r="253" spans="1:19" ht="11.25" customHeight="1">
      <c r="A253">
        <v>2655</v>
      </c>
      <c r="B253" t="s">
        <v>87</v>
      </c>
      <c r="C253">
        <v>31656254</v>
      </c>
      <c r="D253" t="s">
        <v>3231</v>
      </c>
      <c r="E253" t="s">
        <v>3232</v>
      </c>
      <c r="F253" t="s">
        <v>3233</v>
      </c>
      <c r="G253" t="s">
        <v>3234</v>
      </c>
      <c r="H253" t="s">
        <v>3235</v>
      </c>
      <c r="I253" t="s">
        <v>3236</v>
      </c>
      <c r="K253" t="s">
        <v>3237</v>
      </c>
      <c r="L253" t="s">
        <v>3238</v>
      </c>
      <c r="M253" t="s">
        <v>3239</v>
      </c>
      <c r="N253" t="s">
        <v>3240</v>
      </c>
      <c r="O253" t="s">
        <v>3241</v>
      </c>
      <c r="P253" t="s">
        <v>2946</v>
      </c>
      <c r="Q253" t="s">
        <v>3242</v>
      </c>
      <c r="R253" t="b">
        <v>0</v>
      </c>
      <c r="S253" t="s">
        <v>4222</v>
      </c>
    </row>
    <row r="254" spans="1:19" ht="11.25" customHeight="1">
      <c r="A254">
        <v>2655</v>
      </c>
      <c r="B254" t="s">
        <v>87</v>
      </c>
      <c r="C254">
        <v>31519209</v>
      </c>
      <c r="D254" t="s">
        <v>3828</v>
      </c>
      <c r="E254" t="s">
        <v>3829</v>
      </c>
      <c r="F254" t="s">
        <v>3830</v>
      </c>
      <c r="G254" t="s">
        <v>109</v>
      </c>
      <c r="H254" t="s">
        <v>3831</v>
      </c>
      <c r="I254" t="s">
        <v>3832</v>
      </c>
      <c r="J254" t="s">
        <v>3128</v>
      </c>
      <c r="K254" t="s">
        <v>3833</v>
      </c>
      <c r="L254" t="s">
        <v>3834</v>
      </c>
      <c r="M254" t="s">
        <v>3835</v>
      </c>
      <c r="N254" t="s">
        <v>3836</v>
      </c>
      <c r="O254" t="s">
        <v>3837</v>
      </c>
      <c r="P254" t="s">
        <v>3203</v>
      </c>
      <c r="R254" t="b">
        <v>0</v>
      </c>
      <c r="S254" t="s">
        <v>4222</v>
      </c>
    </row>
    <row r="255" spans="1:19" ht="11.25" customHeight="1">
      <c r="A255">
        <v>2655</v>
      </c>
      <c r="B255" t="s">
        <v>87</v>
      </c>
      <c r="C255">
        <v>31424033</v>
      </c>
      <c r="D255" t="s">
        <v>3243</v>
      </c>
      <c r="E255" t="s">
        <v>3244</v>
      </c>
      <c r="F255" t="s">
        <v>3245</v>
      </c>
      <c r="G255" t="s">
        <v>3246</v>
      </c>
      <c r="H255" t="s">
        <v>3247</v>
      </c>
      <c r="J255" t="s">
        <v>3128</v>
      </c>
      <c r="R255" t="b">
        <v>0</v>
      </c>
      <c r="S255" t="s">
        <v>4222</v>
      </c>
    </row>
    <row r="256" spans="1:19" ht="11.25" customHeight="1">
      <c r="A256">
        <v>2655</v>
      </c>
      <c r="B256" t="s">
        <v>87</v>
      </c>
      <c r="C256">
        <v>28151808</v>
      </c>
      <c r="D256" t="s">
        <v>3257</v>
      </c>
      <c r="E256" t="s">
        <v>3258</v>
      </c>
      <c r="F256" t="s">
        <v>3259</v>
      </c>
      <c r="G256" t="s">
        <v>2849</v>
      </c>
      <c r="H256" t="s">
        <v>3260</v>
      </c>
      <c r="I256" t="s">
        <v>3261</v>
      </c>
      <c r="J256" t="s">
        <v>3128</v>
      </c>
      <c r="K256" t="s">
        <v>3262</v>
      </c>
      <c r="L256" t="s">
        <v>3263</v>
      </c>
      <c r="M256" t="s">
        <v>3264</v>
      </c>
      <c r="N256" t="s">
        <v>3265</v>
      </c>
      <c r="O256" t="s">
        <v>3266</v>
      </c>
      <c r="P256" t="s">
        <v>2856</v>
      </c>
      <c r="R256" t="b">
        <v>1</v>
      </c>
      <c r="S256" t="s">
        <v>4222</v>
      </c>
    </row>
    <row r="257" spans="1:19" ht="11.25" customHeight="1">
      <c r="A257">
        <v>2655</v>
      </c>
      <c r="B257" t="s">
        <v>87</v>
      </c>
      <c r="C257">
        <v>31743966</v>
      </c>
      <c r="D257" t="s">
        <v>3885</v>
      </c>
      <c r="E257" t="s">
        <v>3886</v>
      </c>
      <c r="F257" t="s">
        <v>3887</v>
      </c>
      <c r="G257" t="s">
        <v>2828</v>
      </c>
      <c r="H257" t="s">
        <v>3888</v>
      </c>
      <c r="I257" t="s">
        <v>3889</v>
      </c>
      <c r="K257" t="s">
        <v>3890</v>
      </c>
      <c r="L257" t="s">
        <v>3890</v>
      </c>
      <c r="M257" t="s">
        <v>3891</v>
      </c>
      <c r="N257" t="s">
        <v>3892</v>
      </c>
      <c r="O257" t="s">
        <v>3893</v>
      </c>
      <c r="P257" t="s">
        <v>2856</v>
      </c>
      <c r="Q257" t="s">
        <v>3894</v>
      </c>
      <c r="R257" t="b">
        <v>1</v>
      </c>
      <c r="S257" t="s">
        <v>4222</v>
      </c>
    </row>
    <row r="258" spans="1:19" ht="11.25" customHeight="1">
      <c r="A258">
        <v>2655</v>
      </c>
      <c r="B258" t="s">
        <v>87</v>
      </c>
      <c r="C258">
        <v>30874454</v>
      </c>
      <c r="D258" t="s">
        <v>3895</v>
      </c>
      <c r="E258" t="s">
        <v>3896</v>
      </c>
      <c r="F258" t="s">
        <v>3897</v>
      </c>
      <c r="G258" t="s">
        <v>3246</v>
      </c>
      <c r="H258" t="s">
        <v>3898</v>
      </c>
      <c r="I258" t="s">
        <v>3899</v>
      </c>
      <c r="J258" t="s">
        <v>3128</v>
      </c>
      <c r="K258" t="s">
        <v>3900</v>
      </c>
      <c r="L258" t="s">
        <v>3901</v>
      </c>
      <c r="M258" t="s">
        <v>3902</v>
      </c>
      <c r="N258" t="s">
        <v>3864</v>
      </c>
      <c r="O258" t="s">
        <v>3903</v>
      </c>
      <c r="P258" t="s">
        <v>2968</v>
      </c>
      <c r="Q258" t="s">
        <v>3904</v>
      </c>
      <c r="R258" t="b">
        <v>0</v>
      </c>
      <c r="S258" t="s">
        <v>4222</v>
      </c>
    </row>
    <row r="259" spans="1:19" ht="11.25" customHeight="1">
      <c r="A259">
        <v>2655</v>
      </c>
      <c r="B259" t="s">
        <v>87</v>
      </c>
      <c r="C259">
        <v>26356987</v>
      </c>
      <c r="D259" t="s">
        <v>3277</v>
      </c>
      <c r="E259" t="s">
        <v>3278</v>
      </c>
      <c r="F259" t="s">
        <v>3279</v>
      </c>
      <c r="G259" t="s">
        <v>3280</v>
      </c>
      <c r="H259" t="s">
        <v>3281</v>
      </c>
      <c r="I259" t="s">
        <v>3282</v>
      </c>
      <c r="J259" t="s">
        <v>3128</v>
      </c>
      <c r="K259" t="s">
        <v>3283</v>
      </c>
      <c r="L259" t="s">
        <v>3283</v>
      </c>
      <c r="M259" t="s">
        <v>3284</v>
      </c>
      <c r="N259" t="s">
        <v>3285</v>
      </c>
      <c r="O259" t="s">
        <v>3286</v>
      </c>
      <c r="P259" t="s">
        <v>2968</v>
      </c>
      <c r="Q259" t="s">
        <v>3287</v>
      </c>
      <c r="R259" t="b">
        <v>1</v>
      </c>
      <c r="S259" t="s">
        <v>4222</v>
      </c>
    </row>
    <row r="260" spans="1:19" ht="11.25" customHeight="1">
      <c r="A260">
        <v>2655</v>
      </c>
      <c r="B260" t="s">
        <v>87</v>
      </c>
      <c r="C260">
        <v>30856223</v>
      </c>
      <c r="D260" t="s">
        <v>3905</v>
      </c>
      <c r="E260" t="s">
        <v>3906</v>
      </c>
      <c r="F260" t="s">
        <v>3907</v>
      </c>
      <c r="G260" t="s">
        <v>2861</v>
      </c>
      <c r="H260" t="s">
        <v>3908</v>
      </c>
      <c r="I260" t="s">
        <v>3909</v>
      </c>
      <c r="J260" t="s">
        <v>3128</v>
      </c>
      <c r="K260" t="s">
        <v>3910</v>
      </c>
      <c r="L260" t="s">
        <v>3910</v>
      </c>
      <c r="M260" t="s">
        <v>3911</v>
      </c>
      <c r="N260" t="s">
        <v>3912</v>
      </c>
      <c r="O260" t="s">
        <v>3913</v>
      </c>
      <c r="P260" t="s">
        <v>2856</v>
      </c>
      <c r="Q260" t="s">
        <v>3914</v>
      </c>
      <c r="R260" t="b">
        <v>0</v>
      </c>
      <c r="S260" t="s">
        <v>4222</v>
      </c>
    </row>
    <row r="261" spans="1:19" ht="11.25" customHeight="1">
      <c r="A261">
        <v>2655</v>
      </c>
      <c r="B261" t="s">
        <v>87</v>
      </c>
      <c r="C261">
        <v>27566835</v>
      </c>
      <c r="D261" t="s">
        <v>3941</v>
      </c>
      <c r="E261" t="s">
        <v>3942</v>
      </c>
      <c r="F261" t="s">
        <v>3943</v>
      </c>
      <c r="G261" t="s">
        <v>3050</v>
      </c>
      <c r="H261" t="s">
        <v>3944</v>
      </c>
      <c r="I261" t="s">
        <v>3945</v>
      </c>
      <c r="J261" t="s">
        <v>3128</v>
      </c>
      <c r="K261" t="s">
        <v>3946</v>
      </c>
      <c r="L261" t="s">
        <v>3946</v>
      </c>
      <c r="M261" t="s">
        <v>3947</v>
      </c>
      <c r="N261" t="s">
        <v>3072</v>
      </c>
      <c r="O261" t="s">
        <v>3948</v>
      </c>
      <c r="P261" t="s">
        <v>2946</v>
      </c>
      <c r="Q261" t="s">
        <v>138</v>
      </c>
      <c r="R261" t="b">
        <v>0</v>
      </c>
      <c r="S261" t="s">
        <v>4222</v>
      </c>
    </row>
    <row r="262" spans="1:19" ht="11.25" customHeight="1">
      <c r="A262">
        <v>2655</v>
      </c>
      <c r="B262" t="s">
        <v>87</v>
      </c>
      <c r="C262">
        <v>31229342</v>
      </c>
      <c r="D262" t="s">
        <v>3949</v>
      </c>
      <c r="E262" t="s">
        <v>3950</v>
      </c>
      <c r="F262" t="s">
        <v>3951</v>
      </c>
      <c r="G262" t="s">
        <v>3077</v>
      </c>
      <c r="H262" t="s">
        <v>3952</v>
      </c>
      <c r="I262" t="s">
        <v>3953</v>
      </c>
      <c r="J262" t="s">
        <v>3128</v>
      </c>
      <c r="K262" t="s">
        <v>3954</v>
      </c>
      <c r="L262" t="s">
        <v>3954</v>
      </c>
      <c r="M262" t="s">
        <v>3955</v>
      </c>
      <c r="N262" t="s">
        <v>3956</v>
      </c>
      <c r="O262" t="s">
        <v>3166</v>
      </c>
      <c r="P262" t="s">
        <v>2856</v>
      </c>
      <c r="R262" t="b">
        <v>0</v>
      </c>
      <c r="S262" t="s">
        <v>4222</v>
      </c>
    </row>
    <row r="263" spans="1:19" ht="11.25" customHeight="1">
      <c r="A263">
        <v>2655</v>
      </c>
      <c r="B263" t="s">
        <v>87</v>
      </c>
      <c r="C263">
        <v>31690080</v>
      </c>
      <c r="D263" t="s">
        <v>3957</v>
      </c>
      <c r="E263" t="s">
        <v>3958</v>
      </c>
      <c r="F263" t="s">
        <v>3959</v>
      </c>
      <c r="G263" t="s">
        <v>3077</v>
      </c>
      <c r="H263" t="s">
        <v>3960</v>
      </c>
      <c r="I263" t="s">
        <v>3961</v>
      </c>
      <c r="K263" t="s">
        <v>3962</v>
      </c>
      <c r="L263" t="s">
        <v>3962</v>
      </c>
      <c r="M263" t="s">
        <v>3963</v>
      </c>
      <c r="N263" t="s">
        <v>3964</v>
      </c>
      <c r="O263" t="s">
        <v>3965</v>
      </c>
      <c r="P263" t="s">
        <v>2946</v>
      </c>
      <c r="R263" t="b">
        <v>1</v>
      </c>
      <c r="S263" t="s">
        <v>4222</v>
      </c>
    </row>
    <row r="264" spans="1:19" ht="11.25" customHeight="1">
      <c r="A264">
        <v>2655</v>
      </c>
      <c r="B264" t="s">
        <v>87</v>
      </c>
      <c r="C264">
        <v>30856253</v>
      </c>
      <c r="D264" t="s">
        <v>3990</v>
      </c>
      <c r="E264" t="s">
        <v>3991</v>
      </c>
      <c r="F264" t="s">
        <v>3992</v>
      </c>
      <c r="G264" t="s">
        <v>2849</v>
      </c>
      <c r="H264" t="s">
        <v>3993</v>
      </c>
      <c r="I264" t="s">
        <v>3994</v>
      </c>
      <c r="J264" t="s">
        <v>3128</v>
      </c>
      <c r="K264" t="s">
        <v>3995</v>
      </c>
      <c r="L264" t="s">
        <v>3995</v>
      </c>
      <c r="M264" t="s">
        <v>3996</v>
      </c>
      <c r="N264" t="s">
        <v>3997</v>
      </c>
      <c r="O264" t="s">
        <v>3998</v>
      </c>
      <c r="P264" t="s">
        <v>2946</v>
      </c>
      <c r="R264" t="b">
        <v>0</v>
      </c>
      <c r="S264" t="s">
        <v>4222</v>
      </c>
    </row>
    <row r="265" spans="1:19" ht="11.25" customHeight="1">
      <c r="A265">
        <v>2655</v>
      </c>
      <c r="B265" t="s">
        <v>87</v>
      </c>
      <c r="C265">
        <v>26517842</v>
      </c>
      <c r="D265" t="s">
        <v>3999</v>
      </c>
      <c r="E265" t="s">
        <v>4000</v>
      </c>
      <c r="F265" t="s">
        <v>4001</v>
      </c>
      <c r="G265" t="s">
        <v>3050</v>
      </c>
      <c r="H265" t="s">
        <v>4002</v>
      </c>
      <c r="I265" t="s">
        <v>4003</v>
      </c>
      <c r="J265" t="s">
        <v>3128</v>
      </c>
      <c r="K265" t="s">
        <v>4004</v>
      </c>
      <c r="L265" t="s">
        <v>2832</v>
      </c>
      <c r="M265" t="s">
        <v>4005</v>
      </c>
      <c r="N265" t="s">
        <v>4006</v>
      </c>
      <c r="O265" t="s">
        <v>4007</v>
      </c>
      <c r="P265" t="s">
        <v>2856</v>
      </c>
      <c r="R265" t="b">
        <v>0</v>
      </c>
      <c r="S265" t="s">
        <v>4222</v>
      </c>
    </row>
    <row r="266" spans="1:19" ht="11.25" customHeight="1">
      <c r="A266">
        <v>2655</v>
      </c>
      <c r="B266" t="s">
        <v>87</v>
      </c>
      <c r="C266">
        <v>31473621</v>
      </c>
      <c r="D266" t="s">
        <v>4008</v>
      </c>
      <c r="E266" t="s">
        <v>4009</v>
      </c>
      <c r="F266" t="s">
        <v>4010</v>
      </c>
      <c r="G266" t="s">
        <v>2982</v>
      </c>
      <c r="H266" t="s">
        <v>4011</v>
      </c>
      <c r="I266" t="s">
        <v>4012</v>
      </c>
      <c r="J266" t="s">
        <v>3128</v>
      </c>
      <c r="K266" t="s">
        <v>4013</v>
      </c>
      <c r="L266" t="s">
        <v>4013</v>
      </c>
      <c r="M266" t="s">
        <v>4014</v>
      </c>
      <c r="N266" t="s">
        <v>4015</v>
      </c>
      <c r="O266" t="s">
        <v>4016</v>
      </c>
      <c r="P266" t="s">
        <v>2856</v>
      </c>
      <c r="Q266" t="s">
        <v>4017</v>
      </c>
      <c r="R266" t="b">
        <v>0</v>
      </c>
      <c r="S266" t="s">
        <v>4222</v>
      </c>
    </row>
    <row r="267" spans="1:19" ht="11.25" customHeight="1">
      <c r="A267">
        <v>2655</v>
      </c>
      <c r="B267" t="s">
        <v>87</v>
      </c>
      <c r="C267">
        <v>31004851</v>
      </c>
      <c r="D267" t="s">
        <v>4018</v>
      </c>
      <c r="E267" t="s">
        <v>4019</v>
      </c>
      <c r="F267" t="s">
        <v>4020</v>
      </c>
      <c r="G267" t="s">
        <v>2861</v>
      </c>
      <c r="H267" t="s">
        <v>4021</v>
      </c>
      <c r="I267" t="s">
        <v>4022</v>
      </c>
      <c r="J267" t="s">
        <v>3128</v>
      </c>
      <c r="K267" t="s">
        <v>4023</v>
      </c>
      <c r="L267" t="s">
        <v>4024</v>
      </c>
      <c r="M267" t="s">
        <v>4025</v>
      </c>
      <c r="N267" t="s">
        <v>4026</v>
      </c>
      <c r="O267" t="s">
        <v>4027</v>
      </c>
      <c r="R267" t="b">
        <v>0</v>
      </c>
      <c r="S267" t="s">
        <v>4222</v>
      </c>
    </row>
    <row r="268" spans="1:19" ht="11.25" customHeight="1">
      <c r="A268">
        <v>2655</v>
      </c>
      <c r="B268" t="s">
        <v>87</v>
      </c>
      <c r="C268">
        <v>26356976</v>
      </c>
      <c r="D268" t="s">
        <v>4028</v>
      </c>
      <c r="E268" t="s">
        <v>4029</v>
      </c>
      <c r="F268" t="s">
        <v>4030</v>
      </c>
      <c r="G268" t="s">
        <v>3270</v>
      </c>
      <c r="H268" t="s">
        <v>4031</v>
      </c>
      <c r="I268" t="s">
        <v>4032</v>
      </c>
      <c r="J268" t="s">
        <v>3128</v>
      </c>
      <c r="K268" t="s">
        <v>4033</v>
      </c>
      <c r="L268" t="s">
        <v>4033</v>
      </c>
      <c r="M268" t="s">
        <v>4034</v>
      </c>
      <c r="N268" t="s">
        <v>4035</v>
      </c>
      <c r="O268" t="s">
        <v>4036</v>
      </c>
      <c r="P268" t="s">
        <v>2823</v>
      </c>
      <c r="Q268" t="s">
        <v>4037</v>
      </c>
      <c r="R268" t="b">
        <v>0</v>
      </c>
      <c r="S268" t="s">
        <v>4222</v>
      </c>
    </row>
    <row r="269" spans="1:19" ht="11.25" customHeight="1">
      <c r="A269">
        <v>2655</v>
      </c>
      <c r="B269" t="s">
        <v>87</v>
      </c>
      <c r="C269">
        <v>28274482</v>
      </c>
      <c r="D269" t="s">
        <v>4038</v>
      </c>
      <c r="E269" t="s">
        <v>4039</v>
      </c>
      <c r="F269" t="s">
        <v>4040</v>
      </c>
      <c r="G269" t="s">
        <v>2849</v>
      </c>
      <c r="H269" t="s">
        <v>4041</v>
      </c>
      <c r="I269" t="s">
        <v>4042</v>
      </c>
      <c r="J269" t="s">
        <v>3128</v>
      </c>
      <c r="K269" t="s">
        <v>4043</v>
      </c>
      <c r="L269" t="s">
        <v>4044</v>
      </c>
      <c r="M269" t="s">
        <v>3264</v>
      </c>
      <c r="N269" t="s">
        <v>4045</v>
      </c>
      <c r="O269" t="s">
        <v>3266</v>
      </c>
      <c r="P269" t="s">
        <v>2946</v>
      </c>
      <c r="R269" t="b">
        <v>0</v>
      </c>
      <c r="S269" t="s">
        <v>4222</v>
      </c>
    </row>
    <row r="270" spans="1:19" ht="11.25" customHeight="1">
      <c r="A270">
        <v>2655</v>
      </c>
      <c r="B270" t="s">
        <v>87</v>
      </c>
      <c r="C270">
        <v>31224454</v>
      </c>
      <c r="D270" t="s">
        <v>4046</v>
      </c>
      <c r="E270" t="s">
        <v>4047</v>
      </c>
      <c r="F270" t="s">
        <v>4048</v>
      </c>
      <c r="G270" t="s">
        <v>2861</v>
      </c>
      <c r="H270" t="s">
        <v>4049</v>
      </c>
      <c r="I270" t="s">
        <v>4050</v>
      </c>
      <c r="J270" t="s">
        <v>3128</v>
      </c>
      <c r="K270" t="s">
        <v>4051</v>
      </c>
      <c r="L270" t="s">
        <v>4051</v>
      </c>
      <c r="M270" t="s">
        <v>4052</v>
      </c>
      <c r="N270" t="s">
        <v>4053</v>
      </c>
      <c r="O270" t="s">
        <v>4054</v>
      </c>
      <c r="P270" t="s">
        <v>2856</v>
      </c>
      <c r="R270" t="b">
        <v>0</v>
      </c>
      <c r="S270" t="s">
        <v>4222</v>
      </c>
    </row>
    <row r="271" spans="1:19" ht="11.25" customHeight="1">
      <c r="A271">
        <v>2655</v>
      </c>
      <c r="B271" t="s">
        <v>87</v>
      </c>
      <c r="C271">
        <v>31534676</v>
      </c>
      <c r="D271" t="s">
        <v>4072</v>
      </c>
      <c r="E271" t="s">
        <v>4073</v>
      </c>
      <c r="F271" t="s">
        <v>4074</v>
      </c>
      <c r="G271" t="s">
        <v>2982</v>
      </c>
      <c r="H271" t="s">
        <v>4075</v>
      </c>
      <c r="I271" t="s">
        <v>4076</v>
      </c>
      <c r="K271" t="s">
        <v>4077</v>
      </c>
      <c r="L271" t="s">
        <v>4078</v>
      </c>
      <c r="M271" t="s">
        <v>4079</v>
      </c>
      <c r="N271" t="s">
        <v>4080</v>
      </c>
      <c r="O271" t="s">
        <v>4081</v>
      </c>
      <c r="P271" t="s">
        <v>2946</v>
      </c>
      <c r="R271" t="b">
        <v>0</v>
      </c>
      <c r="S271" t="s">
        <v>4222</v>
      </c>
    </row>
    <row r="272" spans="1:19" ht="11.25" customHeight="1">
      <c r="A272">
        <v>2655</v>
      </c>
      <c r="B272" t="s">
        <v>87</v>
      </c>
      <c r="C272">
        <v>26356899</v>
      </c>
      <c r="D272" t="s">
        <v>4082</v>
      </c>
      <c r="E272" t="s">
        <v>4083</v>
      </c>
      <c r="F272" t="s">
        <v>4084</v>
      </c>
      <c r="G272" t="s">
        <v>4085</v>
      </c>
      <c r="H272" t="s">
        <v>4086</v>
      </c>
      <c r="J272" t="s">
        <v>3128</v>
      </c>
      <c r="K272" t="s">
        <v>3359</v>
      </c>
      <c r="L272" t="s">
        <v>3359</v>
      </c>
      <c r="M272" t="s">
        <v>4087</v>
      </c>
      <c r="O272" t="s">
        <v>3361</v>
      </c>
      <c r="P272" t="s">
        <v>2946</v>
      </c>
      <c r="R272" t="b">
        <v>0</v>
      </c>
      <c r="S272" t="s">
        <v>4222</v>
      </c>
    </row>
    <row r="273" spans="1:19" ht="11.25" customHeight="1">
      <c r="A273">
        <v>2655</v>
      </c>
      <c r="B273" t="s">
        <v>87</v>
      </c>
      <c r="C273">
        <v>31224507</v>
      </c>
      <c r="D273" t="s">
        <v>4088</v>
      </c>
      <c r="E273" t="s">
        <v>4089</v>
      </c>
      <c r="F273" t="s">
        <v>4090</v>
      </c>
      <c r="G273" t="s">
        <v>4091</v>
      </c>
      <c r="H273" t="s">
        <v>4092</v>
      </c>
      <c r="I273" t="s">
        <v>4093</v>
      </c>
      <c r="J273" t="s">
        <v>3128</v>
      </c>
      <c r="K273" t="s">
        <v>4094</v>
      </c>
      <c r="L273" t="s">
        <v>4094</v>
      </c>
      <c r="M273" t="s">
        <v>4095</v>
      </c>
      <c r="N273" t="s">
        <v>4096</v>
      </c>
      <c r="O273" t="s">
        <v>4054</v>
      </c>
      <c r="P273" t="s">
        <v>2856</v>
      </c>
      <c r="R273" t="b">
        <v>0</v>
      </c>
      <c r="S273" t="s">
        <v>4222</v>
      </c>
    </row>
    <row r="274" spans="1:19" ht="11.25" customHeight="1">
      <c r="A274">
        <v>2655</v>
      </c>
      <c r="B274" t="s">
        <v>87</v>
      </c>
      <c r="C274">
        <v>27968109</v>
      </c>
      <c r="D274" t="s">
        <v>4097</v>
      </c>
      <c r="E274" t="s">
        <v>4098</v>
      </c>
      <c r="F274" t="s">
        <v>4099</v>
      </c>
      <c r="G274" t="s">
        <v>2828</v>
      </c>
      <c r="H274" t="s">
        <v>4100</v>
      </c>
      <c r="I274" t="s">
        <v>4101</v>
      </c>
      <c r="J274" t="s">
        <v>3128</v>
      </c>
      <c r="K274" t="s">
        <v>4102</v>
      </c>
      <c r="L274" t="s">
        <v>4102</v>
      </c>
      <c r="M274" t="s">
        <v>4103</v>
      </c>
      <c r="N274" t="s">
        <v>4104</v>
      </c>
      <c r="O274" t="s">
        <v>4105</v>
      </c>
      <c r="P274" t="s">
        <v>2856</v>
      </c>
      <c r="Q274" t="s">
        <v>4106</v>
      </c>
      <c r="R274" t="b">
        <v>0</v>
      </c>
      <c r="S274" t="s">
        <v>4222</v>
      </c>
    </row>
    <row r="275" spans="1:19" ht="11.25" customHeight="1">
      <c r="A275">
        <v>2655</v>
      </c>
      <c r="B275" t="s">
        <v>87</v>
      </c>
      <c r="C275">
        <v>28270293</v>
      </c>
      <c r="D275" t="s">
        <v>3335</v>
      </c>
      <c r="E275" t="s">
        <v>3336</v>
      </c>
      <c r="F275" t="s">
        <v>3337</v>
      </c>
      <c r="G275" t="s">
        <v>3050</v>
      </c>
      <c r="H275" t="s">
        <v>3338</v>
      </c>
      <c r="I275" t="s">
        <v>3339</v>
      </c>
      <c r="J275" t="s">
        <v>3128</v>
      </c>
      <c r="K275" t="s">
        <v>3340</v>
      </c>
      <c r="L275" t="s">
        <v>3340</v>
      </c>
      <c r="M275" t="s">
        <v>3341</v>
      </c>
      <c r="N275" t="s">
        <v>3342</v>
      </c>
      <c r="O275" t="s">
        <v>3343</v>
      </c>
      <c r="P275" t="s">
        <v>2856</v>
      </c>
      <c r="R275" t="b">
        <v>0</v>
      </c>
      <c r="S275" t="s">
        <v>4222</v>
      </c>
    </row>
    <row r="276" spans="1:19" ht="11.25" customHeight="1">
      <c r="A276">
        <v>2655</v>
      </c>
      <c r="B276" t="s">
        <v>87</v>
      </c>
      <c r="C276">
        <v>28873362</v>
      </c>
      <c r="D276" t="s">
        <v>3344</v>
      </c>
      <c r="E276" t="s">
        <v>3345</v>
      </c>
      <c r="F276" t="s">
        <v>3346</v>
      </c>
      <c r="G276" t="s">
        <v>2828</v>
      </c>
      <c r="H276" t="s">
        <v>3347</v>
      </c>
      <c r="I276" t="s">
        <v>3348</v>
      </c>
      <c r="J276" t="s">
        <v>3128</v>
      </c>
      <c r="K276" t="s">
        <v>3349</v>
      </c>
      <c r="L276" t="s">
        <v>3349</v>
      </c>
      <c r="M276" t="s">
        <v>3350</v>
      </c>
      <c r="N276" t="s">
        <v>3351</v>
      </c>
      <c r="O276" t="s">
        <v>3352</v>
      </c>
      <c r="P276" t="s">
        <v>2946</v>
      </c>
      <c r="Q276" t="s">
        <v>3353</v>
      </c>
      <c r="R276" t="b">
        <v>0</v>
      </c>
      <c r="S276" t="s">
        <v>4222</v>
      </c>
    </row>
    <row r="277" spans="1:19" ht="11.25" customHeight="1">
      <c r="A277">
        <v>2655</v>
      </c>
      <c r="B277" t="s">
        <v>87</v>
      </c>
      <c r="C277">
        <v>30992391</v>
      </c>
      <c r="D277" t="s">
        <v>3362</v>
      </c>
      <c r="E277" t="s">
        <v>3363</v>
      </c>
      <c r="F277" t="s">
        <v>3364</v>
      </c>
      <c r="G277" t="s">
        <v>2938</v>
      </c>
      <c r="H277" t="s">
        <v>3365</v>
      </c>
      <c r="I277" t="s">
        <v>3366</v>
      </c>
      <c r="J277" t="s">
        <v>3128</v>
      </c>
      <c r="K277" t="s">
        <v>3367</v>
      </c>
      <c r="L277" t="s">
        <v>3368</v>
      </c>
      <c r="M277" t="s">
        <v>3369</v>
      </c>
      <c r="N277" t="s">
        <v>3370</v>
      </c>
      <c r="O277" t="s">
        <v>3371</v>
      </c>
      <c r="P277" t="s">
        <v>2946</v>
      </c>
      <c r="Q277" t="s">
        <v>3372</v>
      </c>
      <c r="R277" t="b">
        <v>0</v>
      </c>
      <c r="S277" t="s">
        <v>4222</v>
      </c>
    </row>
    <row r="278" spans="1:19" ht="11.25" customHeight="1">
      <c r="A278">
        <v>2655</v>
      </c>
      <c r="B278" t="s">
        <v>87</v>
      </c>
      <c r="C278">
        <v>26356974</v>
      </c>
      <c r="D278" t="s">
        <v>4134</v>
      </c>
      <c r="E278" t="s">
        <v>4135</v>
      </c>
      <c r="F278" t="s">
        <v>4136</v>
      </c>
      <c r="G278" t="s">
        <v>4137</v>
      </c>
      <c r="H278" t="s">
        <v>4138</v>
      </c>
      <c r="I278" t="s">
        <v>4139</v>
      </c>
      <c r="J278" t="s">
        <v>3128</v>
      </c>
      <c r="K278" t="s">
        <v>4140</v>
      </c>
      <c r="L278" t="s">
        <v>4140</v>
      </c>
      <c r="M278" t="s">
        <v>4141</v>
      </c>
      <c r="N278" t="s">
        <v>4142</v>
      </c>
      <c r="O278" t="s">
        <v>4143</v>
      </c>
      <c r="P278" t="s">
        <v>2946</v>
      </c>
      <c r="Q278" t="s">
        <v>4144</v>
      </c>
      <c r="R278" t="b">
        <v>0</v>
      </c>
      <c r="S278" t="s">
        <v>4222</v>
      </c>
    </row>
    <row r="279" spans="1:19" ht="11.25" customHeight="1">
      <c r="A279">
        <v>2655</v>
      </c>
      <c r="B279" t="s">
        <v>87</v>
      </c>
      <c r="C279">
        <v>31038861</v>
      </c>
      <c r="D279" t="s">
        <v>4154</v>
      </c>
      <c r="E279" t="s">
        <v>4155</v>
      </c>
      <c r="F279" t="s">
        <v>4156</v>
      </c>
      <c r="G279" t="s">
        <v>2861</v>
      </c>
      <c r="H279" t="s">
        <v>4157</v>
      </c>
      <c r="I279" t="s">
        <v>4158</v>
      </c>
      <c r="J279" t="s">
        <v>3128</v>
      </c>
      <c r="K279" t="s">
        <v>4159</v>
      </c>
      <c r="L279" t="s">
        <v>4160</v>
      </c>
      <c r="M279" t="s">
        <v>4161</v>
      </c>
      <c r="N279" t="s">
        <v>4162</v>
      </c>
      <c r="O279" t="s">
        <v>4163</v>
      </c>
      <c r="P279" t="s">
        <v>2856</v>
      </c>
      <c r="R279" t="b">
        <v>0</v>
      </c>
      <c r="S279" t="s">
        <v>4222</v>
      </c>
    </row>
    <row r="280" spans="1:19" ht="11.25" customHeight="1">
      <c r="A280">
        <v>2655</v>
      </c>
      <c r="B280" t="s">
        <v>87</v>
      </c>
      <c r="C280">
        <v>30874530</v>
      </c>
      <c r="D280" t="s">
        <v>4184</v>
      </c>
      <c r="E280" t="s">
        <v>4185</v>
      </c>
      <c r="F280" t="s">
        <v>4186</v>
      </c>
      <c r="G280" t="s">
        <v>4187</v>
      </c>
      <c r="H280" t="s">
        <v>4188</v>
      </c>
      <c r="I280" t="s">
        <v>4189</v>
      </c>
      <c r="J280" t="s">
        <v>3128</v>
      </c>
      <c r="K280" t="s">
        <v>4190</v>
      </c>
      <c r="L280" t="s">
        <v>4191</v>
      </c>
      <c r="M280" t="s">
        <v>4192</v>
      </c>
      <c r="N280" t="s">
        <v>4193</v>
      </c>
      <c r="O280" t="s">
        <v>4194</v>
      </c>
      <c r="P280" t="s">
        <v>4195</v>
      </c>
      <c r="R280" t="b">
        <v>0</v>
      </c>
      <c r="S280" t="s">
        <v>4222</v>
      </c>
    </row>
    <row r="281" spans="1:19" ht="11.25" customHeight="1">
      <c r="A281">
        <v>2655</v>
      </c>
      <c r="B281" t="s">
        <v>87</v>
      </c>
      <c r="C281">
        <v>28977129</v>
      </c>
      <c r="D281" t="s">
        <v>4203</v>
      </c>
      <c r="E281" t="s">
        <v>4204</v>
      </c>
      <c r="F281" t="s">
        <v>3374</v>
      </c>
      <c r="G281" t="s">
        <v>4205</v>
      </c>
      <c r="H281" t="s">
        <v>3376</v>
      </c>
      <c r="I281" t="s">
        <v>3390</v>
      </c>
      <c r="J281" t="s">
        <v>3378</v>
      </c>
      <c r="K281" t="s">
        <v>4206</v>
      </c>
      <c r="L281" t="s">
        <v>4207</v>
      </c>
      <c r="M281" t="s">
        <v>4208</v>
      </c>
      <c r="O281" t="s">
        <v>4209</v>
      </c>
      <c r="P281" t="s">
        <v>2946</v>
      </c>
      <c r="R281" t="b">
        <v>0</v>
      </c>
      <c r="S281" t="s">
        <v>4222</v>
      </c>
    </row>
    <row r="282" spans="1:19" ht="11.25" customHeight="1">
      <c r="A282">
        <v>2655</v>
      </c>
      <c r="B282" t="s">
        <v>87</v>
      </c>
      <c r="C282">
        <v>30914574</v>
      </c>
      <c r="D282" t="s">
        <v>4210</v>
      </c>
      <c r="E282" t="s">
        <v>4211</v>
      </c>
      <c r="F282" t="s">
        <v>4212</v>
      </c>
      <c r="G282" t="s">
        <v>4213</v>
      </c>
      <c r="H282" t="s">
        <v>4214</v>
      </c>
      <c r="I282" t="s">
        <v>4215</v>
      </c>
      <c r="J282" t="s">
        <v>4216</v>
      </c>
      <c r="L282" t="s">
        <v>4217</v>
      </c>
      <c r="M282" t="s">
        <v>4218</v>
      </c>
      <c r="N282" t="s">
        <v>4219</v>
      </c>
      <c r="O282" t="s">
        <v>4220</v>
      </c>
      <c r="P282" t="s">
        <v>4221</v>
      </c>
      <c r="R282" t="b">
        <v>0</v>
      </c>
      <c r="S282" t="s">
        <v>4222</v>
      </c>
    </row>
  </sheetData>
  <sheetProtection formatColumns="0" formatRows="0" insertRows="0" deleteColumns="0" deleteRows="0" sort="0" autoFilter="0"/>
  <pageMargins left="0.75" right="0.75" top="1" bottom="1" header="0.5" footer="0.5"/>
  <pageSetup orientation="portrait"/>
  <headerFooter>
    <oddHeader>&amp;L&amp;C&amp;R</oddHeader>
    <oddFooter>&amp;L&amp;C&amp;R</oddFooter>
    <evenHeader>&amp;L&amp;C&amp;R</evenHeader>
    <evenFooter>&amp;L&amp;C&amp;R</even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B97"/>
  <sheetViews>
    <sheetView showGridLines="0" workbookViewId="0"/>
  </sheetViews>
  <sheetFormatPr defaultRowHeight="11.25" customHeight="1"/>
  <cols>
    <col min="1" max="1" width="88.85546875" customWidth="1"/>
    <col min="2" max="2" width="24.7109375" customWidth="1"/>
  </cols>
  <sheetData>
    <row r="1" spans="1:2" ht="11.25" customHeight="1">
      <c r="A1" t="s">
        <v>4223</v>
      </c>
    </row>
    <row r="2" spans="1:2" ht="11.25" customHeight="1">
      <c r="A2" t="s">
        <v>4224</v>
      </c>
      <c r="B2" t="s">
        <v>4225</v>
      </c>
    </row>
    <row r="3" spans="1:2" ht="11.25" customHeight="1">
      <c r="A3" t="s">
        <v>4226</v>
      </c>
    </row>
    <row r="4" spans="1:2" ht="11.25" customHeight="1">
      <c r="A4" t="s">
        <v>2896</v>
      </c>
    </row>
    <row r="5" spans="1:2" ht="11.25" customHeight="1">
      <c r="A5" t="s">
        <v>114</v>
      </c>
    </row>
    <row r="6" spans="1:2" ht="11.25" customHeight="1">
      <c r="A6" t="s">
        <v>3128</v>
      </c>
    </row>
    <row r="7" spans="1:2" ht="11.25" customHeight="1">
      <c r="A7" t="s">
        <v>4227</v>
      </c>
    </row>
    <row r="8" spans="1:2" ht="11.25" customHeight="1">
      <c r="A8" t="s">
        <v>4228</v>
      </c>
    </row>
    <row r="9" spans="1:2" ht="11.25" customHeight="1">
      <c r="A9" t="s">
        <v>4180</v>
      </c>
    </row>
    <row r="10" spans="1:2" ht="11.25" customHeight="1">
      <c r="A10" t="s">
        <v>4229</v>
      </c>
    </row>
    <row r="11" spans="1:2" ht="11.25" customHeight="1">
      <c r="A11" t="s">
        <v>4230</v>
      </c>
    </row>
    <row r="12" spans="1:2" ht="11.25" customHeight="1">
      <c r="A12" t="s">
        <v>4231</v>
      </c>
    </row>
    <row r="13" spans="1:2" ht="11.25" customHeight="1">
      <c r="A13" t="s">
        <v>4232</v>
      </c>
    </row>
    <row r="14" spans="1:2" ht="11.25" customHeight="1">
      <c r="A14" t="s">
        <v>4233</v>
      </c>
    </row>
    <row r="15" spans="1:2" ht="11.25" customHeight="1">
      <c r="A15" t="s">
        <v>4234</v>
      </c>
    </row>
    <row r="16" spans="1:2" ht="11.25" customHeight="1">
      <c r="A16" t="s">
        <v>4235</v>
      </c>
    </row>
    <row r="17" spans="1:1" ht="11.25" customHeight="1">
      <c r="A17" t="s">
        <v>4236</v>
      </c>
    </row>
    <row r="18" spans="1:1" ht="11.25" customHeight="1">
      <c r="A18" t="s">
        <v>4237</v>
      </c>
    </row>
    <row r="19" spans="1:1" ht="11.25" customHeight="1">
      <c r="A19" t="s">
        <v>4238</v>
      </c>
    </row>
    <row r="20" spans="1:1" ht="11.25" customHeight="1">
      <c r="A20" t="s">
        <v>4239</v>
      </c>
    </row>
    <row r="21" spans="1:1" ht="11.25" customHeight="1">
      <c r="A21" t="s">
        <v>4240</v>
      </c>
    </row>
    <row r="22" spans="1:1" ht="11.25" customHeight="1">
      <c r="A22" t="s">
        <v>4241</v>
      </c>
    </row>
    <row r="23" spans="1:1" ht="11.25" customHeight="1">
      <c r="A23" t="s">
        <v>4242</v>
      </c>
    </row>
    <row r="24" spans="1:1" ht="11.25" customHeight="1">
      <c r="A24" t="s">
        <v>4243</v>
      </c>
    </row>
    <row r="25" spans="1:1" ht="11.25" customHeight="1">
      <c r="A25" t="s">
        <v>4244</v>
      </c>
    </row>
    <row r="26" spans="1:1" ht="11.25" customHeight="1">
      <c r="A26" t="s">
        <v>4245</v>
      </c>
    </row>
    <row r="27" spans="1:1" ht="11.25" customHeight="1">
      <c r="A27" t="s">
        <v>4246</v>
      </c>
    </row>
    <row r="28" spans="1:1" ht="11.25" customHeight="1">
      <c r="A28" t="s">
        <v>4247</v>
      </c>
    </row>
    <row r="29" spans="1:1" ht="11.25" customHeight="1">
      <c r="A29" t="s">
        <v>4248</v>
      </c>
    </row>
    <row r="30" spans="1:1" ht="11.25" customHeight="1">
      <c r="A30" t="s">
        <v>4249</v>
      </c>
    </row>
    <row r="31" spans="1:1" ht="11.25" customHeight="1">
      <c r="A31" t="s">
        <v>4250</v>
      </c>
    </row>
    <row r="32" spans="1:1" ht="11.25" customHeight="1">
      <c r="A32" t="s">
        <v>4251</v>
      </c>
    </row>
    <row r="33" spans="1:1" ht="11.25" customHeight="1">
      <c r="A33" t="s">
        <v>4252</v>
      </c>
    </row>
    <row r="34" spans="1:1" ht="11.25" customHeight="1">
      <c r="A34" t="s">
        <v>4253</v>
      </c>
    </row>
    <row r="35" spans="1:1" ht="11.25" customHeight="1">
      <c r="A35" t="s">
        <v>4254</v>
      </c>
    </row>
    <row r="36" spans="1:1" ht="11.25" customHeight="1">
      <c r="A36" t="s">
        <v>4255</v>
      </c>
    </row>
    <row r="37" spans="1:1" ht="11.25" customHeight="1">
      <c r="A37" t="s">
        <v>4256</v>
      </c>
    </row>
    <row r="38" spans="1:1" ht="11.25" customHeight="1">
      <c r="A38" t="s">
        <v>4257</v>
      </c>
    </row>
    <row r="39" spans="1:1" ht="11.25" customHeight="1">
      <c r="A39" t="s">
        <v>4258</v>
      </c>
    </row>
    <row r="40" spans="1:1" ht="11.25" customHeight="1">
      <c r="A40" t="s">
        <v>4259</v>
      </c>
    </row>
    <row r="41" spans="1:1" ht="11.25" customHeight="1">
      <c r="A41" t="s">
        <v>4260</v>
      </c>
    </row>
    <row r="42" spans="1:1" ht="11.25" customHeight="1">
      <c r="A42" t="s">
        <v>4261</v>
      </c>
    </row>
    <row r="43" spans="1:1" ht="11.25" customHeight="1">
      <c r="A43" t="s">
        <v>4262</v>
      </c>
    </row>
    <row r="44" spans="1:1" ht="11.25" customHeight="1">
      <c r="A44" t="s">
        <v>4263</v>
      </c>
    </row>
    <row r="45" spans="1:1" ht="11.25" customHeight="1">
      <c r="A45" t="s">
        <v>4264</v>
      </c>
    </row>
    <row r="46" spans="1:1" ht="11.25" customHeight="1">
      <c r="A46" t="s">
        <v>4265</v>
      </c>
    </row>
    <row r="47" spans="1:1" ht="11.25" customHeight="1">
      <c r="A47" t="s">
        <v>4266</v>
      </c>
    </row>
    <row r="48" spans="1:1" ht="11.25" customHeight="1">
      <c r="A48" t="s">
        <v>4267</v>
      </c>
    </row>
    <row r="49" spans="1:1" ht="11.25" customHeight="1">
      <c r="A49" t="s">
        <v>4268</v>
      </c>
    </row>
    <row r="50" spans="1:1" ht="11.25" customHeight="1">
      <c r="A50" t="s">
        <v>4269</v>
      </c>
    </row>
    <row r="51" spans="1:1" ht="11.25" customHeight="1">
      <c r="A51" t="s">
        <v>4270</v>
      </c>
    </row>
    <row r="52" spans="1:1" ht="11.25" customHeight="1">
      <c r="A52" t="s">
        <v>4271</v>
      </c>
    </row>
    <row r="53" spans="1:1" ht="11.25" customHeight="1">
      <c r="A53" t="s">
        <v>4272</v>
      </c>
    </row>
    <row r="54" spans="1:1" ht="11.25" customHeight="1">
      <c r="A54" t="s">
        <v>4273</v>
      </c>
    </row>
    <row r="55" spans="1:1" ht="11.25" customHeight="1">
      <c r="A55" t="s">
        <v>4274</v>
      </c>
    </row>
    <row r="56" spans="1:1" ht="11.25" customHeight="1">
      <c r="A56" t="s">
        <v>4275</v>
      </c>
    </row>
    <row r="57" spans="1:1" ht="11.25" customHeight="1">
      <c r="A57" t="s">
        <v>3378</v>
      </c>
    </row>
    <row r="58" spans="1:1" ht="11.25" customHeight="1">
      <c r="A58" t="s">
        <v>4276</v>
      </c>
    </row>
    <row r="59" spans="1:1" ht="11.25" customHeight="1">
      <c r="A59" t="s">
        <v>4277</v>
      </c>
    </row>
    <row r="60" spans="1:1" ht="11.25" customHeight="1">
      <c r="A60" t="s">
        <v>4278</v>
      </c>
    </row>
    <row r="61" spans="1:1" ht="11.25" customHeight="1">
      <c r="A61" t="s">
        <v>4279</v>
      </c>
    </row>
    <row r="62" spans="1:1" ht="11.25" customHeight="1">
      <c r="A62" t="s">
        <v>4280</v>
      </c>
    </row>
    <row r="63" spans="1:1" ht="11.25" customHeight="1">
      <c r="A63" t="s">
        <v>4281</v>
      </c>
    </row>
    <row r="64" spans="1:1" ht="11.25" customHeight="1">
      <c r="A64" t="s">
        <v>4282</v>
      </c>
    </row>
    <row r="65" spans="1:1" ht="11.25" customHeight="1">
      <c r="A65" t="s">
        <v>4283</v>
      </c>
    </row>
    <row r="66" spans="1:1" ht="11.25" customHeight="1">
      <c r="A66" t="s">
        <v>3635</v>
      </c>
    </row>
    <row r="67" spans="1:1" ht="11.25" customHeight="1">
      <c r="A67" t="s">
        <v>4284</v>
      </c>
    </row>
    <row r="68" spans="1:1" ht="11.25" customHeight="1">
      <c r="A68" t="s">
        <v>4285</v>
      </c>
    </row>
    <row r="69" spans="1:1" ht="11.25" customHeight="1">
      <c r="A69" t="s">
        <v>4286</v>
      </c>
    </row>
    <row r="70" spans="1:1" ht="11.25" customHeight="1">
      <c r="A70" t="s">
        <v>4287</v>
      </c>
    </row>
    <row r="71" spans="1:1" ht="11.25" customHeight="1">
      <c r="A71" t="s">
        <v>2941</v>
      </c>
    </row>
    <row r="72" spans="1:1" ht="11.25" customHeight="1">
      <c r="A72" t="s">
        <v>4288</v>
      </c>
    </row>
    <row r="73" spans="1:1" ht="11.25" customHeight="1">
      <c r="A73" t="s">
        <v>4289</v>
      </c>
    </row>
    <row r="74" spans="1:1" ht="11.25" customHeight="1">
      <c r="A74" t="s">
        <v>2953</v>
      </c>
    </row>
    <row r="75" spans="1:1" ht="11.25" customHeight="1">
      <c r="A75" t="s">
        <v>4290</v>
      </c>
    </row>
    <row r="76" spans="1:1" ht="11.25" customHeight="1">
      <c r="A76" t="s">
        <v>4291</v>
      </c>
    </row>
    <row r="77" spans="1:1" ht="11.25" customHeight="1">
      <c r="A77" t="s">
        <v>4292</v>
      </c>
    </row>
    <row r="78" spans="1:1" ht="11.25" customHeight="1">
      <c r="A78" t="s">
        <v>4293</v>
      </c>
    </row>
    <row r="79" spans="1:1" ht="11.25" customHeight="1">
      <c r="A79" t="s">
        <v>4294</v>
      </c>
    </row>
    <row r="80" spans="1:1" ht="11.25" customHeight="1">
      <c r="A80" t="s">
        <v>4295</v>
      </c>
    </row>
    <row r="81" spans="1:1" ht="11.25" customHeight="1">
      <c r="A81" t="s">
        <v>4296</v>
      </c>
    </row>
    <row r="82" spans="1:1" ht="11.25" customHeight="1">
      <c r="A82" t="s">
        <v>4297</v>
      </c>
    </row>
    <row r="83" spans="1:1" ht="11.25" customHeight="1">
      <c r="A83" t="s">
        <v>4298</v>
      </c>
    </row>
    <row r="84" spans="1:1" ht="11.25" customHeight="1">
      <c r="A84" t="s">
        <v>4299</v>
      </c>
    </row>
    <row r="85" spans="1:1" ht="11.25" customHeight="1">
      <c r="A85" t="s">
        <v>4216</v>
      </c>
    </row>
    <row r="86" spans="1:1" ht="11.25" customHeight="1">
      <c r="A86" t="s">
        <v>3402</v>
      </c>
    </row>
    <row r="87" spans="1:1" ht="11.25" customHeight="1">
      <c r="A87" t="s">
        <v>4300</v>
      </c>
    </row>
    <row r="88" spans="1:1" ht="11.25" customHeight="1">
      <c r="A88" t="s">
        <v>3584</v>
      </c>
    </row>
    <row r="89" spans="1:1" ht="11.25" customHeight="1">
      <c r="A89" t="s">
        <v>4301</v>
      </c>
    </row>
    <row r="90" spans="1:1" ht="11.25" customHeight="1">
      <c r="A90" t="s">
        <v>3596</v>
      </c>
    </row>
    <row r="91" spans="1:1" ht="11.25" customHeight="1">
      <c r="A91" t="s">
        <v>4302</v>
      </c>
    </row>
    <row r="92" spans="1:1" ht="11.25" customHeight="1">
      <c r="A92" t="s">
        <v>4303</v>
      </c>
    </row>
    <row r="93" spans="1:1" ht="11.25" customHeight="1">
      <c r="A93" t="s">
        <v>3433</v>
      </c>
    </row>
    <row r="94" spans="1:1" ht="11.25" customHeight="1">
      <c r="A94" t="s">
        <v>4304</v>
      </c>
    </row>
    <row r="95" spans="1:1" ht="11.25" customHeight="1">
      <c r="A95" t="s">
        <v>4305</v>
      </c>
    </row>
    <row r="96" spans="1:1" ht="11.25" customHeight="1">
      <c r="A96" t="s">
        <v>4306</v>
      </c>
    </row>
    <row r="97" spans="1:1" ht="11.25" customHeight="1">
      <c r="A97" t="s">
        <v>4307</v>
      </c>
    </row>
  </sheetData>
  <sheetProtection insertRows="0" deleteColumns="0" deleteRows="0" sort="0" autoFilter="0"/>
  <pageMargins left="0.7" right="0.7" top="0.75" bottom="0.75" header="0.3" footer="0.3"/>
  <pageSetup orientation="portrait"/>
  <headerFooter>
    <oddHeader>&amp;L&amp;C&amp;R</oddHeader>
    <oddFooter>&amp;L&amp;C&amp;R</oddFooter>
    <evenHeader>&amp;L&amp;C&amp;R</evenHeader>
    <evenFooter>&amp;L&amp;C&amp;R</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A2"/>
  <sheetViews>
    <sheetView workbookViewId="0"/>
  </sheetViews>
  <sheetFormatPr defaultColWidth="8.85546875" defaultRowHeight="15" customHeight="1"/>
  <sheetData>
    <row r="1" spans="1:1" ht="15" customHeight="1">
      <c r="A1" t="s">
        <v>4308</v>
      </c>
    </row>
    <row r="2" spans="1:1" ht="15" customHeight="1">
      <c r="A2" t="s">
        <v>251</v>
      </c>
    </row>
  </sheetData>
  <sheetProtection insertRows="0" deleteColumns="0" deleteRows="0" sort="0" autoFilter="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AL218"/>
  <sheetViews>
    <sheetView showGridLines="0" topLeftCell="AA21" workbookViewId="0">
      <selection activeCell="AE51" sqref="AE51"/>
    </sheetView>
  </sheetViews>
  <sheetFormatPr defaultColWidth="9.140625" defaultRowHeight="19.5" customHeight="1"/>
  <cols>
    <col min="1" max="1" width="3.5703125" style="1016" hidden="1" customWidth="1"/>
    <col min="2" max="2" width="8.5703125" style="718" hidden="1" customWidth="1"/>
    <col min="3" max="4" width="3.5703125" style="1016" hidden="1" customWidth="1"/>
    <col min="5" max="5" width="8.42578125" style="717" hidden="1" customWidth="1"/>
    <col min="6" max="6" width="3.5703125" style="750" hidden="1" customWidth="1"/>
    <col min="7" max="7" width="8.140625" style="1016" hidden="1" customWidth="1"/>
    <col min="8" max="22" width="3.5703125" style="1016" hidden="1" customWidth="1"/>
    <col min="23" max="23" width="7.85546875" style="1016" hidden="1" customWidth="1"/>
    <col min="24" max="24" width="7.7109375" style="1016" hidden="1" customWidth="1"/>
    <col min="25" max="25" width="6.28515625" style="1016" hidden="1" customWidth="1"/>
    <col min="26" max="26" width="7" style="1016" hidden="1" customWidth="1"/>
    <col min="27" max="27" width="3" style="646" customWidth="1"/>
    <col min="28" max="28" width="12.140625" style="750" customWidth="1"/>
    <col min="29" max="29" width="18.140625" style="750" customWidth="1"/>
    <col min="30" max="30" width="57" style="750" customWidth="1"/>
    <col min="31" max="31" width="48.140625" style="750" customWidth="1"/>
    <col min="32" max="32" width="3" style="337" customWidth="1"/>
    <col min="33" max="33" width="59.42578125" style="1018" hidden="1" customWidth="1"/>
    <col min="34" max="36" width="16.7109375" style="1018" hidden="1" customWidth="1"/>
    <col min="37" max="37" width="8.42578125" style="1018" hidden="1" customWidth="1"/>
    <col min="38" max="38" width="10.28515625" style="1018" hidden="1" customWidth="1"/>
  </cols>
  <sheetData>
    <row r="1" spans="1:32" s="1016" customFormat="1" ht="12" hidden="1" customHeight="1">
      <c r="B1" s="614"/>
      <c r="E1" s="614"/>
      <c r="F1" s="151"/>
      <c r="N1" s="116" t="s">
        <v>77</v>
      </c>
      <c r="W1" s="645" t="s">
        <v>78</v>
      </c>
      <c r="X1" s="634" t="s">
        <v>79</v>
      </c>
      <c r="Y1" s="634" t="s">
        <v>80</v>
      </c>
      <c r="Z1" s="645" t="s">
        <v>81</v>
      </c>
      <c r="AA1" s="645" t="s">
        <v>82</v>
      </c>
      <c r="AD1" s="634" t="s">
        <v>83</v>
      </c>
      <c r="AE1" s="634" t="s">
        <v>84</v>
      </c>
      <c r="AF1" s="645" t="s">
        <v>85</v>
      </c>
    </row>
    <row r="2" spans="1:32" s="718" customFormat="1" ht="12" hidden="1" customHeight="1">
      <c r="B2" s="704" t="s">
        <v>15</v>
      </c>
      <c r="F2" s="721"/>
      <c r="Z2" s="116"/>
    </row>
    <row r="3" spans="1:32" s="1016" customFormat="1" ht="12" hidden="1" customHeight="1">
      <c r="B3" s="614"/>
      <c r="E3" s="614"/>
      <c r="F3" s="151"/>
    </row>
    <row r="4" spans="1:32" s="1016" customFormat="1" ht="12" hidden="1" customHeight="1">
      <c r="B4" s="614"/>
      <c r="E4" s="614"/>
      <c r="F4" s="151"/>
    </row>
    <row r="5" spans="1:32" s="717" customFormat="1" ht="12" hidden="1" customHeight="1">
      <c r="A5" s="614"/>
      <c r="B5" s="614"/>
      <c r="C5" s="614"/>
      <c r="D5" s="614"/>
      <c r="E5" s="623" t="s">
        <v>16</v>
      </c>
      <c r="F5" s="722"/>
      <c r="Z5" s="705"/>
      <c r="AA5" s="623">
        <v>3</v>
      </c>
      <c r="AB5" s="623">
        <v>12.13</v>
      </c>
      <c r="AC5" s="623">
        <v>18.13</v>
      </c>
      <c r="AD5" s="623">
        <v>57</v>
      </c>
      <c r="AE5" s="623">
        <v>48.13</v>
      </c>
      <c r="AF5" s="623">
        <v>3</v>
      </c>
    </row>
    <row r="6" spans="1:32" s="1016" customFormat="1" ht="12" hidden="1" customHeight="1">
      <c r="B6" s="614"/>
      <c r="E6" s="623"/>
      <c r="F6" s="151"/>
    </row>
    <row r="7" spans="1:32" s="750" customFormat="1" ht="12" hidden="1" customHeight="1">
      <c r="A7" s="116"/>
      <c r="B7" s="614"/>
      <c r="C7" s="116"/>
      <c r="D7" s="116"/>
      <c r="E7" s="623"/>
    </row>
    <row r="8" spans="1:32" s="750" customFormat="1" ht="12" hidden="1" customHeight="1">
      <c r="A8" s="116"/>
      <c r="B8" s="614"/>
      <c r="C8" s="116"/>
      <c r="D8" s="116"/>
      <c r="E8" s="623"/>
    </row>
    <row r="9" spans="1:32" s="1016" customFormat="1" ht="12" hidden="1" customHeight="1">
      <c r="B9" s="614"/>
      <c r="E9" s="623"/>
      <c r="F9" s="151"/>
    </row>
    <row r="10" spans="1:32" s="1016" customFormat="1" ht="12" hidden="1" customHeight="1">
      <c r="B10" s="614"/>
      <c r="E10" s="623"/>
      <c r="F10" s="151"/>
    </row>
    <row r="11" spans="1:32" s="1016" customFormat="1" ht="12" hidden="1" customHeight="1">
      <c r="B11" s="614"/>
      <c r="E11" s="623"/>
      <c r="F11" s="151"/>
    </row>
    <row r="12" spans="1:32" s="1016" customFormat="1" ht="12" hidden="1" customHeight="1">
      <c r="B12" s="614"/>
      <c r="E12" s="623"/>
      <c r="F12" s="151"/>
    </row>
    <row r="13" spans="1:32" s="1016" customFormat="1" ht="12" hidden="1" customHeight="1">
      <c r="B13" s="614"/>
      <c r="E13" s="623"/>
      <c r="F13" s="151"/>
    </row>
    <row r="14" spans="1:32" s="1016" customFormat="1" ht="12" hidden="1" customHeight="1">
      <c r="B14" s="614"/>
      <c r="E14" s="623"/>
      <c r="F14" s="151"/>
    </row>
    <row r="15" spans="1:32" s="1016" customFormat="1" ht="12" hidden="1" customHeight="1">
      <c r="B15" s="614"/>
      <c r="E15" s="623"/>
      <c r="F15" s="151"/>
    </row>
    <row r="16" spans="1:32" s="1016" customFormat="1" ht="12" hidden="1" customHeight="1">
      <c r="B16" s="614"/>
      <c r="E16" s="623"/>
      <c r="F16" s="151"/>
    </row>
    <row r="17" spans="1:38" s="1016" customFormat="1" ht="12" hidden="1" customHeight="1">
      <c r="B17" s="614"/>
      <c r="E17" s="623"/>
      <c r="F17" s="151"/>
    </row>
    <row r="18" spans="1:38" s="1016" customFormat="1" ht="12" hidden="1" customHeight="1">
      <c r="B18" s="614"/>
      <c r="E18" s="623"/>
      <c r="F18" s="151"/>
    </row>
    <row r="19" spans="1:38" s="1016" customFormat="1" ht="12" hidden="1" customHeight="1">
      <c r="B19" s="614"/>
      <c r="E19" s="623"/>
      <c r="F19" s="151"/>
    </row>
    <row r="20" spans="1:38" s="1016" customFormat="1" ht="12" hidden="1" customHeight="1">
      <c r="B20" s="614"/>
      <c r="E20" s="623"/>
      <c r="F20" s="151"/>
    </row>
    <row r="21" spans="1:38" s="750" customFormat="1" ht="11.1" customHeight="1">
      <c r="A21" s="116"/>
      <c r="B21" s="614"/>
      <c r="C21" s="116"/>
      <c r="D21" s="116"/>
      <c r="E21" s="623">
        <v>11.4</v>
      </c>
      <c r="G21" s="116"/>
      <c r="H21" s="116"/>
      <c r="I21" s="116"/>
      <c r="J21" s="116"/>
      <c r="K21" s="116"/>
      <c r="L21" s="116"/>
      <c r="M21" s="116"/>
      <c r="N21" s="116"/>
      <c r="O21" s="116"/>
      <c r="P21" s="116"/>
      <c r="Q21" s="116"/>
      <c r="R21" s="116"/>
      <c r="S21" s="116"/>
      <c r="T21" s="116"/>
      <c r="U21" s="116"/>
      <c r="V21" s="116"/>
      <c r="W21" s="116"/>
      <c r="X21" s="116"/>
      <c r="Y21" s="116"/>
      <c r="Z21" s="116"/>
      <c r="AA21" s="646"/>
    </row>
    <row r="22" spans="1:38" ht="19.899999999999999" customHeight="1">
      <c r="E22" s="623">
        <v>20.399999999999999</v>
      </c>
      <c r="AB22" s="1369" t="s">
        <v>86</v>
      </c>
      <c r="AC22" s="1370"/>
      <c r="AD22" s="1371"/>
      <c r="AE22" s="376" t="s">
        <v>87</v>
      </c>
      <c r="AF22" s="336" t="str">
        <f>IFERROR(INDEX(TEHSHEET!B1:B86,MATCH(region_name,REGION,0)),"")</f>
        <v>RU42</v>
      </c>
    </row>
    <row r="23" spans="1:38" ht="18.399999999999999" customHeight="1">
      <c r="E23" s="623">
        <v>18.8</v>
      </c>
      <c r="AB23" s="118"/>
      <c r="AC23" s="119"/>
      <c r="AD23" s="577" t="s">
        <v>88</v>
      </c>
      <c r="AE23" s="392" t="s">
        <v>89</v>
      </c>
      <c r="AF23" s="336"/>
      <c r="AH23" s="94" t="str">
        <f>IF(AE23="Метод индексации","методом индексации установленных тарифов",IF(AE23="Метод экономически обоснованных расходов","методом экономически обоснованных расходов (затрат)",IF(AE23="Метод сравнения аналогов","методом сравнения аналогов",IF(AE23="Метод обеспечения доходности инвестированного капитала","методом обеспечения доходности инвестированного капитала","выберите метод регулирования"))))</f>
        <v>методом индексации установленных тарифов</v>
      </c>
      <c r="AL23" s="1381"/>
    </row>
    <row r="24" spans="1:38" ht="19.899999999999999" customHeight="1">
      <c r="E24" s="623">
        <v>20.399999999999999</v>
      </c>
      <c r="AB24" s="1369" t="s">
        <v>90</v>
      </c>
      <c r="AC24" s="1370"/>
      <c r="AD24" s="1371"/>
      <c r="AE24" s="321">
        <v>2026</v>
      </c>
      <c r="AF24" s="338"/>
      <c r="AL24" s="1381"/>
    </row>
    <row r="25" spans="1:38" ht="19.899999999999999" customHeight="1">
      <c r="B25" s="704" t="b">
        <f>method_reg&lt;&gt;"Метод экономически обоснованных расходов"</f>
        <v>1</v>
      </c>
      <c r="E25" s="623">
        <v>20.399999999999999</v>
      </c>
      <c r="AB25" s="1369" t="s">
        <v>91</v>
      </c>
      <c r="AC25" s="1370"/>
      <c r="AD25" s="1371"/>
      <c r="AE25" s="321">
        <v>2024</v>
      </c>
      <c r="AF25" s="339">
        <f>first_year+PERIOD_LENGTH-1</f>
        <v>2028</v>
      </c>
      <c r="AG25" s="188">
        <f>IF(CorrectionOnlyForRegPeriod="да",god,last_year)</f>
        <v>2026</v>
      </c>
      <c r="AL25" s="1381"/>
    </row>
    <row r="26" spans="1:38" ht="19.899999999999999" customHeight="1">
      <c r="B26" s="704" t="b">
        <f>method_reg&lt;&gt;"Метод экономически обоснованных расходов"</f>
        <v>1</v>
      </c>
      <c r="E26" s="623">
        <v>20.399999999999999</v>
      </c>
      <c r="AB26" s="1369" t="s">
        <v>92</v>
      </c>
      <c r="AC26" s="1370"/>
      <c r="AD26" s="1371"/>
      <c r="AE26" s="321">
        <v>5</v>
      </c>
      <c r="AF26" s="338"/>
      <c r="AL26" s="1381"/>
    </row>
    <row r="27" spans="1:38" ht="16.5" hidden="1" customHeight="1">
      <c r="E27" s="623">
        <v>0</v>
      </c>
      <c r="AB27" s="1369" t="s">
        <v>93</v>
      </c>
      <c r="AC27" s="1370"/>
      <c r="AD27" s="1371"/>
      <c r="AE27" s="347">
        <f>IF(OR(PERIOD_LENGTH-god+first_year&lt;=0,PERIOD_LENGTH-god+first_year&gt;10),"",PERIOD_LENGTH-god+first_year)</f>
        <v>3</v>
      </c>
      <c r="AF27" s="338"/>
    </row>
    <row r="28" spans="1:38" ht="7.35" customHeight="1">
      <c r="E28" s="623">
        <v>7.5</v>
      </c>
    </row>
    <row r="29" spans="1:38" ht="7.35" customHeight="1">
      <c r="E29" s="623">
        <v>7.5</v>
      </c>
    </row>
    <row r="30" spans="1:38" ht="19.899999999999999" customHeight="1">
      <c r="E30" s="623">
        <v>20.399999999999999</v>
      </c>
      <c r="AB30" s="1372" t="s">
        <v>94</v>
      </c>
      <c r="AC30" s="1372"/>
      <c r="AD30" s="1372"/>
      <c r="AE30" s="1372"/>
      <c r="AF30" s="340"/>
      <c r="AG30" s="128"/>
      <c r="AH30" s="128"/>
      <c r="AI30" s="128"/>
      <c r="AJ30" s="128"/>
      <c r="AK30" s="128"/>
      <c r="AL30" s="128"/>
    </row>
    <row r="31" spans="1:38" ht="19.899999999999999" customHeight="1">
      <c r="E31" s="623">
        <v>20.399999999999999</v>
      </c>
      <c r="AB31" s="1373" t="s">
        <v>95</v>
      </c>
      <c r="AC31" s="1373"/>
      <c r="AD31" s="1373"/>
      <c r="AE31" s="1373"/>
      <c r="AF31" s="340"/>
      <c r="AG31" s="128"/>
      <c r="AH31" s="128"/>
      <c r="AI31" s="128"/>
      <c r="AJ31" s="128"/>
      <c r="AK31" s="128"/>
      <c r="AL31" s="128"/>
    </row>
    <row r="32" spans="1:38" ht="19.899999999999999" customHeight="1">
      <c r="E32" s="623">
        <v>20.399999999999999</v>
      </c>
      <c r="AB32" s="1372" t="s">
        <v>96</v>
      </c>
      <c r="AC32" s="1372"/>
      <c r="AD32" s="1372"/>
      <c r="AE32" s="1372"/>
      <c r="AF32" s="340"/>
      <c r="AG32" s="128"/>
      <c r="AH32" s="128"/>
      <c r="AI32" s="128"/>
      <c r="AJ32" s="128"/>
      <c r="AK32" s="128"/>
      <c r="AL32" s="128"/>
    </row>
    <row r="33" spans="5:38" ht="19.899999999999999" customHeight="1">
      <c r="E33" s="623">
        <v>20.399999999999999</v>
      </c>
      <c r="Z33" s="1016">
        <v>27820148</v>
      </c>
      <c r="AB33" s="1374" t="s">
        <v>97</v>
      </c>
      <c r="AC33" s="1375"/>
      <c r="AD33" s="1375"/>
      <c r="AE33" s="1375"/>
      <c r="AF33" s="341"/>
      <c r="AG33" s="128"/>
      <c r="AH33" s="128"/>
      <c r="AI33" s="128"/>
      <c r="AJ33" s="128"/>
      <c r="AK33" s="128"/>
      <c r="AL33" s="188" t="str">
        <f>IFERROR(region_name&amp;" / "&amp;god&amp;" / "&amp;org&amp;" (ИНН:"&amp;inn&amp;", КПП:"&amp;kpp&amp;IF(method_reg="Метод экономически обоснованных расходов",")",") / ДПР: "&amp;first_year&amp;"-"&amp;last_year),"")</f>
        <v>Кемеровская область / 2026 / АО "СУЭК-Кузбасс" (ИНН:4212024138, КПП:421201001) / ДПР: 2024-2028</v>
      </c>
    </row>
    <row r="34" spans="5:38" ht="30.75" customHeight="1">
      <c r="E34" s="623">
        <v>31.5</v>
      </c>
      <c r="AB34" s="1376" t="str">
        <f>"об установлении тарифов на теплоноситель "&amp;AH23&amp;IF(AND(AE23="Метод индексации",god&gt;first_year),"
(при корректировке тарифов, начиная со второго года долгосрочного периода регулирования)","")</f>
        <v>об установлении тарифов на теплоноситель методом индексации установленных тарифов
(при корректировке тарифов, начиная со второго года долгосрочного периода регулирования)</v>
      </c>
      <c r="AC34" s="1376"/>
      <c r="AD34" s="1376"/>
      <c r="AE34" s="1376"/>
      <c r="AF34" s="341"/>
      <c r="AG34" s="128"/>
      <c r="AH34" s="128"/>
      <c r="AI34" s="128"/>
      <c r="AJ34" s="128"/>
      <c r="AK34" s="128"/>
      <c r="AL34" s="128"/>
    </row>
    <row r="35" spans="5:38" ht="19.899999999999999" customHeight="1">
      <c r="E35" s="623">
        <v>20.399999999999999</v>
      </c>
      <c r="AB35" s="1377" t="str">
        <f>"на "&amp;god&amp;" год"&amp;IF(AE23="Метод экономически обоснованных расходов",""," долгосрочного периода регулирования тарифов "&amp;first_year&amp;"-"&amp;last_year&amp;" гг.")</f>
        <v>на 2026 год долгосрочного периода регулирования тарифов 2024-2028 гг.</v>
      </c>
      <c r="AC35" s="1377"/>
      <c r="AD35" s="1377"/>
      <c r="AE35" s="1377"/>
      <c r="AF35" s="342"/>
      <c r="AG35" s="128"/>
      <c r="AH35" s="128"/>
      <c r="AI35" s="128"/>
      <c r="AJ35" s="128"/>
      <c r="AK35" s="128"/>
      <c r="AL35" s="128"/>
    </row>
    <row r="36" spans="5:38" ht="11.1" customHeight="1">
      <c r="E36" s="623">
        <v>11.3</v>
      </c>
      <c r="AB36" s="1378"/>
      <c r="AC36" s="1379"/>
      <c r="AD36" s="1379"/>
      <c r="AE36" s="1380"/>
      <c r="AF36" s="343"/>
      <c r="AG36" s="129"/>
      <c r="AH36" s="120"/>
      <c r="AI36" s="1367"/>
      <c r="AJ36" s="1367"/>
      <c r="AK36" s="120"/>
      <c r="AL36" s="129"/>
    </row>
    <row r="37" spans="5:38" ht="19.899999999999999" customHeight="1">
      <c r="E37" s="623">
        <v>20.399999999999999</v>
      </c>
      <c r="AB37" s="1368" t="s">
        <v>98</v>
      </c>
      <c r="AC37" s="1368"/>
      <c r="AD37" s="1368"/>
      <c r="AE37" s="1368"/>
      <c r="AF37" s="344"/>
      <c r="AG37" s="117"/>
      <c r="AH37" s="117"/>
      <c r="AI37" s="117"/>
      <c r="AJ37" s="117"/>
      <c r="AK37" s="117"/>
      <c r="AL37" s="127"/>
    </row>
    <row r="38" spans="5:38" ht="24" customHeight="1">
      <c r="E38" s="623">
        <v>24.6</v>
      </c>
      <c r="AB38" s="1349" t="s">
        <v>99</v>
      </c>
      <c r="AC38" s="1349"/>
      <c r="AD38" s="1349"/>
      <c r="AE38" s="863" t="s">
        <v>100</v>
      </c>
      <c r="AF38" s="345"/>
      <c r="AG38" s="127"/>
      <c r="AH38" s="127"/>
      <c r="AI38" s="127"/>
    </row>
    <row r="39" spans="5:38" ht="24" customHeight="1">
      <c r="E39" s="623">
        <v>24.6</v>
      </c>
      <c r="AB39" s="1349" t="s">
        <v>101</v>
      </c>
      <c r="AC39" s="1349"/>
      <c r="AD39" s="1349"/>
      <c r="AE39" s="863" t="s">
        <v>97</v>
      </c>
      <c r="AF39" s="345"/>
    </row>
    <row r="40" spans="5:38" ht="19.899999999999999" customHeight="1">
      <c r="E40" s="623">
        <v>20.399999999999999</v>
      </c>
      <c r="AB40" s="1349" t="s">
        <v>102</v>
      </c>
      <c r="AC40" s="1349"/>
      <c r="AD40" s="1349"/>
      <c r="AE40" s="1020" t="s">
        <v>103</v>
      </c>
      <c r="AF40" s="335"/>
    </row>
    <row r="41" spans="5:38" ht="19.899999999999999" customHeight="1">
      <c r="E41" s="623">
        <v>20.399999999999999</v>
      </c>
      <c r="AB41" s="1349" t="s">
        <v>104</v>
      </c>
      <c r="AC41" s="1349"/>
      <c r="AD41" s="1349"/>
      <c r="AE41" s="864" t="s">
        <v>105</v>
      </c>
      <c r="AF41" s="335"/>
    </row>
    <row r="42" spans="5:38" ht="19.899999999999999" customHeight="1">
      <c r="E42" s="623">
        <v>20.399999999999999</v>
      </c>
      <c r="AB42" s="1349" t="s">
        <v>106</v>
      </c>
      <c r="AC42" s="1349"/>
      <c r="AD42" s="1349"/>
      <c r="AE42" s="864" t="s">
        <v>107</v>
      </c>
      <c r="AF42" s="335"/>
    </row>
    <row r="43" spans="5:38" ht="19.899999999999999" customHeight="1">
      <c r="E43" s="623">
        <v>20.399999999999999</v>
      </c>
      <c r="AB43" s="1349" t="s">
        <v>108</v>
      </c>
      <c r="AC43" s="1349"/>
      <c r="AD43" s="1349"/>
      <c r="AE43" s="864" t="s">
        <v>109</v>
      </c>
      <c r="AF43" s="335"/>
    </row>
    <row r="44" spans="5:38" ht="19.899999999999999" customHeight="1">
      <c r="E44" s="623">
        <v>20.399999999999999</v>
      </c>
      <c r="AB44" s="1349" t="s">
        <v>110</v>
      </c>
      <c r="AC44" s="1349"/>
      <c r="AD44" s="1349"/>
      <c r="AE44" s="365" t="s">
        <v>111</v>
      </c>
      <c r="AF44" s="335"/>
      <c r="AG44" s="94" t="s">
        <v>112</v>
      </c>
    </row>
    <row r="45" spans="5:38" ht="19.899999999999999" customHeight="1">
      <c r="E45" s="623">
        <v>20.399999999999999</v>
      </c>
      <c r="AB45" s="1349" t="s">
        <v>113</v>
      </c>
      <c r="AC45" s="1349"/>
      <c r="AD45" s="1349"/>
      <c r="AE45" s="348" t="s">
        <v>114</v>
      </c>
      <c r="AF45" s="335"/>
      <c r="AG45" s="94" t="s">
        <v>115</v>
      </c>
    </row>
    <row r="46" spans="5:38" ht="19.899999999999999" customHeight="1">
      <c r="E46" s="623">
        <v>20.399999999999999</v>
      </c>
      <c r="AB46" s="1349" t="s">
        <v>116</v>
      </c>
      <c r="AC46" s="1349"/>
      <c r="AD46" s="1349"/>
      <c r="AE46" s="348" t="s">
        <v>117</v>
      </c>
      <c r="AF46" s="341"/>
      <c r="AG46" s="94" t="s">
        <v>118</v>
      </c>
    </row>
    <row r="47" spans="5:38" ht="19.899999999999999" customHeight="1">
      <c r="E47" s="623">
        <v>20.399999999999999</v>
      </c>
      <c r="AB47" s="1349" t="s">
        <v>119</v>
      </c>
      <c r="AC47" s="1349"/>
      <c r="AD47" s="1349"/>
      <c r="AE47" s="348" t="s">
        <v>117</v>
      </c>
      <c r="AF47" s="341"/>
      <c r="AG47" s="94" t="s">
        <v>120</v>
      </c>
    </row>
    <row r="48" spans="5:38" ht="19.899999999999999" customHeight="1">
      <c r="E48" s="623">
        <v>20.399999999999999</v>
      </c>
      <c r="AB48" s="1349" t="s">
        <v>121</v>
      </c>
      <c r="AC48" s="1349"/>
      <c r="AD48" s="1349"/>
      <c r="AE48" s="334" t="s">
        <v>122</v>
      </c>
      <c r="AF48" s="341"/>
      <c r="AG48" s="94" t="s">
        <v>123</v>
      </c>
    </row>
    <row r="49" spans="2:33" ht="19.899999999999999" customHeight="1">
      <c r="E49" s="623">
        <v>20.399999999999999</v>
      </c>
      <c r="AB49" s="1349" t="s">
        <v>124</v>
      </c>
      <c r="AC49" s="1349"/>
      <c r="AD49" s="1349"/>
      <c r="AE49" s="349" t="s">
        <v>125</v>
      </c>
      <c r="AF49" s="341"/>
      <c r="AG49" s="94" t="s">
        <v>126</v>
      </c>
    </row>
    <row r="50" spans="2:33" ht="19.899999999999999" customHeight="1">
      <c r="E50" s="623">
        <v>20.399999999999999</v>
      </c>
      <c r="AB50" s="1349" t="s">
        <v>127</v>
      </c>
      <c r="AC50" s="1349"/>
      <c r="AD50" s="1349"/>
      <c r="AE50" s="348" t="s">
        <v>128</v>
      </c>
      <c r="AF50" s="341"/>
      <c r="AG50" s="94" t="s">
        <v>129</v>
      </c>
    </row>
    <row r="51" spans="2:33" ht="19.899999999999999" customHeight="1">
      <c r="E51" s="623">
        <v>20.399999999999999</v>
      </c>
      <c r="AB51" s="1349" t="s">
        <v>130</v>
      </c>
      <c r="AC51" s="1349"/>
      <c r="AD51" s="1349"/>
      <c r="AE51" s="348" t="s">
        <v>131</v>
      </c>
      <c r="AF51" s="341"/>
      <c r="AG51" s="94" t="s">
        <v>132</v>
      </c>
    </row>
    <row r="52" spans="2:33" ht="19.899999999999999" customHeight="1">
      <c r="E52" s="623">
        <v>20.399999999999999</v>
      </c>
      <c r="AB52" s="1349" t="s">
        <v>133</v>
      </c>
      <c r="AC52" s="1349"/>
      <c r="AD52" s="1349"/>
      <c r="AE52" s="350" t="s">
        <v>134</v>
      </c>
      <c r="AF52" s="341"/>
      <c r="AG52" s="94" t="s">
        <v>135</v>
      </c>
    </row>
    <row r="53" spans="2:33" ht="19.899999999999999" customHeight="1">
      <c r="E53" s="623">
        <v>20.399999999999999</v>
      </c>
      <c r="AB53" s="1349" t="s">
        <v>136</v>
      </c>
      <c r="AC53" s="1349"/>
      <c r="AD53" s="122" t="s">
        <v>137</v>
      </c>
      <c r="AE53" s="351" t="s">
        <v>138</v>
      </c>
      <c r="AF53" s="341"/>
      <c r="AG53" s="94" t="s">
        <v>139</v>
      </c>
    </row>
    <row r="54" spans="2:33" ht="19.899999999999999" hidden="1" customHeight="1">
      <c r="B54" s="704" t="b">
        <f>STATE_SHARE_EXISTENCE&lt;&gt;"нет"</f>
        <v>0</v>
      </c>
      <c r="E54" s="623">
        <v>20.399999999999999</v>
      </c>
      <c r="AB54" s="1349"/>
      <c r="AC54" s="1349"/>
      <c r="AD54" s="122" t="s">
        <v>140</v>
      </c>
      <c r="AE54" s="1021"/>
      <c r="AF54" s="341"/>
      <c r="AG54" s="94" t="s">
        <v>141</v>
      </c>
    </row>
    <row r="55" spans="2:33" ht="19.899999999999999" hidden="1" customHeight="1">
      <c r="B55" s="704" t="b">
        <f>STATE_SHARE_EXISTENCE&lt;&gt;"нет"</f>
        <v>0</v>
      </c>
      <c r="E55" s="623">
        <v>20.399999999999999</v>
      </c>
      <c r="AB55" s="1349"/>
      <c r="AC55" s="1349"/>
      <c r="AD55" s="122" t="s">
        <v>142</v>
      </c>
      <c r="AE55" s="1021"/>
      <c r="AF55" s="341"/>
      <c r="AG55" s="94" t="s">
        <v>143</v>
      </c>
    </row>
    <row r="56" spans="2:33" ht="24" customHeight="1">
      <c r="E56" s="623">
        <v>24.6</v>
      </c>
      <c r="AB56" s="1349" t="s">
        <v>144</v>
      </c>
      <c r="AC56" s="1349"/>
      <c r="AD56" s="1349"/>
      <c r="AE56" s="351" t="s">
        <v>145</v>
      </c>
      <c r="AF56" s="346"/>
      <c r="AG56" s="94" t="s">
        <v>146</v>
      </c>
    </row>
    <row r="57" spans="2:33" ht="24" customHeight="1">
      <c r="E57" s="623">
        <v>24.6</v>
      </c>
      <c r="AB57" s="1349" t="s">
        <v>147</v>
      </c>
      <c r="AC57" s="1349"/>
      <c r="AD57" s="1349"/>
      <c r="AE57" s="351" t="s">
        <v>148</v>
      </c>
      <c r="AF57" s="346"/>
      <c r="AG57" s="332"/>
    </row>
    <row r="58" spans="2:33" ht="19.899999999999999" customHeight="1">
      <c r="E58" s="623">
        <v>20.399999999999999</v>
      </c>
      <c r="AB58" s="1349" t="s">
        <v>149</v>
      </c>
      <c r="AC58" s="1349"/>
      <c r="AD58" s="1349"/>
      <c r="AE58" s="351" t="s">
        <v>145</v>
      </c>
      <c r="AF58" s="341"/>
      <c r="AG58" s="94" t="s">
        <v>150</v>
      </c>
    </row>
    <row r="59" spans="2:33" ht="24" customHeight="1">
      <c r="E59" s="623">
        <v>24.6</v>
      </c>
      <c r="AB59" s="1349" t="s">
        <v>151</v>
      </c>
      <c r="AC59" s="1349"/>
      <c r="AD59" s="1349"/>
      <c r="AE59" s="351" t="s">
        <v>138</v>
      </c>
      <c r="AF59" s="346"/>
      <c r="AG59" s="94" t="s">
        <v>152</v>
      </c>
    </row>
    <row r="60" spans="2:33" ht="19.899999999999999" customHeight="1">
      <c r="E60" s="623">
        <v>20.399999999999999</v>
      </c>
      <c r="F60" s="151" t="s">
        <v>153</v>
      </c>
      <c r="AB60" s="1349" t="s">
        <v>154</v>
      </c>
      <c r="AC60" s="1349"/>
      <c r="AD60" s="1349"/>
      <c r="AE60" s="351" t="s">
        <v>138</v>
      </c>
      <c r="AF60" s="341"/>
      <c r="AG60" s="94" t="s">
        <v>155</v>
      </c>
    </row>
    <row r="61" spans="2:33" ht="19.899999999999999" customHeight="1">
      <c r="E61" s="623">
        <v>20.399999999999999</v>
      </c>
      <c r="AB61" s="1349" t="s">
        <v>156</v>
      </c>
      <c r="AC61" s="1349"/>
      <c r="AD61" s="1349"/>
      <c r="AE61" s="364"/>
      <c r="AF61" s="341"/>
    </row>
    <row r="62" spans="2:33" ht="20.25" hidden="1" customHeight="1">
      <c r="E62" s="623">
        <v>0</v>
      </c>
      <c r="V62" s="742"/>
      <c r="W62" s="742"/>
      <c r="X62" s="742"/>
      <c r="Y62" s="742"/>
      <c r="Z62" s="742"/>
      <c r="AA62" s="706" t="s">
        <v>157</v>
      </c>
      <c r="AB62" s="1388" t="s">
        <v>156</v>
      </c>
      <c r="AC62" s="1388"/>
      <c r="AD62" s="1388"/>
      <c r="AE62" s="651"/>
      <c r="AF62" s="652"/>
    </row>
    <row r="63" spans="2:33" ht="15" hidden="1" customHeight="1">
      <c r="E63" s="623">
        <v>0</v>
      </c>
      <c r="F63" s="151" t="s">
        <v>158</v>
      </c>
      <c r="V63" s="742"/>
      <c r="W63" s="742"/>
      <c r="X63" s="742"/>
      <c r="Y63" s="744"/>
      <c r="Z63" s="742"/>
      <c r="AA63" s="707"/>
      <c r="AB63" s="653"/>
      <c r="AC63" s="654"/>
      <c r="AD63" s="654"/>
      <c r="AE63" s="655"/>
      <c r="AF63" s="652"/>
    </row>
    <row r="64" spans="2:33" ht="19.899999999999999" customHeight="1">
      <c r="E64" s="623">
        <v>20.399999999999999</v>
      </c>
      <c r="F64" s="151" t="s">
        <v>159</v>
      </c>
      <c r="AB64" s="1349" t="s">
        <v>160</v>
      </c>
      <c r="AC64" s="1349"/>
      <c r="AD64" s="1349"/>
      <c r="AE64" s="351" t="s">
        <v>138</v>
      </c>
      <c r="AF64" s="341"/>
      <c r="AG64" s="94" t="s">
        <v>161</v>
      </c>
    </row>
    <row r="65" spans="2:33" ht="19.5" hidden="1" customHeight="1">
      <c r="E65" s="623">
        <v>0</v>
      </c>
      <c r="AB65" s="1349"/>
      <c r="AC65" s="1349"/>
      <c r="AD65" s="1349"/>
      <c r="AE65" s="380"/>
      <c r="AF65" s="341"/>
    </row>
    <row r="66" spans="2:33" ht="19.5" hidden="1" customHeight="1">
      <c r="E66" s="623">
        <v>0</v>
      </c>
      <c r="AB66" s="1348"/>
      <c r="AC66" s="1349"/>
      <c r="AD66" s="1349"/>
      <c r="AE66" s="377" t="s">
        <v>162</v>
      </c>
      <c r="AF66" s="341"/>
    </row>
    <row r="67" spans="2:33" ht="19.5" hidden="1" customHeight="1">
      <c r="E67" s="623">
        <v>0</v>
      </c>
      <c r="AB67" s="1348"/>
      <c r="AC67" s="1349"/>
      <c r="AD67" s="1349"/>
      <c r="AE67" s="377" t="s">
        <v>162</v>
      </c>
      <c r="AF67" s="341"/>
    </row>
    <row r="68" spans="2:33" ht="19.5" hidden="1" customHeight="1">
      <c r="E68" s="623">
        <v>0</v>
      </c>
      <c r="AB68" s="1348"/>
      <c r="AC68" s="1349"/>
      <c r="AD68" s="1349"/>
      <c r="AE68" s="377" t="s">
        <v>162</v>
      </c>
      <c r="AF68" s="341"/>
    </row>
    <row r="69" spans="2:33" ht="19.5" hidden="1" customHeight="1">
      <c r="E69" s="623">
        <v>0</v>
      </c>
      <c r="AB69" s="1348"/>
      <c r="AC69" s="1349"/>
      <c r="AD69" s="1349"/>
      <c r="AE69" s="378" t="s">
        <v>162</v>
      </c>
      <c r="AF69" s="341"/>
    </row>
    <row r="70" spans="2:33" ht="19.5" hidden="1" customHeight="1">
      <c r="E70" s="623">
        <v>0</v>
      </c>
      <c r="AB70" s="1348"/>
      <c r="AC70" s="1349"/>
      <c r="AD70" s="1349"/>
      <c r="AE70" s="379" t="s">
        <v>162</v>
      </c>
      <c r="AF70" s="341"/>
      <c r="AG70" s="130"/>
    </row>
    <row r="71" spans="2:33" ht="15" hidden="1" customHeight="1">
      <c r="E71" s="623">
        <v>0</v>
      </c>
      <c r="AB71" s="381"/>
      <c r="AC71" s="382"/>
      <c r="AD71" s="382"/>
      <c r="AE71" s="383"/>
      <c r="AF71" s="341"/>
      <c r="AG71" s="130"/>
    </row>
    <row r="72" spans="2:33" ht="19.5" hidden="1" customHeight="1">
      <c r="E72" s="623">
        <v>0</v>
      </c>
      <c r="AB72" s="1349"/>
      <c r="AC72" s="1349"/>
      <c r="AD72" s="1349"/>
      <c r="AE72" s="380"/>
      <c r="AF72" s="341"/>
    </row>
    <row r="73" spans="2:33" ht="19.899999999999999" hidden="1" customHeight="1">
      <c r="B73" s="704" t="b">
        <f t="shared" ref="B73:B83" si="0">HAS_DOC3="да"</f>
        <v>0</v>
      </c>
      <c r="E73" s="623">
        <v>20.399999999999999</v>
      </c>
      <c r="AB73" s="1348" t="s">
        <v>163</v>
      </c>
      <c r="AC73" s="1349" t="s">
        <v>164</v>
      </c>
      <c r="AD73" s="1349"/>
      <c r="AE73" s="1022"/>
      <c r="AF73" s="341"/>
    </row>
    <row r="74" spans="2:33" ht="19.899999999999999" hidden="1" customHeight="1">
      <c r="B74" s="704" t="b">
        <f t="shared" si="0"/>
        <v>0</v>
      </c>
      <c r="E74" s="623">
        <v>20.399999999999999</v>
      </c>
      <c r="AB74" s="1348"/>
      <c r="AC74" s="1349" t="s">
        <v>165</v>
      </c>
      <c r="AD74" s="1349"/>
      <c r="AE74" s="1023" t="s">
        <v>166</v>
      </c>
      <c r="AF74" s="341"/>
    </row>
    <row r="75" spans="2:33" ht="19.899999999999999" hidden="1" customHeight="1">
      <c r="B75" s="704" t="b">
        <f t="shared" si="0"/>
        <v>0</v>
      </c>
      <c r="E75" s="623">
        <v>20.399999999999999</v>
      </c>
      <c r="AB75" s="1348"/>
      <c r="AC75" s="1349" t="s">
        <v>167</v>
      </c>
      <c r="AD75" s="1349"/>
      <c r="AE75" s="1022"/>
      <c r="AF75" s="341"/>
    </row>
    <row r="76" spans="2:33" ht="19.899999999999999" hidden="1" customHeight="1">
      <c r="B76" s="704" t="b">
        <f t="shared" si="0"/>
        <v>0</v>
      </c>
      <c r="E76" s="623">
        <v>20.399999999999999</v>
      </c>
      <c r="AB76" s="1348"/>
      <c r="AC76" s="1349" t="s">
        <v>168</v>
      </c>
      <c r="AD76" s="1349"/>
      <c r="AE76" s="1024"/>
      <c r="AF76" s="341"/>
    </row>
    <row r="77" spans="2:33" ht="19.899999999999999" hidden="1" customHeight="1">
      <c r="B77" s="704" t="b">
        <f t="shared" si="0"/>
        <v>0</v>
      </c>
      <c r="E77" s="623">
        <v>20.399999999999999</v>
      </c>
      <c r="AB77" s="1348"/>
      <c r="AC77" s="1349" t="s">
        <v>169</v>
      </c>
      <c r="AD77" s="1349"/>
      <c r="AE77" s="1025"/>
      <c r="AF77" s="341"/>
      <c r="AG77" s="130"/>
    </row>
    <row r="78" spans="2:33" ht="19.899999999999999" hidden="1" customHeight="1">
      <c r="B78" s="704" t="b">
        <f t="shared" si="0"/>
        <v>0</v>
      </c>
      <c r="E78" s="623">
        <v>20.399999999999999</v>
      </c>
      <c r="W78" s="645" t="b">
        <f>ROW(Y78)&gt;ROW(Y$78)</f>
        <v>0</v>
      </c>
      <c r="Y78" s="116" t="s">
        <v>170</v>
      </c>
      <c r="AA78" s="1350" t="s">
        <v>157</v>
      </c>
      <c r="AB78" s="1348" t="s">
        <v>163</v>
      </c>
      <c r="AC78" s="1349" t="s">
        <v>164</v>
      </c>
      <c r="AD78" s="1349"/>
      <c r="AE78" s="1026"/>
      <c r="AF78" s="341"/>
      <c r="AG78" s="130"/>
    </row>
    <row r="79" spans="2:33" ht="19.899999999999999" hidden="1" customHeight="1">
      <c r="B79" s="704" t="b">
        <f t="shared" si="0"/>
        <v>0</v>
      </c>
      <c r="E79" s="623">
        <v>20.399999999999999</v>
      </c>
      <c r="W79" s="645" t="b">
        <f>W78</f>
        <v>0</v>
      </c>
      <c r="AA79" s="1350"/>
      <c r="AB79" s="1348"/>
      <c r="AC79" s="1349" t="s">
        <v>165</v>
      </c>
      <c r="AD79" s="1349"/>
      <c r="AE79" s="1027"/>
      <c r="AF79" s="341"/>
      <c r="AG79" s="130"/>
    </row>
    <row r="80" spans="2:33" ht="19.899999999999999" hidden="1" customHeight="1">
      <c r="B80" s="704" t="b">
        <f t="shared" si="0"/>
        <v>0</v>
      </c>
      <c r="E80" s="623">
        <v>20.399999999999999</v>
      </c>
      <c r="W80" s="645" t="b">
        <f>W79</f>
        <v>0</v>
      </c>
      <c r="AA80" s="1350"/>
      <c r="AB80" s="1348"/>
      <c r="AC80" s="1349" t="s">
        <v>167</v>
      </c>
      <c r="AD80" s="1349"/>
      <c r="AE80" s="1026"/>
      <c r="AF80" s="341"/>
      <c r="AG80" s="130"/>
    </row>
    <row r="81" spans="2:33" ht="19.899999999999999" hidden="1" customHeight="1">
      <c r="B81" s="704" t="b">
        <f t="shared" si="0"/>
        <v>0</v>
      </c>
      <c r="E81" s="623">
        <v>20.399999999999999</v>
      </c>
      <c r="W81" s="645" t="b">
        <f>W80</f>
        <v>0</v>
      </c>
      <c r="AA81" s="1350"/>
      <c r="AB81" s="1348"/>
      <c r="AC81" s="1349" t="s">
        <v>168</v>
      </c>
      <c r="AD81" s="1349"/>
      <c r="AE81" s="1028"/>
      <c r="AF81" s="341"/>
      <c r="AG81" s="130"/>
    </row>
    <row r="82" spans="2:33" ht="19.899999999999999" hidden="1" customHeight="1">
      <c r="B82" s="704" t="b">
        <f t="shared" si="0"/>
        <v>0</v>
      </c>
      <c r="E82" s="623">
        <v>20.399999999999999</v>
      </c>
      <c r="W82" s="645" t="b">
        <f>W81</f>
        <v>0</v>
      </c>
      <c r="AA82" s="1350"/>
      <c r="AB82" s="1348"/>
      <c r="AC82" s="1349" t="s">
        <v>169</v>
      </c>
      <c r="AD82" s="1349"/>
      <c r="AE82" s="1029"/>
      <c r="AF82" s="341"/>
      <c r="AG82" s="130"/>
    </row>
    <row r="83" spans="2:33" ht="14.65" hidden="1" customHeight="1">
      <c r="B83" s="704" t="b">
        <f t="shared" si="0"/>
        <v>0</v>
      </c>
      <c r="E83" s="623">
        <v>15</v>
      </c>
      <c r="F83" s="151" t="s">
        <v>159</v>
      </c>
      <c r="Y83" s="291" t="s">
        <v>171</v>
      </c>
      <c r="AB83" s="263"/>
      <c r="AC83" s="262"/>
      <c r="AD83" s="262"/>
      <c r="AE83" s="261" t="s">
        <v>172</v>
      </c>
      <c r="AF83" s="341"/>
      <c r="AG83" s="130"/>
    </row>
    <row r="84" spans="2:33" ht="19.899999999999999" customHeight="1">
      <c r="E84" s="623">
        <v>20.399999999999999</v>
      </c>
      <c r="F84" s="151" t="s">
        <v>173</v>
      </c>
      <c r="AB84" s="1349" t="s">
        <v>174</v>
      </c>
      <c r="AC84" s="1349"/>
      <c r="AD84" s="1349"/>
      <c r="AE84" s="351" t="s">
        <v>138</v>
      </c>
      <c r="AF84" s="341"/>
      <c r="AG84" s="94" t="s">
        <v>175</v>
      </c>
    </row>
    <row r="85" spans="2:33" ht="19.899999999999999" hidden="1" customHeight="1">
      <c r="B85" s="704" t="b">
        <f t="shared" ref="B85:B95" si="1">HAS_DOC4="да"</f>
        <v>0</v>
      </c>
      <c r="E85" s="623">
        <v>20.399999999999999</v>
      </c>
      <c r="AB85" s="1348" t="s">
        <v>163</v>
      </c>
      <c r="AC85" s="1349" t="s">
        <v>164</v>
      </c>
      <c r="AD85" s="1349"/>
      <c r="AE85" s="374" t="s">
        <v>162</v>
      </c>
      <c r="AF85" s="341"/>
    </row>
    <row r="86" spans="2:33" ht="19.899999999999999" hidden="1" customHeight="1">
      <c r="B86" s="704" t="b">
        <f t="shared" si="1"/>
        <v>0</v>
      </c>
      <c r="E86" s="623">
        <v>20.399999999999999</v>
      </c>
      <c r="AB86" s="1348"/>
      <c r="AC86" s="1349" t="s">
        <v>165</v>
      </c>
      <c r="AD86" s="1349"/>
      <c r="AE86" s="375" t="s">
        <v>162</v>
      </c>
      <c r="AF86" s="341"/>
    </row>
    <row r="87" spans="2:33" ht="19.899999999999999" hidden="1" customHeight="1">
      <c r="B87" s="704" t="b">
        <f t="shared" si="1"/>
        <v>0</v>
      </c>
      <c r="E87" s="623">
        <v>20.399999999999999</v>
      </c>
      <c r="AB87" s="1348"/>
      <c r="AC87" s="1349" t="s">
        <v>167</v>
      </c>
      <c r="AD87" s="1349"/>
      <c r="AE87" s="374" t="s">
        <v>162</v>
      </c>
      <c r="AF87" s="341"/>
    </row>
    <row r="88" spans="2:33" ht="19.899999999999999" hidden="1" customHeight="1">
      <c r="B88" s="704" t="b">
        <f t="shared" si="1"/>
        <v>0</v>
      </c>
      <c r="E88" s="623">
        <v>20.399999999999999</v>
      </c>
      <c r="AB88" s="1348"/>
      <c r="AC88" s="1349" t="s">
        <v>168</v>
      </c>
      <c r="AD88" s="1349"/>
      <c r="AE88" s="700" t="s">
        <v>162</v>
      </c>
      <c r="AF88" s="341"/>
    </row>
    <row r="89" spans="2:33" ht="19.899999999999999" hidden="1" customHeight="1">
      <c r="B89" s="704" t="b">
        <f t="shared" si="1"/>
        <v>0</v>
      </c>
      <c r="E89" s="623">
        <v>20.399999999999999</v>
      </c>
      <c r="AB89" s="1348"/>
      <c r="AC89" s="1349" t="s">
        <v>169</v>
      </c>
      <c r="AD89" s="1349"/>
      <c r="AE89" s="373" t="s">
        <v>162</v>
      </c>
      <c r="AF89" s="341"/>
      <c r="AG89" s="130"/>
    </row>
    <row r="90" spans="2:33" ht="19.899999999999999" hidden="1" customHeight="1">
      <c r="B90" s="704" t="b">
        <f t="shared" si="1"/>
        <v>0</v>
      </c>
      <c r="E90" s="623">
        <v>20.399999999999999</v>
      </c>
      <c r="W90" s="645" t="b">
        <f>ROW(Y90)&gt;ROW(Y$90)</f>
        <v>0</v>
      </c>
      <c r="Y90" s="116" t="s">
        <v>170</v>
      </c>
      <c r="AA90" s="1350" t="s">
        <v>157</v>
      </c>
      <c r="AB90" s="1348" t="s">
        <v>163</v>
      </c>
      <c r="AC90" s="1349" t="s">
        <v>164</v>
      </c>
      <c r="AD90" s="1349"/>
      <c r="AE90" s="374" t="s">
        <v>162</v>
      </c>
      <c r="AF90" s="341"/>
    </row>
    <row r="91" spans="2:33" ht="19.899999999999999" hidden="1" customHeight="1">
      <c r="B91" s="704" t="b">
        <f t="shared" si="1"/>
        <v>0</v>
      </c>
      <c r="E91" s="623">
        <v>20.399999999999999</v>
      </c>
      <c r="W91" s="645" t="b">
        <f>W90</f>
        <v>0</v>
      </c>
      <c r="AA91" s="1350"/>
      <c r="AB91" s="1348"/>
      <c r="AC91" s="1349" t="s">
        <v>165</v>
      </c>
      <c r="AD91" s="1349"/>
      <c r="AE91" s="375" t="s">
        <v>162</v>
      </c>
      <c r="AF91" s="341"/>
    </row>
    <row r="92" spans="2:33" ht="19.899999999999999" hidden="1" customHeight="1">
      <c r="B92" s="704" t="b">
        <f t="shared" si="1"/>
        <v>0</v>
      </c>
      <c r="E92" s="623">
        <v>20.399999999999999</v>
      </c>
      <c r="W92" s="645" t="b">
        <f>W91</f>
        <v>0</v>
      </c>
      <c r="AA92" s="1350"/>
      <c r="AB92" s="1348"/>
      <c r="AC92" s="1349" t="s">
        <v>167</v>
      </c>
      <c r="AD92" s="1349"/>
      <c r="AE92" s="374" t="s">
        <v>162</v>
      </c>
      <c r="AF92" s="341"/>
    </row>
    <row r="93" spans="2:33" ht="19.899999999999999" hidden="1" customHeight="1">
      <c r="B93" s="704" t="b">
        <f t="shared" si="1"/>
        <v>0</v>
      </c>
      <c r="E93" s="623">
        <v>20.399999999999999</v>
      </c>
      <c r="W93" s="645" t="b">
        <f>W92</f>
        <v>0</v>
      </c>
      <c r="AA93" s="1350"/>
      <c r="AB93" s="1348"/>
      <c r="AC93" s="1349" t="s">
        <v>168</v>
      </c>
      <c r="AD93" s="1349"/>
      <c r="AE93" s="700" t="s">
        <v>162</v>
      </c>
      <c r="AF93" s="341"/>
    </row>
    <row r="94" spans="2:33" ht="19.899999999999999" hidden="1" customHeight="1">
      <c r="B94" s="704" t="b">
        <f t="shared" si="1"/>
        <v>0</v>
      </c>
      <c r="E94" s="623">
        <v>20.399999999999999</v>
      </c>
      <c r="W94" s="645" t="b">
        <f>W93</f>
        <v>0</v>
      </c>
      <c r="AA94" s="1350"/>
      <c r="AB94" s="1348"/>
      <c r="AC94" s="1349" t="s">
        <v>169</v>
      </c>
      <c r="AD94" s="1349"/>
      <c r="AE94" s="373" t="s">
        <v>162</v>
      </c>
      <c r="AF94" s="341"/>
      <c r="AG94" s="130"/>
    </row>
    <row r="95" spans="2:33" ht="14.65" hidden="1" customHeight="1">
      <c r="B95" s="704" t="b">
        <f t="shared" si="1"/>
        <v>0</v>
      </c>
      <c r="E95" s="623">
        <v>15</v>
      </c>
      <c r="F95" s="151" t="s">
        <v>173</v>
      </c>
      <c r="Y95" s="291" t="s">
        <v>171</v>
      </c>
      <c r="AB95" s="263"/>
      <c r="AC95" s="262"/>
      <c r="AD95" s="262"/>
      <c r="AE95" s="261" t="s">
        <v>172</v>
      </c>
      <c r="AF95" s="341"/>
      <c r="AG95" s="130"/>
    </row>
    <row r="96" spans="2:33" ht="24" customHeight="1">
      <c r="E96" s="623">
        <v>24.6</v>
      </c>
      <c r="F96" s="151" t="s">
        <v>176</v>
      </c>
      <c r="AB96" s="1349" t="str">
        <f>"Наличие утверждённых ОИВ инвестиционных программ, действующих в течение "&amp;god-2&amp;" года, для организации, оказывающей услуги теплоснабжения"</f>
        <v>Наличие утверждённых ОИВ инвестиционных программ, действующих в течение 2024 года, для организации, оказывающей услуги теплоснабжения</v>
      </c>
      <c r="AC96" s="1349"/>
      <c r="AD96" s="1349"/>
      <c r="AE96" s="351" t="s">
        <v>138</v>
      </c>
      <c r="AF96" s="346"/>
      <c r="AG96" s="94" t="s">
        <v>177</v>
      </c>
    </row>
    <row r="97" spans="2:33" ht="19.899999999999999" hidden="1" customHeight="1">
      <c r="B97" s="704" t="b">
        <f t="shared" ref="B97:B109" si="2">HAS_DOC5="да"</f>
        <v>0</v>
      </c>
      <c r="E97" s="623">
        <v>20.399999999999999</v>
      </c>
      <c r="AB97" s="1348" t="s">
        <v>163</v>
      </c>
      <c r="AC97" s="1349" t="s">
        <v>164</v>
      </c>
      <c r="AD97" s="1349"/>
      <c r="AE97" s="1022"/>
      <c r="AF97" s="341"/>
    </row>
    <row r="98" spans="2:33" ht="19.899999999999999" hidden="1" customHeight="1">
      <c r="B98" s="704" t="b">
        <f t="shared" si="2"/>
        <v>0</v>
      </c>
      <c r="E98" s="623">
        <v>20.399999999999999</v>
      </c>
      <c r="AB98" s="1348"/>
      <c r="AC98" s="1349" t="s">
        <v>165</v>
      </c>
      <c r="AD98" s="1349"/>
      <c r="AE98" s="1023"/>
      <c r="AF98" s="341"/>
    </row>
    <row r="99" spans="2:33" ht="19.899999999999999" hidden="1" customHeight="1">
      <c r="B99" s="704" t="b">
        <f t="shared" si="2"/>
        <v>0</v>
      </c>
      <c r="E99" s="623">
        <v>20.399999999999999</v>
      </c>
      <c r="AB99" s="1348"/>
      <c r="AC99" s="1349" t="s">
        <v>167</v>
      </c>
      <c r="AD99" s="1349"/>
      <c r="AE99" s="1022"/>
      <c r="AF99" s="341"/>
    </row>
    <row r="100" spans="2:33" ht="19.899999999999999" hidden="1" customHeight="1">
      <c r="B100" s="704" t="b">
        <f t="shared" si="2"/>
        <v>0</v>
      </c>
      <c r="E100" s="623">
        <v>20.399999999999999</v>
      </c>
      <c r="AB100" s="1348"/>
      <c r="AC100" s="1349" t="s">
        <v>168</v>
      </c>
      <c r="AD100" s="1349"/>
      <c r="AE100" s="1024"/>
      <c r="AF100" s="341"/>
    </row>
    <row r="101" spans="2:33" ht="19.899999999999999" hidden="1" customHeight="1">
      <c r="B101" s="704" t="b">
        <f t="shared" si="2"/>
        <v>0</v>
      </c>
      <c r="E101" s="623">
        <v>20.399999999999999</v>
      </c>
      <c r="AB101" s="1348"/>
      <c r="AC101" s="1349" t="s">
        <v>178</v>
      </c>
      <c r="AD101" s="1349"/>
      <c r="AE101" s="1024"/>
      <c r="AF101" s="341"/>
    </row>
    <row r="102" spans="2:33" ht="19.899999999999999" hidden="1" customHeight="1">
      <c r="B102" s="704" t="b">
        <f t="shared" si="2"/>
        <v>0</v>
      </c>
      <c r="E102" s="623">
        <v>20.399999999999999</v>
      </c>
      <c r="AB102" s="1348"/>
      <c r="AC102" s="1349" t="s">
        <v>179</v>
      </c>
      <c r="AD102" s="1349"/>
      <c r="AE102" s="1024"/>
      <c r="AF102" s="341"/>
    </row>
    <row r="103" spans="2:33" ht="19.899999999999999" hidden="1" customHeight="1">
      <c r="B103" s="704" t="b">
        <f t="shared" si="2"/>
        <v>0</v>
      </c>
      <c r="E103" s="623">
        <v>20.399999999999999</v>
      </c>
      <c r="W103" s="645" t="b">
        <f>ROW(Y103)&gt;ROW(Y$103)</f>
        <v>0</v>
      </c>
      <c r="Y103" s="116" t="s">
        <v>170</v>
      </c>
      <c r="AA103" s="1350" t="s">
        <v>157</v>
      </c>
      <c r="AB103" s="1348" t="s">
        <v>163</v>
      </c>
      <c r="AC103" s="1349" t="s">
        <v>164</v>
      </c>
      <c r="AD103" s="1349"/>
      <c r="AE103" s="1022"/>
      <c r="AF103" s="341"/>
    </row>
    <row r="104" spans="2:33" ht="19.899999999999999" hidden="1" customHeight="1">
      <c r="B104" s="704" t="b">
        <f t="shared" si="2"/>
        <v>0</v>
      </c>
      <c r="E104" s="623">
        <v>20.399999999999999</v>
      </c>
      <c r="W104" s="645" t="b">
        <f>W103</f>
        <v>0</v>
      </c>
      <c r="AA104" s="1350"/>
      <c r="AB104" s="1348"/>
      <c r="AC104" s="1349" t="s">
        <v>165</v>
      </c>
      <c r="AD104" s="1349"/>
      <c r="AE104" s="1023"/>
      <c r="AF104" s="341"/>
    </row>
    <row r="105" spans="2:33" ht="19.899999999999999" hidden="1" customHeight="1">
      <c r="B105" s="704" t="b">
        <f t="shared" si="2"/>
        <v>0</v>
      </c>
      <c r="E105" s="623">
        <v>20.399999999999999</v>
      </c>
      <c r="W105" s="645" t="b">
        <f>W104</f>
        <v>0</v>
      </c>
      <c r="AA105" s="1350"/>
      <c r="AB105" s="1348"/>
      <c r="AC105" s="1349" t="s">
        <v>167</v>
      </c>
      <c r="AD105" s="1349"/>
      <c r="AE105" s="1022"/>
      <c r="AF105" s="341"/>
    </row>
    <row r="106" spans="2:33" ht="19.899999999999999" hidden="1" customHeight="1">
      <c r="B106" s="704" t="b">
        <f t="shared" si="2"/>
        <v>0</v>
      </c>
      <c r="E106" s="623">
        <v>20.399999999999999</v>
      </c>
      <c r="W106" s="645" t="b">
        <f>W105</f>
        <v>0</v>
      </c>
      <c r="AA106" s="1350"/>
      <c r="AB106" s="1348"/>
      <c r="AC106" s="1349" t="s">
        <v>168</v>
      </c>
      <c r="AD106" s="1349"/>
      <c r="AE106" s="1024"/>
      <c r="AF106" s="341"/>
    </row>
    <row r="107" spans="2:33" ht="19.899999999999999" hidden="1" customHeight="1">
      <c r="B107" s="704" t="b">
        <f t="shared" si="2"/>
        <v>0</v>
      </c>
      <c r="E107" s="623">
        <v>20.399999999999999</v>
      </c>
      <c r="W107" s="645" t="b">
        <f>W106</f>
        <v>0</v>
      </c>
      <c r="AA107" s="1350"/>
      <c r="AB107" s="1348"/>
      <c r="AC107" s="1349" t="s">
        <v>178</v>
      </c>
      <c r="AD107" s="1349"/>
      <c r="AE107" s="1024"/>
      <c r="AF107" s="341"/>
    </row>
    <row r="108" spans="2:33" ht="19.899999999999999" hidden="1" customHeight="1">
      <c r="B108" s="704" t="b">
        <f t="shared" si="2"/>
        <v>0</v>
      </c>
      <c r="E108" s="623">
        <v>20.399999999999999</v>
      </c>
      <c r="W108" s="645" t="b">
        <f>W107</f>
        <v>0</v>
      </c>
      <c r="AA108" s="1350"/>
      <c r="AB108" s="1348"/>
      <c r="AC108" s="1349" t="s">
        <v>179</v>
      </c>
      <c r="AD108" s="1349"/>
      <c r="AE108" s="1024"/>
      <c r="AF108" s="341"/>
    </row>
    <row r="109" spans="2:33" ht="14.65" hidden="1" customHeight="1">
      <c r="B109" s="704" t="b">
        <f t="shared" si="2"/>
        <v>0</v>
      </c>
      <c r="E109" s="623">
        <v>15</v>
      </c>
      <c r="F109" s="151" t="s">
        <v>176</v>
      </c>
      <c r="Y109" s="291" t="s">
        <v>171</v>
      </c>
      <c r="AB109" s="263"/>
      <c r="AC109" s="262"/>
      <c r="AD109" s="262"/>
      <c r="AE109" s="261" t="s">
        <v>172</v>
      </c>
      <c r="AF109" s="341"/>
      <c r="AG109" s="130"/>
    </row>
    <row r="110" spans="2:33" ht="24" customHeight="1">
      <c r="E110" s="623">
        <v>24.6</v>
      </c>
      <c r="F110" s="151" t="s">
        <v>180</v>
      </c>
      <c r="AB110" s="1349" t="str">
        <f>"Наличие утверждённых ОИВ инвестиционных программ, действующих в течение "&amp;god&amp;" года, для организации, оказывающей услуги теплоснабжения"</f>
        <v>Наличие утверждённых ОИВ инвестиционных программ, действующих в течение 2026 года, для организации, оказывающей услуги теплоснабжения</v>
      </c>
      <c r="AC110" s="1349"/>
      <c r="AD110" s="1349"/>
      <c r="AE110" s="351" t="s">
        <v>138</v>
      </c>
      <c r="AF110" s="346"/>
      <c r="AG110" s="94" t="s">
        <v>181</v>
      </c>
    </row>
    <row r="111" spans="2:33" ht="19.899999999999999" hidden="1" customHeight="1">
      <c r="B111" s="704" t="b">
        <f t="shared" ref="B111:B123" si="3">HAS_DOC6="да"</f>
        <v>0</v>
      </c>
      <c r="E111" s="623">
        <v>20.399999999999999</v>
      </c>
      <c r="AB111" s="1348" t="s">
        <v>163</v>
      </c>
      <c r="AC111" s="1349" t="s">
        <v>164</v>
      </c>
      <c r="AD111" s="1349"/>
      <c r="AE111" s="374" t="s">
        <v>162</v>
      </c>
      <c r="AF111" s="341"/>
    </row>
    <row r="112" spans="2:33" ht="19.899999999999999" hidden="1" customHeight="1">
      <c r="B112" s="704" t="b">
        <f t="shared" si="3"/>
        <v>0</v>
      </c>
      <c r="E112" s="623">
        <v>20.399999999999999</v>
      </c>
      <c r="AB112" s="1348"/>
      <c r="AC112" s="1349" t="s">
        <v>165</v>
      </c>
      <c r="AD112" s="1349"/>
      <c r="AE112" s="375" t="s">
        <v>162</v>
      </c>
      <c r="AF112" s="341"/>
    </row>
    <row r="113" spans="2:33" ht="19.899999999999999" hidden="1" customHeight="1">
      <c r="B113" s="704" t="b">
        <f t="shared" si="3"/>
        <v>0</v>
      </c>
      <c r="E113" s="623">
        <v>20.399999999999999</v>
      </c>
      <c r="AB113" s="1348"/>
      <c r="AC113" s="1349" t="s">
        <v>167</v>
      </c>
      <c r="AD113" s="1349"/>
      <c r="AE113" s="374" t="s">
        <v>162</v>
      </c>
      <c r="AF113" s="341"/>
    </row>
    <row r="114" spans="2:33" ht="19.899999999999999" hidden="1" customHeight="1">
      <c r="B114" s="704" t="b">
        <f t="shared" si="3"/>
        <v>0</v>
      </c>
      <c r="E114" s="623">
        <v>20.399999999999999</v>
      </c>
      <c r="AB114" s="1348"/>
      <c r="AC114" s="1349" t="s">
        <v>168</v>
      </c>
      <c r="AD114" s="1349"/>
      <c r="AE114" s="700" t="s">
        <v>162</v>
      </c>
      <c r="AF114" s="341"/>
    </row>
    <row r="115" spans="2:33" ht="19.899999999999999" hidden="1" customHeight="1">
      <c r="B115" s="704" t="b">
        <f t="shared" si="3"/>
        <v>0</v>
      </c>
      <c r="E115" s="623">
        <v>20.399999999999999</v>
      </c>
      <c r="AB115" s="1348"/>
      <c r="AC115" s="1349" t="s">
        <v>178</v>
      </c>
      <c r="AD115" s="1349"/>
      <c r="AE115" s="700"/>
      <c r="AF115" s="341"/>
    </row>
    <row r="116" spans="2:33" ht="19.899999999999999" hidden="1" customHeight="1">
      <c r="B116" s="704" t="b">
        <f t="shared" si="3"/>
        <v>0</v>
      </c>
      <c r="E116" s="623">
        <v>20.399999999999999</v>
      </c>
      <c r="AB116" s="1348"/>
      <c r="AC116" s="1349" t="s">
        <v>179</v>
      </c>
      <c r="AD116" s="1349"/>
      <c r="AE116" s="700"/>
      <c r="AF116" s="341"/>
    </row>
    <row r="117" spans="2:33" ht="19.899999999999999" hidden="1" customHeight="1">
      <c r="B117" s="704" t="b">
        <f t="shared" si="3"/>
        <v>0</v>
      </c>
      <c r="E117" s="623">
        <v>20.399999999999999</v>
      </c>
      <c r="W117" s="645" t="b">
        <f>ROW(Y117)&gt;ROW(Y$117)</f>
        <v>0</v>
      </c>
      <c r="Y117" s="116" t="s">
        <v>170</v>
      </c>
      <c r="AA117" s="1350" t="s">
        <v>157</v>
      </c>
      <c r="AB117" s="1348" t="s">
        <v>163</v>
      </c>
      <c r="AC117" s="1349" t="s">
        <v>164</v>
      </c>
      <c r="AD117" s="1349"/>
      <c r="AE117" s="374" t="s">
        <v>162</v>
      </c>
      <c r="AF117" s="341"/>
    </row>
    <row r="118" spans="2:33" ht="19.899999999999999" hidden="1" customHeight="1">
      <c r="B118" s="704" t="b">
        <f t="shared" si="3"/>
        <v>0</v>
      </c>
      <c r="E118" s="623">
        <v>20.399999999999999</v>
      </c>
      <c r="W118" s="645" t="b">
        <f>W117</f>
        <v>0</v>
      </c>
      <c r="AA118" s="1350"/>
      <c r="AB118" s="1348"/>
      <c r="AC118" s="1349" t="s">
        <v>165</v>
      </c>
      <c r="AD118" s="1349"/>
      <c r="AE118" s="375" t="s">
        <v>162</v>
      </c>
      <c r="AF118" s="341"/>
    </row>
    <row r="119" spans="2:33" ht="19.899999999999999" hidden="1" customHeight="1">
      <c r="B119" s="704" t="b">
        <f t="shared" si="3"/>
        <v>0</v>
      </c>
      <c r="E119" s="623">
        <v>20.399999999999999</v>
      </c>
      <c r="W119" s="645" t="b">
        <f>W118</f>
        <v>0</v>
      </c>
      <c r="AA119" s="1350"/>
      <c r="AB119" s="1348"/>
      <c r="AC119" s="1349" t="s">
        <v>167</v>
      </c>
      <c r="AD119" s="1349"/>
      <c r="AE119" s="374" t="s">
        <v>162</v>
      </c>
      <c r="AF119" s="341"/>
    </row>
    <row r="120" spans="2:33" ht="19.899999999999999" hidden="1" customHeight="1">
      <c r="B120" s="704" t="b">
        <f t="shared" si="3"/>
        <v>0</v>
      </c>
      <c r="E120" s="623">
        <v>20.399999999999999</v>
      </c>
      <c r="W120" s="645" t="b">
        <f>W119</f>
        <v>0</v>
      </c>
      <c r="AA120" s="1350"/>
      <c r="AB120" s="1348"/>
      <c r="AC120" s="1349" t="s">
        <v>168</v>
      </c>
      <c r="AD120" s="1349"/>
      <c r="AE120" s="700" t="s">
        <v>162</v>
      </c>
      <c r="AF120" s="341"/>
    </row>
    <row r="121" spans="2:33" ht="19.899999999999999" hidden="1" customHeight="1">
      <c r="B121" s="704" t="b">
        <f t="shared" si="3"/>
        <v>0</v>
      </c>
      <c r="E121" s="623">
        <v>20.399999999999999</v>
      </c>
      <c r="W121" s="645" t="b">
        <f>W120</f>
        <v>0</v>
      </c>
      <c r="AA121" s="1350"/>
      <c r="AB121" s="1348"/>
      <c r="AC121" s="1349" t="s">
        <v>178</v>
      </c>
      <c r="AD121" s="1349"/>
      <c r="AE121" s="700" t="s">
        <v>162</v>
      </c>
      <c r="AF121" s="341"/>
    </row>
    <row r="122" spans="2:33" ht="19.899999999999999" hidden="1" customHeight="1">
      <c r="B122" s="704" t="b">
        <f t="shared" si="3"/>
        <v>0</v>
      </c>
      <c r="E122" s="623">
        <v>20.399999999999999</v>
      </c>
      <c r="W122" s="645" t="b">
        <f>W121</f>
        <v>0</v>
      </c>
      <c r="AA122" s="1350"/>
      <c r="AB122" s="1348"/>
      <c r="AC122" s="1349" t="s">
        <v>179</v>
      </c>
      <c r="AD122" s="1349"/>
      <c r="AE122" s="702" t="s">
        <v>162</v>
      </c>
      <c r="AF122" s="341"/>
    </row>
    <row r="123" spans="2:33" ht="14.65" hidden="1" customHeight="1">
      <c r="B123" s="704" t="b">
        <f t="shared" si="3"/>
        <v>0</v>
      </c>
      <c r="E123" s="623">
        <v>15</v>
      </c>
      <c r="F123" s="151" t="s">
        <v>180</v>
      </c>
      <c r="Y123" s="291" t="s">
        <v>171</v>
      </c>
      <c r="AB123" s="263"/>
      <c r="AC123" s="262"/>
      <c r="AD123" s="262"/>
      <c r="AE123" s="261" t="s">
        <v>172</v>
      </c>
      <c r="AF123" s="341"/>
      <c r="AG123" s="130"/>
    </row>
    <row r="124" spans="2:33" ht="24" customHeight="1">
      <c r="E124" s="623">
        <v>24.6</v>
      </c>
      <c r="F124" s="151" t="s">
        <v>182</v>
      </c>
      <c r="AB124" s="1349" t="str">
        <f>"Наличие утверждённых ОИВ концессионных соглашений, действующих в течение "&amp;god&amp;" года, для организации, оказывающей услуги теплоснабжения"</f>
        <v>Наличие утверждённых ОИВ концессионных соглашений, действующих в течение 2026 года, для организации, оказывающей услуги теплоснабжения</v>
      </c>
      <c r="AC124" s="1349"/>
      <c r="AD124" s="1349"/>
      <c r="AE124" s="351" t="s">
        <v>138</v>
      </c>
      <c r="AF124" s="346"/>
      <c r="AG124" s="94" t="s">
        <v>183</v>
      </c>
    </row>
    <row r="125" spans="2:33" ht="19.899999999999999" hidden="1" customHeight="1">
      <c r="B125" s="704" t="b">
        <f t="shared" ref="B125:B137" si="4">HAS_DOC7="да"</f>
        <v>0</v>
      </c>
      <c r="E125" s="623">
        <v>20.399999999999999</v>
      </c>
      <c r="AB125" s="1348" t="s">
        <v>163</v>
      </c>
      <c r="AC125" s="1349" t="s">
        <v>164</v>
      </c>
      <c r="AD125" s="1349"/>
      <c r="AE125" s="1022"/>
      <c r="AF125" s="341"/>
    </row>
    <row r="126" spans="2:33" ht="19.899999999999999" hidden="1" customHeight="1">
      <c r="B126" s="704" t="b">
        <f t="shared" si="4"/>
        <v>0</v>
      </c>
      <c r="E126" s="623">
        <v>20.399999999999999</v>
      </c>
      <c r="AB126" s="1348"/>
      <c r="AC126" s="1349" t="s">
        <v>165</v>
      </c>
      <c r="AD126" s="1349"/>
      <c r="AE126" s="1022"/>
      <c r="AF126" s="341"/>
    </row>
    <row r="127" spans="2:33" ht="19.899999999999999" hidden="1" customHeight="1">
      <c r="B127" s="704" t="b">
        <f t="shared" si="4"/>
        <v>0</v>
      </c>
      <c r="E127" s="623">
        <v>20.399999999999999</v>
      </c>
      <c r="AB127" s="1348"/>
      <c r="AC127" s="1349" t="s">
        <v>184</v>
      </c>
      <c r="AD127" s="1349"/>
      <c r="AE127" s="1022"/>
      <c r="AF127" s="341"/>
    </row>
    <row r="128" spans="2:33" ht="19.899999999999999" hidden="1" customHeight="1">
      <c r="B128" s="704" t="b">
        <f t="shared" si="4"/>
        <v>0</v>
      </c>
      <c r="E128" s="623">
        <v>20.399999999999999</v>
      </c>
      <c r="AB128" s="1348"/>
      <c r="AC128" s="1349" t="s">
        <v>168</v>
      </c>
      <c r="AD128" s="1349"/>
      <c r="AE128" s="1024"/>
      <c r="AF128" s="341"/>
    </row>
    <row r="129" spans="2:33" ht="19.899999999999999" hidden="1" customHeight="1">
      <c r="B129" s="704" t="b">
        <f t="shared" si="4"/>
        <v>0</v>
      </c>
      <c r="E129" s="623">
        <v>20.399999999999999</v>
      </c>
      <c r="AB129" s="1348"/>
      <c r="AC129" s="1349" t="s">
        <v>185</v>
      </c>
      <c r="AD129" s="1349"/>
      <c r="AE129" s="1024"/>
      <c r="AF129" s="341"/>
    </row>
    <row r="130" spans="2:33" ht="19.899999999999999" hidden="1" customHeight="1">
      <c r="B130" s="704" t="b">
        <f t="shared" si="4"/>
        <v>0</v>
      </c>
      <c r="E130" s="623">
        <v>20.399999999999999</v>
      </c>
      <c r="AB130" s="1348"/>
      <c r="AC130" s="1349" t="s">
        <v>186</v>
      </c>
      <c r="AD130" s="1349"/>
      <c r="AE130" s="1024"/>
      <c r="AF130" s="341"/>
    </row>
    <row r="131" spans="2:33" ht="19.899999999999999" hidden="1" customHeight="1">
      <c r="B131" s="704" t="b">
        <f t="shared" si="4"/>
        <v>0</v>
      </c>
      <c r="E131" s="623">
        <v>20.399999999999999</v>
      </c>
      <c r="W131" s="645" t="b">
        <f>ROW(Y131)&gt;ROW(Y$131)</f>
        <v>0</v>
      </c>
      <c r="Y131" s="116" t="s">
        <v>170</v>
      </c>
      <c r="AA131" s="1350" t="s">
        <v>157</v>
      </c>
      <c r="AB131" s="1348" t="s">
        <v>163</v>
      </c>
      <c r="AC131" s="1349" t="s">
        <v>164</v>
      </c>
      <c r="AD131" s="1349"/>
      <c r="AE131" s="1022"/>
      <c r="AF131" s="341"/>
    </row>
    <row r="132" spans="2:33" ht="19.899999999999999" hidden="1" customHeight="1">
      <c r="B132" s="704" t="b">
        <f t="shared" si="4"/>
        <v>0</v>
      </c>
      <c r="E132" s="623">
        <v>20.399999999999999</v>
      </c>
      <c r="W132" s="645" t="b">
        <f>W131</f>
        <v>0</v>
      </c>
      <c r="AA132" s="1350"/>
      <c r="AB132" s="1348"/>
      <c r="AC132" s="1349" t="s">
        <v>165</v>
      </c>
      <c r="AD132" s="1349"/>
      <c r="AE132" s="1022"/>
      <c r="AF132" s="341"/>
    </row>
    <row r="133" spans="2:33" ht="19.899999999999999" hidden="1" customHeight="1">
      <c r="B133" s="704" t="b">
        <f t="shared" si="4"/>
        <v>0</v>
      </c>
      <c r="E133" s="623">
        <v>20.399999999999999</v>
      </c>
      <c r="W133" s="645" t="b">
        <f>W132</f>
        <v>0</v>
      </c>
      <c r="AA133" s="1350"/>
      <c r="AB133" s="1348"/>
      <c r="AC133" s="1349" t="s">
        <v>184</v>
      </c>
      <c r="AD133" s="1349"/>
      <c r="AE133" s="1022"/>
      <c r="AF133" s="341"/>
    </row>
    <row r="134" spans="2:33" ht="19.899999999999999" hidden="1" customHeight="1">
      <c r="B134" s="704" t="b">
        <f t="shared" si="4"/>
        <v>0</v>
      </c>
      <c r="E134" s="623">
        <v>20.399999999999999</v>
      </c>
      <c r="W134" s="645" t="b">
        <f>W133</f>
        <v>0</v>
      </c>
      <c r="AA134" s="1350"/>
      <c r="AB134" s="1348"/>
      <c r="AC134" s="1349" t="s">
        <v>168</v>
      </c>
      <c r="AD134" s="1349"/>
      <c r="AE134" s="1024"/>
      <c r="AF134" s="341"/>
    </row>
    <row r="135" spans="2:33" ht="19.899999999999999" hidden="1" customHeight="1">
      <c r="B135" s="704" t="b">
        <f t="shared" si="4"/>
        <v>0</v>
      </c>
      <c r="E135" s="623">
        <v>20.399999999999999</v>
      </c>
      <c r="W135" s="645" t="b">
        <f>W134</f>
        <v>0</v>
      </c>
      <c r="AA135" s="1350"/>
      <c r="AB135" s="1348"/>
      <c r="AC135" s="1349" t="s">
        <v>185</v>
      </c>
      <c r="AD135" s="1349"/>
      <c r="AE135" s="1024"/>
      <c r="AF135" s="341"/>
    </row>
    <row r="136" spans="2:33" ht="19.899999999999999" hidden="1" customHeight="1">
      <c r="B136" s="704" t="b">
        <f t="shared" si="4"/>
        <v>0</v>
      </c>
      <c r="E136" s="623">
        <v>20.399999999999999</v>
      </c>
      <c r="W136" s="645" t="b">
        <f>W135</f>
        <v>0</v>
      </c>
      <c r="AA136" s="1350"/>
      <c r="AB136" s="1348"/>
      <c r="AC136" s="1349" t="s">
        <v>186</v>
      </c>
      <c r="AD136" s="1349"/>
      <c r="AE136" s="1024"/>
      <c r="AF136" s="341"/>
    </row>
    <row r="137" spans="2:33" ht="14.65" hidden="1" customHeight="1">
      <c r="B137" s="704" t="b">
        <f t="shared" si="4"/>
        <v>0</v>
      </c>
      <c r="E137" s="623">
        <v>15</v>
      </c>
      <c r="F137" s="151" t="s">
        <v>182</v>
      </c>
      <c r="Y137" s="291" t="s">
        <v>171</v>
      </c>
      <c r="AB137" s="263"/>
      <c r="AC137" s="262"/>
      <c r="AD137" s="262"/>
      <c r="AE137" s="261" t="s">
        <v>172</v>
      </c>
      <c r="AF137" s="341"/>
      <c r="AG137" s="130"/>
    </row>
    <row r="138" spans="2:33" ht="19.899999999999999" customHeight="1">
      <c r="E138" s="623">
        <v>20.399999999999999</v>
      </c>
      <c r="AB138" s="1349" t="s">
        <v>187</v>
      </c>
      <c r="AC138" s="1349"/>
      <c r="AD138" s="1349"/>
      <c r="AE138" s="333"/>
      <c r="AF138" s="341"/>
      <c r="AG138" s="94" t="s">
        <v>188</v>
      </c>
    </row>
    <row r="139" spans="2:33" ht="25.5" hidden="1" customHeight="1">
      <c r="E139" s="623">
        <v>0</v>
      </c>
      <c r="AB139" s="1349"/>
      <c r="AC139" s="1349"/>
      <c r="AD139" s="1349"/>
      <c r="AE139" s="380"/>
      <c r="AF139" s="346"/>
      <c r="AG139" s="332" t="s">
        <v>189</v>
      </c>
    </row>
    <row r="140" spans="2:33" ht="11.1" customHeight="1">
      <c r="E140" s="623">
        <v>11.3</v>
      </c>
      <c r="AE140" s="151" t="s">
        <v>162</v>
      </c>
      <c r="AF140" s="341"/>
    </row>
    <row r="141" spans="2:33" ht="19.899999999999999" customHeight="1">
      <c r="E141" s="623">
        <v>20.399999999999999</v>
      </c>
      <c r="AB141" s="1349" t="s">
        <v>190</v>
      </c>
      <c r="AC141" s="1349"/>
      <c r="AD141" s="121" t="s">
        <v>191</v>
      </c>
      <c r="AE141" s="333" t="s">
        <v>192</v>
      </c>
      <c r="AF141" s="341"/>
      <c r="AG141" s="94" t="s">
        <v>193</v>
      </c>
    </row>
    <row r="142" spans="2:33" ht="19.899999999999999" customHeight="1">
      <c r="E142" s="623">
        <v>20.399999999999999</v>
      </c>
      <c r="AB142" s="1349"/>
      <c r="AC142" s="1349"/>
      <c r="AD142" s="122" t="s">
        <v>194</v>
      </c>
      <c r="AE142" s="333" t="s">
        <v>195</v>
      </c>
      <c r="AF142" s="341"/>
      <c r="AG142" s="94" t="s">
        <v>196</v>
      </c>
    </row>
    <row r="143" spans="2:33" ht="19.899999999999999" customHeight="1">
      <c r="E143" s="623">
        <v>20.399999999999999</v>
      </c>
      <c r="AB143" s="1349"/>
      <c r="AC143" s="1349"/>
      <c r="AD143" s="122" t="s">
        <v>197</v>
      </c>
      <c r="AE143" s="333" t="s">
        <v>198</v>
      </c>
      <c r="AF143" s="341"/>
      <c r="AG143" s="94" t="s">
        <v>199</v>
      </c>
    </row>
    <row r="144" spans="2:33" ht="19.899999999999999" customHeight="1">
      <c r="E144" s="623">
        <v>20.399999999999999</v>
      </c>
      <c r="AB144" s="1349"/>
      <c r="AC144" s="1349"/>
      <c r="AD144" s="121" t="s">
        <v>200</v>
      </c>
      <c r="AE144" s="333" t="s">
        <v>201</v>
      </c>
      <c r="AF144" s="341"/>
      <c r="AG144" s="94" t="s">
        <v>202</v>
      </c>
    </row>
    <row r="145" spans="5:38" ht="11.1" customHeight="1">
      <c r="E145" s="623">
        <v>11.3</v>
      </c>
      <c r="AB145" s="290"/>
      <c r="AC145" s="290"/>
      <c r="AD145" s="290"/>
      <c r="AE145" s="291"/>
      <c r="AF145" s="341"/>
    </row>
    <row r="146" spans="5:38" ht="11.1" customHeight="1">
      <c r="E146" s="623">
        <v>11.3</v>
      </c>
      <c r="AB146" s="1387" t="s">
        <v>203</v>
      </c>
      <c r="AC146" s="1387"/>
      <c r="AD146" s="1387"/>
      <c r="AE146" s="1387"/>
      <c r="AF146" s="341"/>
    </row>
    <row r="147" spans="5:38" ht="14.65" customHeight="1">
      <c r="E147" s="623">
        <v>15</v>
      </c>
      <c r="AB147" s="1351" t="s">
        <v>204</v>
      </c>
      <c r="AC147" s="1351"/>
      <c r="AD147" s="1351"/>
      <c r="AE147" s="1351"/>
      <c r="AF147" s="367"/>
    </row>
    <row r="148" spans="5:38" ht="14.65" customHeight="1">
      <c r="E148" s="623">
        <v>15</v>
      </c>
      <c r="AB148" s="1351" t="s">
        <v>205</v>
      </c>
      <c r="AC148" s="1351"/>
      <c r="AD148" s="1351"/>
      <c r="AE148" s="1351"/>
      <c r="AF148" s="367"/>
    </row>
    <row r="149" spans="5:38" ht="14.65" customHeight="1">
      <c r="E149" s="623">
        <v>15</v>
      </c>
      <c r="AB149" s="1351" t="s">
        <v>206</v>
      </c>
      <c r="AC149" s="1351"/>
      <c r="AD149" s="1351"/>
      <c r="AE149" s="1351"/>
      <c r="AF149" s="367"/>
      <c r="AL149" s="1030"/>
    </row>
    <row r="150" spans="5:38" ht="16.899999999999999" customHeight="1">
      <c r="E150" s="623">
        <v>17.3</v>
      </c>
      <c r="AB150" s="1397" t="s">
        <v>207</v>
      </c>
      <c r="AC150" s="1397"/>
      <c r="AD150" s="1397"/>
      <c r="AE150" s="1397"/>
      <c r="AF150" s="120"/>
    </row>
    <row r="151" spans="5:38" ht="16.899999999999999" customHeight="1">
      <c r="E151" s="623">
        <v>17.3</v>
      </c>
      <c r="AB151" s="1393" t="s">
        <v>208</v>
      </c>
      <c r="AC151" s="1393"/>
      <c r="AD151" s="1393"/>
      <c r="AE151" s="1393"/>
      <c r="AF151" s="120"/>
    </row>
    <row r="152" spans="5:38" ht="29.25" customHeight="1">
      <c r="E152" s="623">
        <v>30</v>
      </c>
      <c r="AB152" s="1393" t="s">
        <v>209</v>
      </c>
      <c r="AC152" s="1393"/>
      <c r="AD152" s="1393"/>
      <c r="AE152" s="1393"/>
      <c r="AF152" s="120"/>
    </row>
    <row r="153" spans="5:38" ht="15.4" customHeight="1">
      <c r="E153" s="623">
        <v>15.8</v>
      </c>
      <c r="AB153" s="1393" t="s">
        <v>210</v>
      </c>
      <c r="AC153" s="1393"/>
      <c r="AD153" s="1393"/>
      <c r="AE153" s="1393"/>
      <c r="AF153" s="120"/>
    </row>
    <row r="154" spans="5:38" ht="55.5" customHeight="1">
      <c r="E154" s="623">
        <v>57</v>
      </c>
      <c r="AB154" s="1393" t="s">
        <v>211</v>
      </c>
      <c r="AC154" s="1393"/>
      <c r="AD154" s="1393"/>
      <c r="AE154" s="1393"/>
      <c r="AF154" s="120"/>
    </row>
    <row r="155" spans="5:38" ht="45.4" customHeight="1">
      <c r="E155" s="623">
        <v>46.5</v>
      </c>
      <c r="AB155" s="1393" t="s">
        <v>212</v>
      </c>
      <c r="AC155" s="1393"/>
      <c r="AD155" s="1393"/>
      <c r="AE155" s="1393"/>
      <c r="AF155" s="120"/>
    </row>
    <row r="156" spans="5:38" ht="27.2" customHeight="1">
      <c r="E156" s="623">
        <v>27.8</v>
      </c>
      <c r="AB156" s="1393" t="s">
        <v>213</v>
      </c>
      <c r="AC156" s="1393"/>
      <c r="AD156" s="1393"/>
      <c r="AE156" s="1393"/>
      <c r="AF156" s="120"/>
    </row>
    <row r="157" spans="5:38" ht="26.25" customHeight="1">
      <c r="E157" s="623">
        <v>27</v>
      </c>
      <c r="AB157" s="1393" t="s">
        <v>214</v>
      </c>
      <c r="AC157" s="1393"/>
      <c r="AD157" s="1393"/>
      <c r="AE157" s="1393"/>
      <c r="AF157" s="120"/>
    </row>
    <row r="158" spans="5:38" ht="14.65" customHeight="1">
      <c r="E158" s="623">
        <v>15</v>
      </c>
      <c r="AB158" s="1394" t="s">
        <v>215</v>
      </c>
      <c r="AC158" s="1394"/>
      <c r="AD158" s="1394"/>
      <c r="AE158" s="1394"/>
      <c r="AF158" s="120"/>
    </row>
    <row r="159" spans="5:38" ht="23.45" customHeight="1">
      <c r="E159" s="623">
        <v>24</v>
      </c>
      <c r="AB159" s="1393" t="s">
        <v>216</v>
      </c>
      <c r="AC159" s="1393"/>
      <c r="AD159" s="1393"/>
      <c r="AE159" s="1393"/>
      <c r="AF159" s="367"/>
    </row>
    <row r="160" spans="5:38" ht="17.649999999999999" customHeight="1">
      <c r="E160" s="623">
        <v>18</v>
      </c>
      <c r="AB160" s="1358" t="s">
        <v>217</v>
      </c>
      <c r="AC160" s="1359"/>
      <c r="AD160" s="1359"/>
      <c r="AE160" s="1360"/>
      <c r="AF160" s="367"/>
    </row>
    <row r="161" spans="2:38" ht="16.149999999999999" customHeight="1">
      <c r="E161" s="623">
        <v>16.5</v>
      </c>
      <c r="AB161" s="1394" t="s">
        <v>218</v>
      </c>
      <c r="AC161" s="1394"/>
      <c r="AD161" s="1394"/>
      <c r="AE161" s="1394"/>
      <c r="AF161" s="367"/>
    </row>
    <row r="162" spans="2:38" ht="40.35" customHeight="1">
      <c r="E162" s="623">
        <v>41.3</v>
      </c>
      <c r="AB162" s="1361"/>
      <c r="AC162" s="1361"/>
      <c r="AD162" s="1361"/>
      <c r="AE162" s="1361"/>
      <c r="AF162" s="367"/>
    </row>
    <row r="163" spans="2:38" ht="11.65" customHeight="1">
      <c r="E163" s="623">
        <v>12</v>
      </c>
      <c r="AD163" s="353" t="b">
        <f>COUNTIF(AE169:AE202,"Водоснабжение")-COUNTIF(AE169:AE202,"Транспортировка воды")&gt;0</f>
        <v>0</v>
      </c>
      <c r="AE163" s="353" t="b">
        <f>COUNTIF(AE169:AE202,"Водоотведение")-COUNTIF(AE169:AE202,"Транспортировка сточных вод")&gt;0</f>
        <v>0</v>
      </c>
      <c r="AF163" s="336" t="b">
        <f>COUNTIF(AE169:AE202,"Транспортировка воды")&gt;0</f>
        <v>0</v>
      </c>
      <c r="AG163" s="188" t="b">
        <f>COUNTIF(AE169:AE202,"Транспортировка сточных вод")&gt;0</f>
        <v>0</v>
      </c>
    </row>
    <row r="164" spans="2:38" ht="19.899999999999999" customHeight="1">
      <c r="E164" s="623">
        <v>20.399999999999999</v>
      </c>
      <c r="AB164" s="1395" t="s">
        <v>219</v>
      </c>
      <c r="AC164" s="1395"/>
      <c r="AD164" s="1395"/>
      <c r="AE164" s="1396"/>
      <c r="AF164" s="344"/>
      <c r="AG164" s="117"/>
      <c r="AH164" s="117"/>
      <c r="AI164" s="117"/>
      <c r="AJ164" s="117"/>
      <c r="AK164" s="117"/>
      <c r="AL164" s="127"/>
    </row>
    <row r="165" spans="2:38" ht="24" customHeight="1">
      <c r="E165" s="623">
        <v>24.6</v>
      </c>
      <c r="AB165" s="1366" t="s">
        <v>220</v>
      </c>
      <c r="AC165" s="1366"/>
      <c r="AD165" s="1366"/>
      <c r="AE165" s="656" t="s">
        <v>138</v>
      </c>
      <c r="AF165" s="346"/>
      <c r="AG165" s="117" t="s">
        <v>221</v>
      </c>
      <c r="AH165" s="117"/>
      <c r="AI165" s="117"/>
      <c r="AJ165" s="117"/>
      <c r="AK165" s="117"/>
      <c r="AL165" s="127"/>
    </row>
    <row r="166" spans="2:38" ht="19.899999999999999" customHeight="1">
      <c r="B166" s="743" t="b">
        <f>FIRST_TIME_REG&lt;&gt;"да"</f>
        <v>1</v>
      </c>
      <c r="E166" s="623">
        <v>20.399999999999999</v>
      </c>
      <c r="AB166" s="1362" t="s">
        <v>222</v>
      </c>
      <c r="AC166" s="1363"/>
      <c r="AD166" s="657" t="s">
        <v>165</v>
      </c>
      <c r="AE166" s="366" t="s">
        <v>223</v>
      </c>
      <c r="AF166" s="341"/>
      <c r="AG166" s="117" t="s">
        <v>224</v>
      </c>
      <c r="AH166" s="117"/>
      <c r="AI166" s="117"/>
      <c r="AJ166" s="117"/>
      <c r="AK166" s="117"/>
      <c r="AL166" s="127"/>
    </row>
    <row r="167" spans="2:38" ht="19.899999999999999" customHeight="1">
      <c r="B167" s="743" t="b">
        <f>FIRST_TIME_REG&lt;&gt;"да"</f>
        <v>1</v>
      </c>
      <c r="E167" s="623">
        <v>20.399999999999999</v>
      </c>
      <c r="AB167" s="1362"/>
      <c r="AC167" s="1363"/>
      <c r="AD167" s="354" t="s">
        <v>184</v>
      </c>
      <c r="AE167" s="333" t="s">
        <v>225</v>
      </c>
      <c r="AF167" s="341"/>
      <c r="AG167" s="94" t="s">
        <v>226</v>
      </c>
    </row>
    <row r="168" spans="2:38" ht="19.899999999999999" customHeight="1">
      <c r="B168" s="743" t="b">
        <f>FIRST_TIME_REG&lt;&gt;"да"</f>
        <v>1</v>
      </c>
      <c r="E168" s="623">
        <v>20.399999999999999</v>
      </c>
      <c r="AB168" s="1364"/>
      <c r="AC168" s="1365"/>
      <c r="AD168" s="354" t="s">
        <v>168</v>
      </c>
      <c r="AE168" s="701">
        <v>45258</v>
      </c>
      <c r="AF168" s="341"/>
      <c r="AG168" s="94" t="s">
        <v>227</v>
      </c>
    </row>
    <row r="169" spans="2:38" ht="14.65" customHeight="1">
      <c r="E169" s="623">
        <v>15</v>
      </c>
      <c r="AB169" s="1352" t="str">
        <f>"Заявление организации"</f>
        <v>Заявление организации</v>
      </c>
      <c r="AC169" s="1353"/>
      <c r="AD169" s="355"/>
      <c r="AE169" s="356"/>
      <c r="AF169" s="336"/>
      <c r="AI169" s="174"/>
    </row>
    <row r="170" spans="2:38" ht="19.899999999999999" hidden="1" customHeight="1">
      <c r="E170" s="623">
        <v>20.399999999999999</v>
      </c>
      <c r="G170" s="714">
        <f>Z170</f>
        <v>0</v>
      </c>
      <c r="W170" s="645" t="b">
        <f>Z170&gt;0</f>
        <v>0</v>
      </c>
      <c r="X170" s="291" t="s">
        <v>228</v>
      </c>
      <c r="Z170" s="1382">
        <v>0</v>
      </c>
      <c r="AB170" s="1354"/>
      <c r="AC170" s="1355"/>
      <c r="AD170" s="361" t="str">
        <f>"Тариф "&amp;Z170</f>
        <v>Тариф 0</v>
      </c>
      <c r="AE170" s="362" t="s">
        <v>229</v>
      </c>
      <c r="AF170" s="1383" t="s">
        <v>157</v>
      </c>
      <c r="AG170" s="94" t="str">
        <f>AD170&amp;" ("&amp;AE170&amp;") - "&amp;AE172&amp;IF(AE178="",""," ("&amp;AE178&amp;")")</f>
        <v>Тариф 0 (Теплоснабжение) - Тарифы на теплоноситель</v>
      </c>
      <c r="AH170" s="94" t="str">
        <f>AE176</f>
        <v>Производство</v>
      </c>
      <c r="AI170" s="174" t="str">
        <f>AE172</f>
        <v>Тарифы на теплоноситель</v>
      </c>
      <c r="AJ170" s="94">
        <f>AE178</f>
        <v>0</v>
      </c>
      <c r="AK170" s="94" t="str">
        <f>AE174</f>
        <v>одноставочный</v>
      </c>
      <c r="AL170" s="173" t="str">
        <f>AE175</f>
        <v>Производство теплоносителя</v>
      </c>
    </row>
    <row r="171" spans="2:38" ht="19.899999999999999" hidden="1" customHeight="1">
      <c r="E171" s="623">
        <v>20.399999999999999</v>
      </c>
      <c r="G171" s="714">
        <f t="shared" ref="G171:G182" si="5">G170</f>
        <v>0</v>
      </c>
      <c r="N171" s="736">
        <f>AE171</f>
        <v>0</v>
      </c>
      <c r="W171" s="645" t="b">
        <f t="shared" ref="W171:W182" si="6">W170</f>
        <v>0</v>
      </c>
      <c r="Z171" s="1382"/>
      <c r="AB171" s="1354"/>
      <c r="AC171" s="1355"/>
      <c r="AD171" s="357" t="s">
        <v>230</v>
      </c>
      <c r="AE171" s="352"/>
      <c r="AF171" s="1383"/>
    </row>
    <row r="172" spans="2:38" ht="29.25" hidden="1" customHeight="1">
      <c r="E172" s="623">
        <v>30</v>
      </c>
      <c r="G172" s="714">
        <f t="shared" si="5"/>
        <v>0</v>
      </c>
      <c r="W172" s="645" t="b">
        <f t="shared" si="6"/>
        <v>0</v>
      </c>
      <c r="Z172" s="1382"/>
      <c r="AB172" s="1354"/>
      <c r="AC172" s="1355"/>
      <c r="AD172" s="357" t="s">
        <v>231</v>
      </c>
      <c r="AE172" s="352" t="s">
        <v>232</v>
      </c>
      <c r="AF172" s="1383"/>
    </row>
    <row r="173" spans="2:38" ht="19.899999999999999" hidden="1" customHeight="1">
      <c r="E173" s="623">
        <v>20.399999999999999</v>
      </c>
      <c r="G173" s="714">
        <f t="shared" si="5"/>
        <v>0</v>
      </c>
      <c r="W173" s="645" t="b">
        <f t="shared" si="6"/>
        <v>0</v>
      </c>
      <c r="Z173" s="1382"/>
      <c r="AB173" s="1354"/>
      <c r="AC173" s="1355"/>
      <c r="AD173" s="357" t="s">
        <v>233</v>
      </c>
      <c r="AE173" s="2"/>
      <c r="AF173" s="1383"/>
    </row>
    <row r="174" spans="2:38" ht="19.899999999999999" hidden="1" customHeight="1">
      <c r="E174" s="623">
        <v>20.399999999999999</v>
      </c>
      <c r="G174" s="714">
        <f t="shared" si="5"/>
        <v>0</v>
      </c>
      <c r="W174" s="645" t="b">
        <f t="shared" si="6"/>
        <v>0</v>
      </c>
      <c r="Z174" s="1382"/>
      <c r="AB174" s="1354"/>
      <c r="AC174" s="1355"/>
      <c r="AD174" s="357" t="s">
        <v>234</v>
      </c>
      <c r="AE174" s="359" t="s">
        <v>235</v>
      </c>
      <c r="AF174" s="1383"/>
    </row>
    <row r="175" spans="2:38" ht="19.899999999999999" hidden="1" customHeight="1">
      <c r="E175" s="623">
        <v>20.399999999999999</v>
      </c>
      <c r="G175" s="714">
        <f t="shared" si="5"/>
        <v>0</v>
      </c>
      <c r="W175" s="645" t="b">
        <f t="shared" si="6"/>
        <v>0</v>
      </c>
      <c r="Z175" s="1382"/>
      <c r="AB175" s="1354"/>
      <c r="AC175" s="1355"/>
      <c r="AD175" s="357" t="s">
        <v>236</v>
      </c>
      <c r="AE175" s="352" t="s">
        <v>237</v>
      </c>
      <c r="AF175" s="1383"/>
    </row>
    <row r="176" spans="2:38" ht="25.7" hidden="1" customHeight="1">
      <c r="E176" s="623">
        <v>26.3</v>
      </c>
      <c r="G176" s="714">
        <f t="shared" si="5"/>
        <v>0</v>
      </c>
      <c r="W176" s="645" t="b">
        <f t="shared" si="6"/>
        <v>0</v>
      </c>
      <c r="Z176" s="1382"/>
      <c r="AB176" s="1354"/>
      <c r="AC176" s="1355"/>
      <c r="AD176" s="121" t="s">
        <v>238</v>
      </c>
      <c r="AE176" s="352" t="s">
        <v>239</v>
      </c>
      <c r="AF176" s="1383"/>
    </row>
    <row r="177" spans="1:38" ht="25.7" hidden="1" customHeight="1">
      <c r="E177" s="623">
        <v>26.3</v>
      </c>
      <c r="G177" s="714">
        <f t="shared" si="5"/>
        <v>0</v>
      </c>
      <c r="W177" s="645" t="b">
        <f t="shared" si="6"/>
        <v>0</v>
      </c>
      <c r="Z177" s="1382"/>
      <c r="AB177" s="1354"/>
      <c r="AC177" s="1355"/>
      <c r="AD177" s="121" t="s">
        <v>240</v>
      </c>
      <c r="AE177" s="373"/>
      <c r="AF177" s="1383"/>
    </row>
    <row r="178" spans="1:38" ht="19.899999999999999" hidden="1" customHeight="1">
      <c r="E178" s="623">
        <v>20.399999999999999</v>
      </c>
      <c r="G178" s="714">
        <f t="shared" si="5"/>
        <v>0</v>
      </c>
      <c r="W178" s="645" t="b">
        <f t="shared" si="6"/>
        <v>0</v>
      </c>
      <c r="Z178" s="1382"/>
      <c r="AB178" s="1354"/>
      <c r="AC178" s="1355"/>
      <c r="AD178" s="121" t="s">
        <v>241</v>
      </c>
      <c r="AE178" s="1000"/>
      <c r="AF178" s="1383"/>
    </row>
    <row r="179" spans="1:38" ht="19.899999999999999" hidden="1" customHeight="1">
      <c r="B179" s="743" t="b">
        <f>org_declaration="Заявление организации"</f>
        <v>1</v>
      </c>
      <c r="E179" s="623">
        <v>20.399999999999999</v>
      </c>
      <c r="G179" s="714">
        <f t="shared" si="5"/>
        <v>0</v>
      </c>
      <c r="W179" s="645" t="b">
        <f t="shared" si="6"/>
        <v>0</v>
      </c>
      <c r="Z179" s="1382"/>
      <c r="AB179" s="1354"/>
      <c r="AC179" s="1355"/>
      <c r="AD179" s="357" t="s">
        <v>242</v>
      </c>
      <c r="AE179" s="3"/>
      <c r="AF179" s="1383"/>
    </row>
    <row r="180" spans="1:38" ht="19.899999999999999" hidden="1" customHeight="1">
      <c r="B180" s="743" t="b">
        <f>org_declaration="Заявление организации"</f>
        <v>1</v>
      </c>
      <c r="E180" s="623">
        <v>20.399999999999999</v>
      </c>
      <c r="G180" s="714">
        <f t="shared" si="5"/>
        <v>0</v>
      </c>
      <c r="W180" s="645" t="b">
        <f t="shared" si="6"/>
        <v>0</v>
      </c>
      <c r="Z180" s="1382"/>
      <c r="AB180" s="1354"/>
      <c r="AC180" s="1355"/>
      <c r="AD180" s="357" t="s">
        <v>243</v>
      </c>
      <c r="AE180" s="4"/>
      <c r="AF180" s="1383"/>
    </row>
    <row r="181" spans="1:38" ht="19.899999999999999" hidden="1" customHeight="1">
      <c r="B181" s="743" t="b">
        <f>org_declaration="Заявление организации"</f>
        <v>1</v>
      </c>
      <c r="E181" s="623">
        <v>20.399999999999999</v>
      </c>
      <c r="G181" s="714">
        <f t="shared" si="5"/>
        <v>0</v>
      </c>
      <c r="W181" s="645" t="b">
        <f t="shared" si="6"/>
        <v>0</v>
      </c>
      <c r="Z181" s="1382"/>
      <c r="AB181" s="1354"/>
      <c r="AC181" s="1355"/>
      <c r="AD181" s="357" t="s">
        <v>244</v>
      </c>
      <c r="AE181" s="3"/>
      <c r="AF181" s="1383"/>
    </row>
    <row r="182" spans="1:38" ht="19.899999999999999" hidden="1" customHeight="1">
      <c r="B182" s="743" t="b">
        <f>org_declaration="Заявление организации"</f>
        <v>1</v>
      </c>
      <c r="E182" s="623">
        <v>20.399999999999999</v>
      </c>
      <c r="G182" s="714">
        <f t="shared" si="5"/>
        <v>0</v>
      </c>
      <c r="W182" s="645" t="b">
        <f t="shared" si="6"/>
        <v>0</v>
      </c>
      <c r="Z182" s="1382"/>
      <c r="AB182" s="1354"/>
      <c r="AC182" s="1355"/>
      <c r="AD182" s="357" t="s">
        <v>245</v>
      </c>
      <c r="AE182" s="700">
        <f>IF(AE$24="","",DATE(AE$24,1,1))</f>
        <v>46023</v>
      </c>
      <c r="AF182" s="1383"/>
    </row>
    <row r="183" spans="1:38" ht="19.899999999999999" hidden="1" customHeight="1">
      <c r="B183" s="743" t="b">
        <f>org_declaration="Заявление организации"</f>
        <v>1</v>
      </c>
      <c r="E183" s="623">
        <v>20.399999999999999</v>
      </c>
      <c r="G183" s="714">
        <f>G181</f>
        <v>0</v>
      </c>
      <c r="W183" s="645" t="b">
        <f>W181</f>
        <v>0</v>
      </c>
      <c r="Z183" s="1382"/>
      <c r="AB183" s="1354"/>
      <c r="AC183" s="1355"/>
      <c r="AD183" s="357" t="s">
        <v>246</v>
      </c>
      <c r="AE183" s="5" t="str">
        <f>IF(method_reg="","",method_reg)</f>
        <v>Метод индексации</v>
      </c>
      <c r="AF183" s="1383"/>
    </row>
    <row r="184" spans="1:38" ht="22.15" hidden="1" customHeight="1">
      <c r="B184" s="743" t="b">
        <f>AND(org_declaration="Заявление организации",AE183&lt;&gt;"Метод экономически обоснованных расходов")</f>
        <v>1</v>
      </c>
      <c r="E184" s="623">
        <v>22.8</v>
      </c>
      <c r="G184" s="714">
        <f>G183</f>
        <v>0</v>
      </c>
      <c r="W184" s="645" t="b">
        <f>W183</f>
        <v>0</v>
      </c>
      <c r="Z184" s="1382"/>
      <c r="AB184" s="1354"/>
      <c r="AC184" s="1355"/>
      <c r="AD184" s="121" t="str">
        <f>IF(OR(AE183="экономически обоснованных расходов (затрат)",AE183="сравнения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184" s="5">
        <f>IF(first_year="","",first_year)</f>
        <v>2024</v>
      </c>
      <c r="AF184" s="1383"/>
    </row>
    <row r="185" spans="1:38" ht="19.899999999999999" hidden="1" customHeight="1">
      <c r="B185" s="743" t="b">
        <f>AND(org_declaration="Заявление организации",AE183&lt;&gt;"Метод экономически обоснованных расходов")</f>
        <v>1</v>
      </c>
      <c r="E185" s="623">
        <v>20.399999999999999</v>
      </c>
      <c r="G185" s="714">
        <f>G184</f>
        <v>0</v>
      </c>
      <c r="W185" s="645" t="b">
        <f>W184</f>
        <v>0</v>
      </c>
      <c r="Z185" s="1382"/>
      <c r="AB185" s="1354"/>
      <c r="AC185" s="1355"/>
      <c r="AD185" s="357" t="s">
        <v>92</v>
      </c>
      <c r="AE185" s="5">
        <f>IF(PERIOD_LENGTH="","",PERIOD_LENGTH)</f>
        <v>5</v>
      </c>
      <c r="AF185" s="1383"/>
    </row>
    <row r="186" spans="1:38" s="1031" customFormat="1" ht="19.5" customHeight="1">
      <c r="A186" s="1016"/>
      <c r="B186" s="718"/>
      <c r="C186" s="1016"/>
      <c r="D186" s="1016"/>
      <c r="E186" s="623">
        <v>20.399999999999999</v>
      </c>
      <c r="F186" s="750"/>
      <c r="G186" s="714" t="str">
        <f>Z186</f>
        <v>1</v>
      </c>
      <c r="H186" s="1016"/>
      <c r="I186" s="1016"/>
      <c r="J186" s="1016"/>
      <c r="K186" s="1016"/>
      <c r="L186" s="1016"/>
      <c r="M186" s="1016"/>
      <c r="N186" s="1016"/>
      <c r="O186" s="1016"/>
      <c r="P186" s="1016"/>
      <c r="Q186" s="1016"/>
      <c r="R186" s="1016"/>
      <c r="S186" s="1016"/>
      <c r="T186" s="1016"/>
      <c r="U186" s="1016"/>
      <c r="V186" s="1016"/>
      <c r="W186" s="645" t="b">
        <f>Z186&gt;0</f>
        <v>1</v>
      </c>
      <c r="X186" s="291"/>
      <c r="Y186" s="1016"/>
      <c r="Z186" s="1382" t="s">
        <v>247</v>
      </c>
      <c r="AA186" s="646"/>
      <c r="AB186" s="1356"/>
      <c r="AC186" s="1357"/>
      <c r="AD186" s="361" t="str">
        <f>"Тариф "&amp;Z186</f>
        <v>Тариф 1</v>
      </c>
      <c r="AE186" s="362" t="s">
        <v>229</v>
      </c>
      <c r="AF186" s="1383" t="s">
        <v>157</v>
      </c>
      <c r="AG186" s="94" t="str">
        <f>AD186&amp;" ("&amp;AE186&amp;") - "&amp;AE188&amp;IF(AE194="",""," ("&amp;AE194&amp;")")</f>
        <v>Тариф 1 (Теплоснабжение) - Тарифы на теплоноситель (Не определено)</v>
      </c>
      <c r="AH186" s="94" t="str">
        <f>AE192</f>
        <v>Производство</v>
      </c>
      <c r="AI186" s="174" t="str">
        <f>AE188</f>
        <v>Тарифы на теплоноситель</v>
      </c>
      <c r="AJ186" s="94" t="str">
        <f>AE194</f>
        <v>Не определено</v>
      </c>
      <c r="AK186" s="94" t="str">
        <f>AE190</f>
        <v>одноставочный</v>
      </c>
      <c r="AL186" s="173" t="str">
        <f>AE191</f>
        <v>Производство теплоносителя</v>
      </c>
    </row>
    <row r="187" spans="1:38" s="1032" customFormat="1" ht="19.5" customHeight="1">
      <c r="A187" s="1016"/>
      <c r="B187" s="718"/>
      <c r="C187" s="1016"/>
      <c r="D187" s="1016"/>
      <c r="E187" s="623">
        <v>20.399999999999999</v>
      </c>
      <c r="F187" s="750"/>
      <c r="G187" s="714" t="str">
        <f t="shared" ref="G187:G198" si="7">G186</f>
        <v>1</v>
      </c>
      <c r="H187" s="1016"/>
      <c r="I187" s="1016"/>
      <c r="J187" s="1016"/>
      <c r="K187" s="1016"/>
      <c r="L187" s="1016"/>
      <c r="M187" s="1016"/>
      <c r="N187" s="736" t="str">
        <f>AE187</f>
        <v>ТН.42.27820148.0001</v>
      </c>
      <c r="O187" s="1016"/>
      <c r="P187" s="1016"/>
      <c r="Q187" s="1016"/>
      <c r="R187" s="1016"/>
      <c r="S187" s="1016"/>
      <c r="T187" s="1016"/>
      <c r="U187" s="1016"/>
      <c r="V187" s="1016"/>
      <c r="W187" s="645" t="b">
        <f t="shared" ref="W187:W198" si="8">W186</f>
        <v>1</v>
      </c>
      <c r="X187" s="1016"/>
      <c r="Y187" s="1016"/>
      <c r="Z187" s="1382"/>
      <c r="AA187" s="646"/>
      <c r="AB187" s="1356"/>
      <c r="AC187" s="1357"/>
      <c r="AD187" s="357" t="s">
        <v>230</v>
      </c>
      <c r="AE187" s="352" t="s">
        <v>248</v>
      </c>
      <c r="AF187" s="1383"/>
      <c r="AG187" s="1018"/>
      <c r="AH187" s="1018"/>
      <c r="AI187" s="1018"/>
      <c r="AJ187" s="1018"/>
      <c r="AK187" s="1018"/>
      <c r="AL187" s="1018"/>
    </row>
    <row r="188" spans="1:38" s="1033" customFormat="1" ht="29.25" customHeight="1">
      <c r="A188" s="1016"/>
      <c r="B188" s="718"/>
      <c r="C188" s="1016"/>
      <c r="D188" s="1016"/>
      <c r="E188" s="623">
        <v>30</v>
      </c>
      <c r="F188" s="750"/>
      <c r="G188" s="714" t="str">
        <f t="shared" si="7"/>
        <v>1</v>
      </c>
      <c r="H188" s="1016"/>
      <c r="I188" s="1016"/>
      <c r="J188" s="1016"/>
      <c r="K188" s="1016"/>
      <c r="L188" s="1016"/>
      <c r="M188" s="1016"/>
      <c r="N188" s="1016"/>
      <c r="O188" s="1016"/>
      <c r="P188" s="1016"/>
      <c r="Q188" s="1016"/>
      <c r="R188" s="1016"/>
      <c r="S188" s="1016"/>
      <c r="T188" s="1016"/>
      <c r="U188" s="1016"/>
      <c r="V188" s="1016"/>
      <c r="W188" s="645" t="b">
        <f t="shared" si="8"/>
        <v>1</v>
      </c>
      <c r="X188" s="1016"/>
      <c r="Y188" s="1016"/>
      <c r="Z188" s="1382"/>
      <c r="AA188" s="646"/>
      <c r="AB188" s="1356"/>
      <c r="AC188" s="1357"/>
      <c r="AD188" s="357" t="s">
        <v>231</v>
      </c>
      <c r="AE188" s="352" t="s">
        <v>232</v>
      </c>
      <c r="AF188" s="1383"/>
      <c r="AG188" s="1018"/>
      <c r="AH188" s="1018"/>
      <c r="AI188" s="1018"/>
      <c r="AJ188" s="1018"/>
      <c r="AK188" s="1018"/>
      <c r="AL188" s="1018"/>
    </row>
    <row r="189" spans="1:38" s="1034" customFormat="1" ht="19.5" customHeight="1">
      <c r="A189" s="1016"/>
      <c r="B189" s="718"/>
      <c r="C189" s="1016"/>
      <c r="D189" s="1016"/>
      <c r="E189" s="623">
        <v>20.399999999999999</v>
      </c>
      <c r="F189" s="750"/>
      <c r="G189" s="714" t="str">
        <f t="shared" si="7"/>
        <v>1</v>
      </c>
      <c r="H189" s="1016"/>
      <c r="I189" s="1016"/>
      <c r="J189" s="1016"/>
      <c r="K189" s="1016"/>
      <c r="L189" s="1016"/>
      <c r="M189" s="1016"/>
      <c r="N189" s="1016"/>
      <c r="O189" s="1016"/>
      <c r="P189" s="1016"/>
      <c r="Q189" s="1016"/>
      <c r="R189" s="1016"/>
      <c r="S189" s="1016"/>
      <c r="T189" s="1016"/>
      <c r="U189" s="1016"/>
      <c r="V189" s="1016"/>
      <c r="W189" s="645" t="b">
        <f t="shared" si="8"/>
        <v>1</v>
      </c>
      <c r="X189" s="1016"/>
      <c r="Y189" s="1016"/>
      <c r="Z189" s="1382"/>
      <c r="AA189" s="646"/>
      <c r="AB189" s="1356"/>
      <c r="AC189" s="1357"/>
      <c r="AD189" s="357" t="s">
        <v>233</v>
      </c>
      <c r="AE189" s="1035" t="s">
        <v>249</v>
      </c>
      <c r="AF189" s="1383"/>
      <c r="AG189" s="1018"/>
      <c r="AH189" s="1018"/>
      <c r="AI189" s="1018"/>
      <c r="AJ189" s="1018"/>
      <c r="AK189" s="1018"/>
      <c r="AL189" s="1018"/>
    </row>
    <row r="190" spans="1:38" s="1036" customFormat="1" ht="19.5" customHeight="1">
      <c r="A190" s="1016"/>
      <c r="B190" s="718"/>
      <c r="C190" s="1016"/>
      <c r="D190" s="1016"/>
      <c r="E190" s="623">
        <v>20.399999999999999</v>
      </c>
      <c r="F190" s="750"/>
      <c r="G190" s="714" t="str">
        <f t="shared" si="7"/>
        <v>1</v>
      </c>
      <c r="H190" s="1016"/>
      <c r="I190" s="1016"/>
      <c r="J190" s="1016"/>
      <c r="K190" s="1016"/>
      <c r="L190" s="1016"/>
      <c r="M190" s="1016"/>
      <c r="N190" s="1016"/>
      <c r="O190" s="1016"/>
      <c r="P190" s="1016"/>
      <c r="Q190" s="1016"/>
      <c r="R190" s="1016"/>
      <c r="S190" s="1016"/>
      <c r="T190" s="1016"/>
      <c r="U190" s="1016"/>
      <c r="V190" s="1016"/>
      <c r="W190" s="645" t="b">
        <f t="shared" si="8"/>
        <v>1</v>
      </c>
      <c r="X190" s="1016"/>
      <c r="Y190" s="1016"/>
      <c r="Z190" s="1382"/>
      <c r="AA190" s="646"/>
      <c r="AB190" s="1356"/>
      <c r="AC190" s="1357"/>
      <c r="AD190" s="357" t="s">
        <v>234</v>
      </c>
      <c r="AE190" s="359" t="s">
        <v>235</v>
      </c>
      <c r="AF190" s="1383"/>
      <c r="AG190" s="1018"/>
      <c r="AH190" s="1018"/>
      <c r="AI190" s="1018"/>
      <c r="AJ190" s="1018"/>
      <c r="AK190" s="1018"/>
      <c r="AL190" s="1018"/>
    </row>
    <row r="191" spans="1:38" s="1037" customFormat="1" ht="19.5" customHeight="1">
      <c r="A191" s="1016"/>
      <c r="B191" s="718"/>
      <c r="C191" s="1016"/>
      <c r="D191" s="1016"/>
      <c r="E191" s="623">
        <v>20.399999999999999</v>
      </c>
      <c r="F191" s="750"/>
      <c r="G191" s="714" t="str">
        <f t="shared" si="7"/>
        <v>1</v>
      </c>
      <c r="H191" s="1016"/>
      <c r="I191" s="1016"/>
      <c r="J191" s="1016"/>
      <c r="K191" s="1016"/>
      <c r="L191" s="1016"/>
      <c r="M191" s="1016"/>
      <c r="N191" s="1016"/>
      <c r="O191" s="1016"/>
      <c r="P191" s="1016"/>
      <c r="Q191" s="1016"/>
      <c r="R191" s="1016"/>
      <c r="S191" s="1016"/>
      <c r="T191" s="1016"/>
      <c r="U191" s="1016"/>
      <c r="V191" s="1016"/>
      <c r="W191" s="645" t="b">
        <f t="shared" si="8"/>
        <v>1</v>
      </c>
      <c r="X191" s="1016"/>
      <c r="Y191" s="1016"/>
      <c r="Z191" s="1382"/>
      <c r="AA191" s="646"/>
      <c r="AB191" s="1356"/>
      <c r="AC191" s="1357"/>
      <c r="AD191" s="357" t="s">
        <v>236</v>
      </c>
      <c r="AE191" s="352" t="s">
        <v>237</v>
      </c>
      <c r="AF191" s="1383"/>
      <c r="AG191" s="1018"/>
      <c r="AH191" s="1018"/>
      <c r="AI191" s="1018"/>
      <c r="AJ191" s="1018"/>
      <c r="AK191" s="1018"/>
      <c r="AL191" s="1018"/>
    </row>
    <row r="192" spans="1:38" s="1038" customFormat="1" ht="25.5" customHeight="1">
      <c r="A192" s="1016"/>
      <c r="B192" s="718"/>
      <c r="C192" s="1016"/>
      <c r="D192" s="1016"/>
      <c r="E192" s="623">
        <v>26.3</v>
      </c>
      <c r="F192" s="750"/>
      <c r="G192" s="714" t="str">
        <f t="shared" si="7"/>
        <v>1</v>
      </c>
      <c r="H192" s="1016"/>
      <c r="I192" s="1016"/>
      <c r="J192" s="1016"/>
      <c r="K192" s="1016"/>
      <c r="L192" s="1016"/>
      <c r="M192" s="1016"/>
      <c r="N192" s="1016"/>
      <c r="O192" s="1016"/>
      <c r="P192" s="1016"/>
      <c r="Q192" s="1016"/>
      <c r="R192" s="1016"/>
      <c r="S192" s="1016"/>
      <c r="T192" s="1016"/>
      <c r="U192" s="1016"/>
      <c r="V192" s="1016"/>
      <c r="W192" s="645" t="b">
        <f t="shared" si="8"/>
        <v>1</v>
      </c>
      <c r="X192" s="1016"/>
      <c r="Y192" s="1016"/>
      <c r="Z192" s="1382"/>
      <c r="AA192" s="646"/>
      <c r="AB192" s="1356"/>
      <c r="AC192" s="1357"/>
      <c r="AD192" s="121" t="s">
        <v>238</v>
      </c>
      <c r="AE192" s="352" t="s">
        <v>239</v>
      </c>
      <c r="AF192" s="1383"/>
      <c r="AG192" s="1018"/>
      <c r="AH192" s="1018"/>
      <c r="AI192" s="1018"/>
      <c r="AJ192" s="1018"/>
      <c r="AK192" s="1018"/>
      <c r="AL192" s="1018"/>
    </row>
    <row r="193" spans="1:38" s="1039" customFormat="1" ht="25.5" customHeight="1">
      <c r="A193" s="1016"/>
      <c r="B193" s="718"/>
      <c r="C193" s="1016"/>
      <c r="D193" s="1016"/>
      <c r="E193" s="623">
        <v>26.3</v>
      </c>
      <c r="F193" s="750"/>
      <c r="G193" s="714" t="str">
        <f t="shared" si="7"/>
        <v>1</v>
      </c>
      <c r="H193" s="1016"/>
      <c r="I193" s="1016"/>
      <c r="J193" s="1016"/>
      <c r="K193" s="1016"/>
      <c r="L193" s="1016"/>
      <c r="M193" s="1016"/>
      <c r="N193" s="1016"/>
      <c r="O193" s="1016"/>
      <c r="P193" s="1016"/>
      <c r="Q193" s="1016"/>
      <c r="R193" s="1016"/>
      <c r="S193" s="1016"/>
      <c r="T193" s="1016"/>
      <c r="U193" s="1016"/>
      <c r="V193" s="1016"/>
      <c r="W193" s="645" t="b">
        <f t="shared" si="8"/>
        <v>1</v>
      </c>
      <c r="X193" s="1016"/>
      <c r="Y193" s="1016"/>
      <c r="Z193" s="1382"/>
      <c r="AA193" s="646"/>
      <c r="AB193" s="1356"/>
      <c r="AC193" s="1357"/>
      <c r="AD193" s="121" t="s">
        <v>240</v>
      </c>
      <c r="AE193" s="1040" t="s">
        <v>250</v>
      </c>
      <c r="AF193" s="1383"/>
      <c r="AG193" s="1018"/>
      <c r="AH193" s="1018"/>
      <c r="AI193" s="1018"/>
      <c r="AJ193" s="1018"/>
      <c r="AK193" s="1018"/>
      <c r="AL193" s="1018"/>
    </row>
    <row r="194" spans="1:38" s="1041" customFormat="1" ht="19.5" customHeight="1">
      <c r="A194" s="1016"/>
      <c r="B194" s="718"/>
      <c r="C194" s="1016"/>
      <c r="D194" s="1016"/>
      <c r="E194" s="623">
        <v>20.399999999999999</v>
      </c>
      <c r="F194" s="750"/>
      <c r="G194" s="714" t="str">
        <f t="shared" si="7"/>
        <v>1</v>
      </c>
      <c r="H194" s="1016"/>
      <c r="I194" s="1016"/>
      <c r="J194" s="1016"/>
      <c r="K194" s="1016"/>
      <c r="L194" s="1016"/>
      <c r="M194" s="1016"/>
      <c r="N194" s="1016"/>
      <c r="O194" s="1016"/>
      <c r="P194" s="1016"/>
      <c r="Q194" s="1016"/>
      <c r="R194" s="1016"/>
      <c r="S194" s="1016"/>
      <c r="T194" s="1016"/>
      <c r="U194" s="1016"/>
      <c r="V194" s="1016"/>
      <c r="W194" s="645" t="b">
        <f t="shared" si="8"/>
        <v>1</v>
      </c>
      <c r="X194" s="1016"/>
      <c r="Y194" s="1016"/>
      <c r="Z194" s="1382"/>
      <c r="AA194" s="646"/>
      <c r="AB194" s="1356"/>
      <c r="AC194" s="1357"/>
      <c r="AD194" s="121" t="s">
        <v>241</v>
      </c>
      <c r="AE194" s="1000" t="s">
        <v>251</v>
      </c>
      <c r="AF194" s="1383"/>
      <c r="AG194" s="1018"/>
      <c r="AH194" s="1018"/>
      <c r="AI194" s="1018"/>
      <c r="AJ194" s="1018"/>
      <c r="AK194" s="1018"/>
      <c r="AL194" s="1018"/>
    </row>
    <row r="195" spans="1:38" s="1042" customFormat="1" ht="19.5" customHeight="1">
      <c r="A195" s="1016"/>
      <c r="B195" s="743" t="b">
        <f>org_declaration="Заявление организации"</f>
        <v>1</v>
      </c>
      <c r="C195" s="1016"/>
      <c r="D195" s="1016"/>
      <c r="E195" s="623">
        <v>20.399999999999999</v>
      </c>
      <c r="F195" s="750"/>
      <c r="G195" s="714" t="str">
        <f t="shared" si="7"/>
        <v>1</v>
      </c>
      <c r="H195" s="1016"/>
      <c r="I195" s="1016"/>
      <c r="J195" s="1016"/>
      <c r="K195" s="1016"/>
      <c r="L195" s="1016"/>
      <c r="M195" s="1016"/>
      <c r="N195" s="1016"/>
      <c r="O195" s="1016"/>
      <c r="P195" s="1016"/>
      <c r="Q195" s="1016"/>
      <c r="R195" s="1016"/>
      <c r="S195" s="1016"/>
      <c r="T195" s="1016"/>
      <c r="U195" s="1016"/>
      <c r="V195" s="1016"/>
      <c r="W195" s="645" t="b">
        <f t="shared" si="8"/>
        <v>1</v>
      </c>
      <c r="X195" s="1016"/>
      <c r="Y195" s="1016"/>
      <c r="Z195" s="1382"/>
      <c r="AA195" s="646"/>
      <c r="AB195" s="1356"/>
      <c r="AC195" s="1357"/>
      <c r="AD195" s="357" t="s">
        <v>242</v>
      </c>
      <c r="AE195" s="1043">
        <v>2725</v>
      </c>
      <c r="AF195" s="1383"/>
      <c r="AG195" s="1018"/>
      <c r="AH195" s="1018"/>
      <c r="AI195" s="1018"/>
      <c r="AJ195" s="1018"/>
      <c r="AK195" s="1018"/>
      <c r="AL195" s="1018"/>
    </row>
    <row r="196" spans="1:38" s="1044" customFormat="1" ht="19.5" customHeight="1">
      <c r="A196" s="1016"/>
      <c r="B196" s="743" t="b">
        <f>org_declaration="Заявление организации"</f>
        <v>1</v>
      </c>
      <c r="C196" s="1016"/>
      <c r="D196" s="1016"/>
      <c r="E196" s="623">
        <v>20.399999999999999</v>
      </c>
      <c r="F196" s="750"/>
      <c r="G196" s="714" t="str">
        <f t="shared" si="7"/>
        <v>1</v>
      </c>
      <c r="H196" s="1016"/>
      <c r="I196" s="1016"/>
      <c r="J196" s="1016"/>
      <c r="K196" s="1016"/>
      <c r="L196" s="1016"/>
      <c r="M196" s="1016"/>
      <c r="N196" s="1016"/>
      <c r="O196" s="1016"/>
      <c r="P196" s="1016"/>
      <c r="Q196" s="1016"/>
      <c r="R196" s="1016"/>
      <c r="S196" s="1016"/>
      <c r="T196" s="1016"/>
      <c r="U196" s="1016"/>
      <c r="V196" s="1016"/>
      <c r="W196" s="645" t="b">
        <f t="shared" si="8"/>
        <v>1</v>
      </c>
      <c r="X196" s="1016"/>
      <c r="Y196" s="1016"/>
      <c r="Z196" s="1382"/>
      <c r="AA196" s="646"/>
      <c r="AB196" s="1356"/>
      <c r="AC196" s="1357"/>
      <c r="AD196" s="357" t="s">
        <v>243</v>
      </c>
      <c r="AE196" s="1045">
        <v>45777</v>
      </c>
      <c r="AF196" s="1383"/>
      <c r="AG196" s="1018"/>
      <c r="AH196" s="1018"/>
      <c r="AI196" s="1018"/>
      <c r="AJ196" s="1018"/>
      <c r="AK196" s="1018"/>
      <c r="AL196" s="1018"/>
    </row>
    <row r="197" spans="1:38" s="1046" customFormat="1" ht="19.5" customHeight="1">
      <c r="A197" s="1016"/>
      <c r="B197" s="743" t="b">
        <f>org_declaration="Заявление организации"</f>
        <v>1</v>
      </c>
      <c r="C197" s="1016"/>
      <c r="D197" s="1016"/>
      <c r="E197" s="623">
        <v>20.399999999999999</v>
      </c>
      <c r="F197" s="750"/>
      <c r="G197" s="714" t="str">
        <f t="shared" si="7"/>
        <v>1</v>
      </c>
      <c r="H197" s="1016"/>
      <c r="I197" s="1016"/>
      <c r="J197" s="1016"/>
      <c r="K197" s="1016"/>
      <c r="L197" s="1016"/>
      <c r="M197" s="1016"/>
      <c r="N197" s="1016"/>
      <c r="O197" s="1016"/>
      <c r="P197" s="1016"/>
      <c r="Q197" s="1016"/>
      <c r="R197" s="1016"/>
      <c r="S197" s="1016"/>
      <c r="T197" s="1016"/>
      <c r="U197" s="1016"/>
      <c r="V197" s="1016"/>
      <c r="W197" s="645" t="b">
        <f t="shared" si="8"/>
        <v>1</v>
      </c>
      <c r="X197" s="1016"/>
      <c r="Y197" s="1016"/>
      <c r="Z197" s="1382"/>
      <c r="AA197" s="646"/>
      <c r="AB197" s="1356"/>
      <c r="AC197" s="1357"/>
      <c r="AD197" s="357" t="s">
        <v>244</v>
      </c>
      <c r="AE197" s="1043"/>
      <c r="AF197" s="1383"/>
      <c r="AG197" s="1018"/>
      <c r="AH197" s="1018"/>
      <c r="AI197" s="1018"/>
      <c r="AJ197" s="1018"/>
      <c r="AK197" s="1018"/>
      <c r="AL197" s="1018"/>
    </row>
    <row r="198" spans="1:38" s="1047" customFormat="1" ht="19.5" customHeight="1">
      <c r="A198" s="1016"/>
      <c r="B198" s="743" t="b">
        <f>org_declaration="Заявление организации"</f>
        <v>1</v>
      </c>
      <c r="C198" s="1016"/>
      <c r="D198" s="1016"/>
      <c r="E198" s="623">
        <v>20.399999999999999</v>
      </c>
      <c r="F198" s="750"/>
      <c r="G198" s="714" t="str">
        <f t="shared" si="7"/>
        <v>1</v>
      </c>
      <c r="H198" s="1016"/>
      <c r="I198" s="1016"/>
      <c r="J198" s="1016"/>
      <c r="K198" s="1016"/>
      <c r="L198" s="1016"/>
      <c r="M198" s="1016"/>
      <c r="N198" s="1016"/>
      <c r="O198" s="1016"/>
      <c r="P198" s="1016"/>
      <c r="Q198" s="1016"/>
      <c r="R198" s="1016"/>
      <c r="S198" s="1016"/>
      <c r="T198" s="1016"/>
      <c r="U198" s="1016"/>
      <c r="V198" s="1016"/>
      <c r="W198" s="645" t="b">
        <f t="shared" si="8"/>
        <v>1</v>
      </c>
      <c r="X198" s="1016"/>
      <c r="Y198" s="1016"/>
      <c r="Z198" s="1382"/>
      <c r="AA198" s="646"/>
      <c r="AB198" s="1356"/>
      <c r="AC198" s="1357"/>
      <c r="AD198" s="357" t="s">
        <v>245</v>
      </c>
      <c r="AE198" s="1048">
        <f>IF(AE$24="","",DATE(AE$24,1,1))</f>
        <v>46023</v>
      </c>
      <c r="AF198" s="1383"/>
      <c r="AG198" s="1018"/>
      <c r="AH198" s="1018"/>
      <c r="AI198" s="1018"/>
      <c r="AJ198" s="1018"/>
      <c r="AK198" s="1018"/>
      <c r="AL198" s="1018"/>
    </row>
    <row r="199" spans="1:38" s="1049" customFormat="1" ht="19.5" customHeight="1">
      <c r="A199" s="1016"/>
      <c r="B199" s="743" t="b">
        <f>org_declaration="Заявление организации"</f>
        <v>1</v>
      </c>
      <c r="C199" s="1016"/>
      <c r="D199" s="1016"/>
      <c r="E199" s="623">
        <v>20.399999999999999</v>
      </c>
      <c r="F199" s="750"/>
      <c r="G199" s="714" t="str">
        <f>G197</f>
        <v>1</v>
      </c>
      <c r="H199" s="1016"/>
      <c r="I199" s="1016"/>
      <c r="J199" s="1016"/>
      <c r="K199" s="1016"/>
      <c r="L199" s="1016"/>
      <c r="M199" s="1016"/>
      <c r="N199" s="1016"/>
      <c r="O199" s="1016"/>
      <c r="P199" s="1016"/>
      <c r="Q199" s="1016"/>
      <c r="R199" s="1016"/>
      <c r="S199" s="1016"/>
      <c r="T199" s="1016"/>
      <c r="U199" s="1016"/>
      <c r="V199" s="1016"/>
      <c r="W199" s="645" t="b">
        <f>W197</f>
        <v>1</v>
      </c>
      <c r="X199" s="1016"/>
      <c r="Y199" s="1016"/>
      <c r="Z199" s="1382"/>
      <c r="AA199" s="646"/>
      <c r="AB199" s="1356"/>
      <c r="AC199" s="1357"/>
      <c r="AD199" s="357" t="s">
        <v>246</v>
      </c>
      <c r="AE199" s="1050" t="str">
        <f>IF(method_reg="","",method_reg)</f>
        <v>Метод индексации</v>
      </c>
      <c r="AF199" s="1383"/>
      <c r="AG199" s="1018"/>
      <c r="AH199" s="1018"/>
      <c r="AI199" s="1018"/>
      <c r="AJ199" s="1018"/>
      <c r="AK199" s="1018"/>
      <c r="AL199" s="1018"/>
    </row>
    <row r="200" spans="1:38" s="1051" customFormat="1" ht="21.75" customHeight="1">
      <c r="A200" s="1016"/>
      <c r="B200" s="743" t="b">
        <f>AND(org_declaration="Заявление организации",AE199&lt;&gt;"Метод экономически обоснованных расходов")</f>
        <v>1</v>
      </c>
      <c r="C200" s="1016"/>
      <c r="D200" s="1016"/>
      <c r="E200" s="623">
        <v>22.8</v>
      </c>
      <c r="F200" s="750"/>
      <c r="G200" s="714" t="str">
        <f>G199</f>
        <v>1</v>
      </c>
      <c r="H200" s="1016"/>
      <c r="I200" s="1016"/>
      <c r="J200" s="1016"/>
      <c r="K200" s="1016"/>
      <c r="L200" s="1016"/>
      <c r="M200" s="1016"/>
      <c r="N200" s="1016"/>
      <c r="O200" s="1016"/>
      <c r="P200" s="1016"/>
      <c r="Q200" s="1016"/>
      <c r="R200" s="1016"/>
      <c r="S200" s="1016"/>
      <c r="T200" s="1016"/>
      <c r="U200" s="1016"/>
      <c r="V200" s="1016"/>
      <c r="W200" s="645" t="b">
        <f>W199</f>
        <v>1</v>
      </c>
      <c r="X200" s="1016"/>
      <c r="Y200" s="1016"/>
      <c r="Z200" s="1382"/>
      <c r="AA200" s="646"/>
      <c r="AB200" s="1356"/>
      <c r="AC200" s="1357"/>
      <c r="AD200" s="121" t="str">
        <f>IF(OR(AE199="экономически обоснованных расходов (затрат)",AE199="сравнения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200" s="1050">
        <f>IF(first_year="","",first_year)</f>
        <v>2024</v>
      </c>
      <c r="AF200" s="1383"/>
      <c r="AG200" s="1018"/>
      <c r="AH200" s="1018"/>
      <c r="AI200" s="1018"/>
      <c r="AJ200" s="1018"/>
      <c r="AK200" s="1018"/>
      <c r="AL200" s="1018"/>
    </row>
    <row r="201" spans="1:38" s="1052" customFormat="1" ht="19.5" customHeight="1">
      <c r="A201" s="1016"/>
      <c r="B201" s="743" t="b">
        <f>AND(org_declaration="Заявление организации",AE199&lt;&gt;"Метод экономически обоснованных расходов")</f>
        <v>1</v>
      </c>
      <c r="C201" s="1016"/>
      <c r="D201" s="1016"/>
      <c r="E201" s="623">
        <v>20.399999999999999</v>
      </c>
      <c r="F201" s="750"/>
      <c r="G201" s="714" t="str">
        <f>G200</f>
        <v>1</v>
      </c>
      <c r="H201" s="1016"/>
      <c r="I201" s="1016"/>
      <c r="J201" s="1016"/>
      <c r="K201" s="1016"/>
      <c r="L201" s="1016"/>
      <c r="M201" s="1016"/>
      <c r="N201" s="1016"/>
      <c r="O201" s="1016"/>
      <c r="P201" s="1016"/>
      <c r="Q201" s="1016"/>
      <c r="R201" s="1016"/>
      <c r="S201" s="1016"/>
      <c r="T201" s="1016"/>
      <c r="U201" s="1016"/>
      <c r="V201" s="1016"/>
      <c r="W201" s="645" t="b">
        <f>W200</f>
        <v>1</v>
      </c>
      <c r="X201" s="1016"/>
      <c r="Y201" s="1016"/>
      <c r="Z201" s="1382"/>
      <c r="AA201" s="646"/>
      <c r="AB201" s="1356"/>
      <c r="AC201" s="1357"/>
      <c r="AD201" s="357" t="s">
        <v>92</v>
      </c>
      <c r="AE201" s="1050">
        <f>IF(PERIOD_LENGTH="","",PERIOD_LENGTH)</f>
        <v>5</v>
      </c>
      <c r="AF201" s="1383"/>
      <c r="AG201" s="1018"/>
      <c r="AH201" s="1018"/>
      <c r="AI201" s="1018"/>
      <c r="AJ201" s="1018"/>
      <c r="AK201" s="1018"/>
      <c r="AL201" s="1018"/>
    </row>
    <row r="202" spans="1:38" ht="19.899999999999999" customHeight="1">
      <c r="E202" s="623">
        <v>20.399999999999999</v>
      </c>
      <c r="X202" s="291" t="s">
        <v>252</v>
      </c>
      <c r="AB202" s="1353"/>
      <c r="AC202" s="1353"/>
      <c r="AD202" s="868" t="s">
        <v>253</v>
      </c>
      <c r="AE202" s="261"/>
      <c r="AF202" s="336"/>
      <c r="AI202" s="174"/>
    </row>
    <row r="203" spans="1:38" ht="19.899999999999999" customHeight="1">
      <c r="E203" s="623">
        <v>20.399999999999999</v>
      </c>
      <c r="AB203" s="1389" t="s">
        <v>254</v>
      </c>
      <c r="AC203" s="1390"/>
      <c r="AD203" s="357" t="s">
        <v>255</v>
      </c>
      <c r="AE203" s="333" t="s">
        <v>256</v>
      </c>
      <c r="AF203" s="341"/>
      <c r="AG203" s="94" t="s">
        <v>257</v>
      </c>
    </row>
    <row r="204" spans="1:38" ht="19.899999999999999" customHeight="1">
      <c r="E204" s="623">
        <v>20.399999999999999</v>
      </c>
      <c r="AB204" s="1389"/>
      <c r="AC204" s="1390"/>
      <c r="AD204" s="357" t="s">
        <v>258</v>
      </c>
      <c r="AE204" s="333" t="s">
        <v>259</v>
      </c>
      <c r="AF204" s="341"/>
      <c r="AG204" s="94" t="s">
        <v>260</v>
      </c>
    </row>
    <row r="205" spans="1:38" ht="19.899999999999999" customHeight="1">
      <c r="E205" s="623">
        <v>20.399999999999999</v>
      </c>
      <c r="AB205" s="1389"/>
      <c r="AC205" s="1390"/>
      <c r="AD205" s="357" t="s">
        <v>261</v>
      </c>
      <c r="AE205" s="333" t="s">
        <v>262</v>
      </c>
      <c r="AF205" s="341"/>
      <c r="AG205" s="94" t="s">
        <v>263</v>
      </c>
    </row>
    <row r="206" spans="1:38" ht="19.899999999999999" customHeight="1">
      <c r="E206" s="623">
        <v>20.399999999999999</v>
      </c>
      <c r="AB206" s="1389"/>
      <c r="AC206" s="1390"/>
      <c r="AD206" s="357" t="s">
        <v>264</v>
      </c>
      <c r="AE206" s="333" t="s">
        <v>265</v>
      </c>
      <c r="AF206" s="341"/>
      <c r="AG206" s="94" t="s">
        <v>266</v>
      </c>
    </row>
    <row r="207" spans="1:38" ht="19.899999999999999" customHeight="1">
      <c r="E207" s="623">
        <v>20.399999999999999</v>
      </c>
      <c r="AB207" s="1389"/>
      <c r="AC207" s="1390"/>
      <c r="AD207" s="357" t="s">
        <v>267</v>
      </c>
      <c r="AE207" s="333" t="s">
        <v>268</v>
      </c>
      <c r="AF207" s="341"/>
      <c r="AG207" s="94" t="s">
        <v>269</v>
      </c>
    </row>
    <row r="208" spans="1:38" ht="19.899999999999999" hidden="1" customHeight="1">
      <c r="E208" s="623">
        <v>20.399999999999999</v>
      </c>
      <c r="W208" s="645" t="b">
        <f>ROW(X208)&gt;ROW(X$208)</f>
        <v>0</v>
      </c>
      <c r="X208" s="116" t="s">
        <v>228</v>
      </c>
      <c r="AB208" s="1389"/>
      <c r="AC208" s="1390"/>
      <c r="AD208" s="1053"/>
      <c r="AE208" s="1027"/>
      <c r="AF208" s="578" t="s">
        <v>157</v>
      </c>
    </row>
    <row r="209" spans="5:32" ht="14.65" customHeight="1">
      <c r="E209" s="623">
        <v>15</v>
      </c>
      <c r="X209" s="291" t="s">
        <v>171</v>
      </c>
      <c r="AB209" s="1389"/>
      <c r="AC209" s="1390"/>
      <c r="AD209" s="358" t="s">
        <v>270</v>
      </c>
      <c r="AE209" s="326"/>
      <c r="AF209" s="341"/>
    </row>
    <row r="210" spans="5:32" ht="19.899999999999999" customHeight="1">
      <c r="E210" s="623">
        <v>20.399999999999999</v>
      </c>
      <c r="AB210" s="1389"/>
      <c r="AC210" s="1390"/>
      <c r="AD210" s="357" t="s">
        <v>271</v>
      </c>
      <c r="AE210" s="359" t="str">
        <f>IF(ISBLANK(method_reg),"",method_reg)</f>
        <v>Метод индексации</v>
      </c>
      <c r="AF210" s="341"/>
    </row>
    <row r="211" spans="5:32" ht="19.899999999999999" customHeight="1">
      <c r="E211" s="623">
        <v>20.399999999999999</v>
      </c>
      <c r="AB211" s="1389"/>
      <c r="AC211" s="1390"/>
      <c r="AD211" s="357" t="s">
        <v>90</v>
      </c>
      <c r="AE211" s="360">
        <f>IF(ISBLANK(god),"",god)</f>
        <v>2026</v>
      </c>
      <c r="AF211" s="341"/>
    </row>
    <row r="212" spans="5:32" ht="19.899999999999999" customHeight="1">
      <c r="E212" s="623">
        <v>20.399999999999999</v>
      </c>
      <c r="AB212" s="1389"/>
      <c r="AC212" s="1390"/>
      <c r="AD212" s="357" t="s">
        <v>91</v>
      </c>
      <c r="AE212" s="360">
        <f>IF(ISBLANK(first_year),"",first_year)</f>
        <v>2024</v>
      </c>
      <c r="AF212" s="341"/>
    </row>
    <row r="213" spans="5:32" ht="19.899999999999999" customHeight="1">
      <c r="E213" s="623">
        <v>20.399999999999999</v>
      </c>
      <c r="AB213" s="1391"/>
      <c r="AC213" s="1392"/>
      <c r="AD213" s="357" t="s">
        <v>92</v>
      </c>
      <c r="AE213" s="360">
        <f>IF(ISBLANK(PERIOD_LENGTH),"",PERIOD_LENGTH)</f>
        <v>5</v>
      </c>
      <c r="AF213" s="341"/>
    </row>
    <row r="214" spans="5:32" ht="24" customHeight="1">
      <c r="E214" s="623">
        <v>24.6</v>
      </c>
      <c r="AB214" s="1384" t="s">
        <v>272</v>
      </c>
      <c r="AC214" s="1385"/>
      <c r="AD214" s="1386"/>
      <c r="AE214" s="351" t="s">
        <v>145</v>
      </c>
      <c r="AF214" s="346"/>
    </row>
    <row r="215" spans="5:32" ht="11.65" customHeight="1">
      <c r="E215" s="623">
        <v>12</v>
      </c>
    </row>
    <row r="216" spans="5:32" ht="19.899999999999999" customHeight="1">
      <c r="E216" s="623">
        <v>20.399999999999999</v>
      </c>
      <c r="AB216" s="1384" t="s">
        <v>273</v>
      </c>
      <c r="AC216" s="1385"/>
      <c r="AD216" s="1386"/>
      <c r="AE216" s="363" t="s">
        <v>145</v>
      </c>
    </row>
    <row r="217" spans="5:32" ht="11.25" customHeight="1">
      <c r="AF217" s="151"/>
    </row>
    <row r="218" spans="5:32" ht="19.5" hidden="1" customHeight="1"/>
  </sheetData>
  <sheetProtection formatColumns="0" formatRows="0" insertRows="0" deleteColumns="0" deleteRows="0" sort="0" autoFilter="0"/>
  <mergeCells count="153">
    <mergeCell ref="Z186:Z201"/>
    <mergeCell ref="AF186:AF201"/>
    <mergeCell ref="AA78:AA82"/>
    <mergeCell ref="AB62:AD62"/>
    <mergeCell ref="AB78:AB82"/>
    <mergeCell ref="AC78:AD78"/>
    <mergeCell ref="AC79:AD79"/>
    <mergeCell ref="AC80:AD80"/>
    <mergeCell ref="AC81:AD81"/>
    <mergeCell ref="AC82:AD82"/>
    <mergeCell ref="AB203:AC213"/>
    <mergeCell ref="AB152:AE152"/>
    <mergeCell ref="AB153:AE153"/>
    <mergeCell ref="AB154:AE154"/>
    <mergeCell ref="AB155:AE155"/>
    <mergeCell ref="AB138:AD138"/>
    <mergeCell ref="AB141:AC144"/>
    <mergeCell ref="AB156:AE156"/>
    <mergeCell ref="AB157:AE157"/>
    <mergeCell ref="AB158:AE158"/>
    <mergeCell ref="AB159:AE159"/>
    <mergeCell ref="AB161:AE161"/>
    <mergeCell ref="AB164:AE164"/>
    <mergeCell ref="AB150:AE150"/>
    <mergeCell ref="AB151:AE151"/>
    <mergeCell ref="AA90:AA94"/>
    <mergeCell ref="AB216:AD216"/>
    <mergeCell ref="AB214:AD214"/>
    <mergeCell ref="AB146:AE146"/>
    <mergeCell ref="AB65:AD65"/>
    <mergeCell ref="AB66:AB70"/>
    <mergeCell ref="AC66:AD66"/>
    <mergeCell ref="AC67:AD67"/>
    <mergeCell ref="AC68:AD68"/>
    <mergeCell ref="AC69:AD69"/>
    <mergeCell ref="AC70:AD70"/>
    <mergeCell ref="AB111:AB116"/>
    <mergeCell ref="AC111:AD111"/>
    <mergeCell ref="AC112:AD112"/>
    <mergeCell ref="AC113:AD113"/>
    <mergeCell ref="AC114:AD114"/>
    <mergeCell ref="AC115:AD115"/>
    <mergeCell ref="AB90:AB94"/>
    <mergeCell ref="AC90:AD90"/>
    <mergeCell ref="AC91:AD91"/>
    <mergeCell ref="AC92:AD92"/>
    <mergeCell ref="AC93:AD93"/>
    <mergeCell ref="AC94:AD94"/>
    <mergeCell ref="AB103:AB108"/>
    <mergeCell ref="AC103:AD103"/>
    <mergeCell ref="AL23:AL26"/>
    <mergeCell ref="Z170:Z185"/>
    <mergeCell ref="AB72:AD72"/>
    <mergeCell ref="AB73:AB77"/>
    <mergeCell ref="AC73:AD73"/>
    <mergeCell ref="AC74:AD74"/>
    <mergeCell ref="AC75:AD75"/>
    <mergeCell ref="AC76:AD76"/>
    <mergeCell ref="AC77:AD77"/>
    <mergeCell ref="AB96:AD96"/>
    <mergeCell ref="AB97:AB102"/>
    <mergeCell ref="AC97:AD97"/>
    <mergeCell ref="AC98:AD98"/>
    <mergeCell ref="AC99:AD99"/>
    <mergeCell ref="AC100:AD100"/>
    <mergeCell ref="AC101:AD101"/>
    <mergeCell ref="AC102:AD102"/>
    <mergeCell ref="AB84:AD84"/>
    <mergeCell ref="AB85:AB89"/>
    <mergeCell ref="AC85:AD85"/>
    <mergeCell ref="AC86:AD86"/>
    <mergeCell ref="AC87:AD87"/>
    <mergeCell ref="AC88:AD88"/>
    <mergeCell ref="AF170:AF185"/>
    <mergeCell ref="AB22:AD22"/>
    <mergeCell ref="AB30:AE30"/>
    <mergeCell ref="AB31:AE31"/>
    <mergeCell ref="AB32:AE32"/>
    <mergeCell ref="AB33:AE33"/>
    <mergeCell ref="AB34:AE34"/>
    <mergeCell ref="AB40:AD40"/>
    <mergeCell ref="AB41:AD41"/>
    <mergeCell ref="AB35:AE35"/>
    <mergeCell ref="AB36:AE36"/>
    <mergeCell ref="AB27:AD27"/>
    <mergeCell ref="AB24:AD24"/>
    <mergeCell ref="AB25:AD25"/>
    <mergeCell ref="AB26:AD26"/>
    <mergeCell ref="AI36:AJ36"/>
    <mergeCell ref="AB37:AE37"/>
    <mergeCell ref="AB38:AD38"/>
    <mergeCell ref="AB39:AD39"/>
    <mergeCell ref="AB51:AD51"/>
    <mergeCell ref="AB52:AD52"/>
    <mergeCell ref="AB53:AC55"/>
    <mergeCell ref="AB56:AD56"/>
    <mergeCell ref="AB58:AD58"/>
    <mergeCell ref="AB45:AD45"/>
    <mergeCell ref="AB46:AD46"/>
    <mergeCell ref="AB47:AD47"/>
    <mergeCell ref="AB48:AD48"/>
    <mergeCell ref="AB49:AD49"/>
    <mergeCell ref="AB50:AD50"/>
    <mergeCell ref="AB42:AD42"/>
    <mergeCell ref="AB43:AD43"/>
    <mergeCell ref="AB44:AD44"/>
    <mergeCell ref="AB57:AD57"/>
    <mergeCell ref="AB59:AD59"/>
    <mergeCell ref="AB60:AD60"/>
    <mergeCell ref="AB61:AD61"/>
    <mergeCell ref="AB64:AD64"/>
    <mergeCell ref="AB147:AE147"/>
    <mergeCell ref="AB169:AC202"/>
    <mergeCell ref="AB148:AE148"/>
    <mergeCell ref="AB110:AD110"/>
    <mergeCell ref="AC127:AD127"/>
    <mergeCell ref="AC128:AD128"/>
    <mergeCell ref="AC129:AD129"/>
    <mergeCell ref="AC130:AD130"/>
    <mergeCell ref="AB139:AD139"/>
    <mergeCell ref="AB149:AE149"/>
    <mergeCell ref="AB124:AD124"/>
    <mergeCell ref="AB125:AB130"/>
    <mergeCell ref="AC125:AD125"/>
    <mergeCell ref="AC126:AD126"/>
    <mergeCell ref="AB160:AE160"/>
    <mergeCell ref="AB162:AE162"/>
    <mergeCell ref="AC116:AD116"/>
    <mergeCell ref="AB166:AC168"/>
    <mergeCell ref="AB165:AD165"/>
    <mergeCell ref="AC89:AD89"/>
    <mergeCell ref="AB131:AB136"/>
    <mergeCell ref="AC131:AD131"/>
    <mergeCell ref="AC132:AD132"/>
    <mergeCell ref="AC133:AD133"/>
    <mergeCell ref="AC134:AD134"/>
    <mergeCell ref="AC135:AD135"/>
    <mergeCell ref="AC136:AD136"/>
    <mergeCell ref="AA131:AA136"/>
    <mergeCell ref="AC104:AD104"/>
    <mergeCell ref="AC105:AD105"/>
    <mergeCell ref="AC106:AD106"/>
    <mergeCell ref="AC107:AD107"/>
    <mergeCell ref="AC108:AD108"/>
    <mergeCell ref="AA103:AA108"/>
    <mergeCell ref="AB117:AB122"/>
    <mergeCell ref="AC117:AD117"/>
    <mergeCell ref="AC118:AD118"/>
    <mergeCell ref="AC119:AD119"/>
    <mergeCell ref="AC120:AD120"/>
    <mergeCell ref="AC121:AD121"/>
    <mergeCell ref="AC122:AD122"/>
    <mergeCell ref="AA117:AA122"/>
  </mergeCells>
  <dataValidations count="14">
    <dataValidation type="list" allowBlank="1" showInputMessage="1" showErrorMessage="1" errorTitle="Внимание" error="Пожалуйста, выберите значение из списка!" sqref="AE24">
      <formula1>REG_YEAR_LIST</formula1>
    </dataValidation>
    <dataValidation type="date" allowBlank="1" showInputMessage="1" showErrorMessage="1" error="Дата указана некорректно!" sqref="AE76 AE81 AE88 AE93 AE100:AE102 AE106:AE108 AE114:AE116 AE120:AE122 AE128:AE130 AE134:AE136 AE168 AE180 AE182 AE196 AE198">
      <formula1>21916</formula1>
      <formula2>54789</formula2>
    </dataValidation>
    <dataValidation type="list" allowBlank="1" showInputMessage="1" showErrorMessage="1" sqref="AE173 AE189">
      <formula1>tn_type</formula1>
    </dataValidation>
    <dataValidation type="list" allowBlank="1" showInputMessage="1" showErrorMessage="1" errorTitle="Внимание" error="Пожалуйста, выберите значение из списка!" sqref="AE57">
      <formula1>nalog_system_list</formula1>
    </dataValidation>
    <dataValidation type="list" allowBlank="1" showInputMessage="1" showErrorMessage="1" sqref="AE23 AE183 AE199">
      <formula1>method_list</formula1>
    </dataValidation>
    <dataValidation type="list" showInputMessage="1" showErrorMessage="1" errorTitle="Внимание" error="Пожалуйста, выберите значение из списка!" sqref="AE45">
      <formula1>okopf_list</formula1>
    </dataValidation>
    <dataValidation allowBlank="1" showErrorMessage="1" errorTitle="Ошибка" error="Выберите значение из списка" prompt="Выберите значение из списка" sqref="AE174 AE190"/>
    <dataValidation type="list" showInputMessage="1" showErrorMessage="1" errorTitle="Внимание" error="Пожалуйста, выберите значение из списка!" sqref="AE25 AE184 AE200">
      <formula1>YEAR_LIST</formula1>
    </dataValidation>
    <dataValidation type="list" allowBlank="1" showInputMessage="1" showErrorMessage="1" sqref="AB202:AC202 AB169:AC169">
      <formula1>"Заявление организации,Заявление организации (отсутствует)"</formula1>
    </dataValidation>
    <dataValidation type="list" showInputMessage="1" showErrorMessage="1" errorTitle="Внимание" error="Пожалуйста, выберите значение из списка!" sqref="AE26 AE185 AE201">
      <formula1>period_list</formula1>
    </dataValidation>
    <dataValidation type="list" showInputMessage="1" errorTitle="Внимание" error="Пожалуйста, выберите значение из списка" prompt="Выберите значение из списка или укажите свой вариант" sqref="AE67 AE74 AE86 AE98 AE112 AE126 AE166 AE79 AE91 AE104 AE118 AE132">
      <formula1>DOCUMENT_TYPES</formula1>
    </dataValidation>
    <dataValidation type="list" showInputMessage="1" showErrorMessage="1" errorTitle="Внимание" error="Пожалуйста, выберите значение из списка" sqref="AE54">
      <formula1>STATE_SHARE</formula1>
    </dataValidation>
    <dataValidation type="list" showInputMessage="1" showErrorMessage="1" errorTitle="Внимание" error="Пожалуйста, выберите значение из списка" sqref="AE55">
      <formula1>OWNERSHIP_TYPE</formula1>
    </dataValidation>
    <dataValidation type="list" allowBlank="1" showInputMessage="1" showErrorMessage="1" errorTitle="Внимание" error="Пожалуйста, выберите значение из списка!" sqref="AE53 AE96 AE72 AE84 AE110 AE124 AE139 AE64:AE65 AE214 AE165 AE56 AE58:AE60 AE216">
      <formula1>YES_NO</formula1>
    </dataValidation>
  </dataValidations>
  <hyperlinks>
    <hyperlink ref="AE193" r:id="rId1"/>
  </hyperlinks>
  <printOptions horizontalCentered="1"/>
  <pageMargins left="0.35" right="0.35" top="0.4" bottom="0.4" header="0.08" footer="0.08"/>
  <pageSetup paperSize="9" scale="46" fitToHeight="0" orientation="portrait"/>
  <headerFooter>
    <oddHeader>&amp;L&amp;C&amp;R</oddHeader>
    <oddFooter>&amp;L&amp;C&amp;R</oddFooter>
    <evenHeader>&amp;L&amp;C&amp;R</evenHeader>
    <evenFooter>&amp;L&amp;C&amp;R</evenFooter>
  </headerFooter>
  <rowBreaks count="1" manualBreakCount="1">
    <brk id="139" max="104857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outlinePr summaryBelow="0" summaryRight="0"/>
    <pageSetUpPr fitToPage="1"/>
  </sheetPr>
  <dimension ref="A1:AP34"/>
  <sheetViews>
    <sheetView showGridLines="0" workbookViewId="0">
      <pane xSplit="28" ySplit="25" topLeftCell="AC29" activePane="bottomRight" state="frozen"/>
      <selection pane="topRight" activeCell="AC1" sqref="AC1"/>
      <selection pane="bottomLeft" activeCell="A26" sqref="A26"/>
      <selection pane="bottomRight" activeCell="AE31" sqref="AE31"/>
    </sheetView>
  </sheetViews>
  <sheetFormatPr defaultColWidth="9.140625" defaultRowHeight="11.25" customHeight="1"/>
  <cols>
    <col min="1" max="1" width="3.5703125" style="1015" hidden="1" customWidth="1"/>
    <col min="2" max="2" width="8.5703125" style="1015" hidden="1" customWidth="1"/>
    <col min="3" max="4" width="3.5703125" style="1015" hidden="1" customWidth="1"/>
    <col min="5" max="5" width="8.42578125" style="265" hidden="1" customWidth="1"/>
    <col min="6" max="19" width="3.5703125" style="1015" hidden="1" customWidth="1"/>
    <col min="20" max="20" width="3.5703125" style="1012" hidden="1" customWidth="1"/>
    <col min="21" max="21" width="7.42578125" style="1015" hidden="1" customWidth="1"/>
    <col min="22" max="23" width="6" style="1015" hidden="1" customWidth="1"/>
    <col min="24" max="24" width="8" style="1015" hidden="1" customWidth="1"/>
    <col min="25" max="25" width="5.42578125" style="1015" hidden="1" customWidth="1"/>
    <col min="26" max="26" width="5" style="1015" hidden="1" customWidth="1"/>
    <col min="27" max="27" width="3" style="710" customWidth="1"/>
    <col min="28" max="28" width="5.5703125" style="131" customWidth="1"/>
    <col min="29" max="30" width="28.140625" style="131" customWidth="1"/>
    <col min="31" max="31" width="14.7109375" style="137" customWidth="1"/>
    <col min="32" max="32" width="22" style="137" customWidth="1"/>
    <col min="33" max="33" width="31.5703125" style="131" customWidth="1"/>
    <col min="34" max="34" width="3" style="131" customWidth="1"/>
    <col min="35" max="35" width="9.140625" style="131" hidden="1"/>
    <col min="36" max="36" width="6.7109375" style="872" hidden="1" customWidth="1"/>
    <col min="37" max="40" width="6.7109375" style="710" hidden="1" customWidth="1"/>
    <col min="41" max="42" width="6.7109375" style="875" hidden="1" customWidth="1"/>
  </cols>
  <sheetData>
    <row r="1" spans="1:42" s="1016" customFormat="1" ht="12" hidden="1" customHeight="1">
      <c r="A1" s="113"/>
      <c r="B1" s="113"/>
      <c r="C1" s="113"/>
      <c r="D1" s="113"/>
      <c r="E1" s="113"/>
      <c r="F1" s="634" t="s">
        <v>77</v>
      </c>
      <c r="G1" s="113"/>
      <c r="H1" s="113"/>
      <c r="I1" s="113"/>
      <c r="J1" s="113"/>
      <c r="K1" s="113"/>
      <c r="L1" s="113"/>
      <c r="M1" s="113"/>
      <c r="N1" s="113"/>
      <c r="O1" s="113"/>
      <c r="P1" s="113"/>
      <c r="Q1" s="113"/>
      <c r="R1" s="113"/>
      <c r="S1" s="113"/>
      <c r="T1" s="113"/>
      <c r="U1" s="634" t="s">
        <v>78</v>
      </c>
      <c r="V1" s="634" t="s">
        <v>83</v>
      </c>
      <c r="W1" s="634" t="s">
        <v>79</v>
      </c>
      <c r="X1" s="634" t="s">
        <v>80</v>
      </c>
      <c r="Y1" s="634" t="s">
        <v>81</v>
      </c>
      <c r="Z1" s="634" t="s">
        <v>85</v>
      </c>
      <c r="AA1" s="645" t="s">
        <v>82</v>
      </c>
      <c r="AB1" s="645" t="s">
        <v>274</v>
      </c>
      <c r="AC1" s="645" t="s">
        <v>84</v>
      </c>
      <c r="AJ1" s="872" t="s">
        <v>275</v>
      </c>
      <c r="AK1" s="116" t="s">
        <v>276</v>
      </c>
      <c r="AL1" s="116" t="s">
        <v>277</v>
      </c>
      <c r="AM1" s="116" t="s">
        <v>278</v>
      </c>
      <c r="AN1" s="116" t="s">
        <v>279</v>
      </c>
      <c r="AO1" s="705" t="s">
        <v>280</v>
      </c>
      <c r="AP1" s="705" t="s">
        <v>281</v>
      </c>
    </row>
    <row r="2" spans="1:42" s="618" customFormat="1" ht="12" hidden="1" customHeight="1">
      <c r="A2" s="109"/>
      <c r="B2" s="635" t="s">
        <v>15</v>
      </c>
      <c r="C2" s="109"/>
      <c r="D2" s="109"/>
      <c r="E2" s="109"/>
      <c r="F2" s="109"/>
      <c r="G2" s="109"/>
      <c r="H2" s="109"/>
      <c r="I2" s="109"/>
      <c r="J2" s="109"/>
      <c r="K2" s="109"/>
      <c r="L2" s="109"/>
      <c r="M2" s="109"/>
      <c r="N2" s="109"/>
      <c r="O2" s="109"/>
      <c r="P2" s="109"/>
      <c r="Q2" s="109"/>
      <c r="R2" s="109"/>
      <c r="S2" s="109"/>
      <c r="T2" s="113"/>
      <c r="U2" s="109"/>
      <c r="V2" s="109"/>
      <c r="W2" s="109"/>
      <c r="X2" s="109"/>
      <c r="Y2" s="109"/>
      <c r="Z2" s="109"/>
      <c r="AJ2" s="873"/>
      <c r="AO2" s="629"/>
      <c r="AP2" s="629"/>
    </row>
    <row r="3" spans="1:42" s="745" customFormat="1" ht="12" hidden="1" customHeight="1">
      <c r="A3" s="109"/>
      <c r="B3" s="109"/>
      <c r="C3" s="113"/>
      <c r="D3" s="109"/>
      <c r="E3" s="109"/>
      <c r="F3" s="109"/>
      <c r="G3" s="109"/>
      <c r="H3" s="109"/>
      <c r="I3" s="109"/>
      <c r="J3" s="109"/>
      <c r="K3" s="109"/>
      <c r="L3" s="109"/>
      <c r="M3" s="109"/>
      <c r="N3" s="109"/>
      <c r="O3" s="109"/>
      <c r="P3" s="109"/>
      <c r="Q3" s="109"/>
      <c r="R3" s="109"/>
      <c r="S3" s="109"/>
      <c r="T3" s="113"/>
      <c r="U3" s="109"/>
      <c r="V3" s="109"/>
      <c r="W3" s="109"/>
      <c r="X3" s="109"/>
      <c r="Y3" s="109"/>
      <c r="Z3" s="109"/>
      <c r="AJ3" s="872"/>
      <c r="AO3" s="874"/>
      <c r="AP3" s="874"/>
    </row>
    <row r="4" spans="1:42" s="745" customFormat="1" ht="12" hidden="1" customHeight="1">
      <c r="A4" s="109"/>
      <c r="B4" s="109"/>
      <c r="C4" s="109"/>
      <c r="D4" s="109"/>
      <c r="E4" s="109"/>
      <c r="F4" s="109"/>
      <c r="G4" s="109"/>
      <c r="H4" s="109"/>
      <c r="I4" s="109"/>
      <c r="J4" s="109"/>
      <c r="K4" s="109"/>
      <c r="L4" s="109"/>
      <c r="M4" s="109"/>
      <c r="N4" s="109"/>
      <c r="O4" s="109"/>
      <c r="P4" s="109"/>
      <c r="Q4" s="109"/>
      <c r="R4" s="109"/>
      <c r="S4" s="109"/>
      <c r="T4" s="113"/>
      <c r="U4" s="109"/>
      <c r="V4" s="109"/>
      <c r="W4" s="109"/>
      <c r="X4" s="109"/>
      <c r="Y4" s="109"/>
      <c r="Z4" s="109"/>
      <c r="AJ4" s="872"/>
      <c r="AO4" s="874"/>
      <c r="AP4" s="874"/>
    </row>
    <row r="5" spans="1:42" s="629" customFormat="1" ht="12" hidden="1" customHeight="1">
      <c r="A5" s="109"/>
      <c r="B5" s="109"/>
      <c r="C5" s="109"/>
      <c r="D5" s="109"/>
      <c r="E5" s="265" t="s">
        <v>16</v>
      </c>
      <c r="F5" s="265"/>
      <c r="G5" s="265"/>
      <c r="H5" s="265"/>
      <c r="I5" s="265"/>
      <c r="J5" s="265"/>
      <c r="K5" s="265"/>
      <c r="L5" s="265"/>
      <c r="M5" s="265"/>
      <c r="N5" s="265"/>
      <c r="O5" s="265"/>
      <c r="P5" s="265"/>
      <c r="Q5" s="265"/>
      <c r="R5" s="265"/>
      <c r="S5" s="265"/>
      <c r="T5" s="633"/>
      <c r="U5" s="265"/>
      <c r="V5" s="265"/>
      <c r="W5" s="265"/>
      <c r="X5" s="265"/>
      <c r="Y5" s="265"/>
      <c r="Z5" s="265"/>
      <c r="AA5" s="629">
        <v>3</v>
      </c>
      <c r="AB5" s="629">
        <v>5.63</v>
      </c>
      <c r="AC5" s="629">
        <v>28.13</v>
      </c>
      <c r="AD5" s="629">
        <v>28.13</v>
      </c>
      <c r="AE5" s="629">
        <v>14.75</v>
      </c>
      <c r="AF5" s="629">
        <v>22</v>
      </c>
      <c r="AG5" s="629">
        <v>31.5</v>
      </c>
      <c r="AH5" s="629">
        <v>3</v>
      </c>
      <c r="AJ5" s="873"/>
    </row>
    <row r="6" spans="1:42" s="745" customFormat="1" ht="12" hidden="1" customHeight="1">
      <c r="A6" s="109"/>
      <c r="B6" s="109"/>
      <c r="C6" s="109"/>
      <c r="D6" s="109"/>
      <c r="E6" s="265"/>
      <c r="F6" s="109"/>
      <c r="G6" s="109"/>
      <c r="H6" s="109"/>
      <c r="I6" s="109"/>
      <c r="J6" s="109"/>
      <c r="K6" s="109"/>
      <c r="L6" s="109"/>
      <c r="M6" s="109"/>
      <c r="N6" s="109"/>
      <c r="O6" s="109"/>
      <c r="P6" s="109"/>
      <c r="Q6" s="109"/>
      <c r="R6" s="109"/>
      <c r="S6" s="109"/>
      <c r="T6" s="113"/>
      <c r="U6" s="109"/>
      <c r="V6" s="109"/>
      <c r="W6" s="109"/>
      <c r="X6" s="109"/>
      <c r="Y6" s="109"/>
      <c r="Z6" s="109"/>
      <c r="AC6" s="291" t="s">
        <v>282</v>
      </c>
      <c r="AD6" s="291" t="s">
        <v>283</v>
      </c>
      <c r="AE6" s="291" t="s">
        <v>284</v>
      </c>
      <c r="AJ6" s="872"/>
      <c r="AO6" s="874"/>
      <c r="AP6" s="874"/>
    </row>
    <row r="7" spans="1:42" s="710" customFormat="1" ht="12" hidden="1" customHeight="1">
      <c r="A7" s="109"/>
      <c r="B7" s="109"/>
      <c r="C7" s="109"/>
      <c r="D7" s="109"/>
      <c r="E7" s="265"/>
      <c r="F7" s="152"/>
      <c r="G7" s="152"/>
      <c r="H7" s="152"/>
      <c r="I7" s="152"/>
      <c r="J7" s="152"/>
      <c r="K7" s="152"/>
      <c r="L7" s="152"/>
      <c r="M7" s="152"/>
      <c r="N7" s="152"/>
      <c r="O7" s="152"/>
      <c r="P7" s="152"/>
      <c r="Q7" s="152"/>
      <c r="R7" s="152"/>
      <c r="S7" s="152"/>
      <c r="T7" s="150"/>
      <c r="U7" s="152"/>
      <c r="V7" s="152"/>
      <c r="W7" s="152"/>
      <c r="X7" s="152"/>
      <c r="Y7" s="152"/>
      <c r="Z7" s="152"/>
      <c r="AJ7" s="872"/>
      <c r="AO7" s="875"/>
      <c r="AP7" s="875"/>
    </row>
    <row r="8" spans="1:42" s="710" customFormat="1" ht="12" hidden="1" customHeight="1">
      <c r="A8" s="109"/>
      <c r="B8" s="109"/>
      <c r="C8" s="109"/>
      <c r="D8" s="109"/>
      <c r="E8" s="265"/>
      <c r="F8" s="152"/>
      <c r="G8" s="152"/>
      <c r="H8" s="152"/>
      <c r="I8" s="152"/>
      <c r="J8" s="152"/>
      <c r="K8" s="152"/>
      <c r="L8" s="152"/>
      <c r="M8" s="152"/>
      <c r="N8" s="152"/>
      <c r="O8" s="152"/>
      <c r="P8" s="152"/>
      <c r="Q8" s="152"/>
      <c r="R8" s="152"/>
      <c r="S8" s="152"/>
      <c r="T8" s="150"/>
      <c r="U8" s="152"/>
      <c r="V8" s="152"/>
      <c r="W8" s="152"/>
      <c r="X8" s="152"/>
      <c r="Y8" s="152"/>
      <c r="Z8" s="152"/>
      <c r="AJ8" s="872"/>
      <c r="AO8" s="875"/>
      <c r="AP8" s="875"/>
    </row>
    <row r="9" spans="1:42" s="872" customFormat="1" ht="12" hidden="1" customHeight="1">
      <c r="A9" s="870" t="s">
        <v>285</v>
      </c>
      <c r="B9" s="871"/>
      <c r="C9" s="871"/>
      <c r="D9" s="871"/>
      <c r="E9" s="871"/>
      <c r="F9" s="871"/>
      <c r="G9" s="871"/>
      <c r="H9" s="871"/>
      <c r="I9" s="871"/>
      <c r="J9" s="871"/>
      <c r="K9" s="871"/>
      <c r="L9" s="871"/>
      <c r="M9" s="871"/>
      <c r="N9" s="871"/>
      <c r="O9" s="871"/>
      <c r="P9" s="871"/>
      <c r="Q9" s="871"/>
      <c r="R9" s="871"/>
      <c r="S9" s="871"/>
      <c r="T9" s="871"/>
      <c r="U9" s="871"/>
      <c r="V9" s="871"/>
      <c r="W9" s="871"/>
      <c r="X9" s="871"/>
      <c r="Y9" s="871"/>
      <c r="Z9" s="871"/>
      <c r="AF9" s="872" t="str">
        <f>AF24</f>
        <v xml:space="preserve">Тип муниципального образования </v>
      </c>
      <c r="AG9" s="872" t="str">
        <f>AG24</f>
        <v>Дополнительные сведения</v>
      </c>
      <c r="AO9" s="705"/>
      <c r="AP9" s="705"/>
    </row>
    <row r="10" spans="1:42" s="872" customFormat="1" ht="12" hidden="1" customHeight="1">
      <c r="A10" s="870" t="s">
        <v>286</v>
      </c>
      <c r="B10" s="871"/>
      <c r="C10" s="871"/>
      <c r="D10" s="871"/>
      <c r="E10" s="871"/>
      <c r="F10" s="871"/>
      <c r="G10" s="871"/>
      <c r="H10" s="871"/>
      <c r="I10" s="871"/>
      <c r="J10" s="871"/>
      <c r="K10" s="871"/>
      <c r="L10" s="871"/>
      <c r="M10" s="871"/>
      <c r="N10" s="871"/>
      <c r="O10" s="871"/>
      <c r="P10" s="871"/>
      <c r="Q10" s="871"/>
      <c r="R10" s="871"/>
      <c r="S10" s="871"/>
      <c r="T10" s="871"/>
      <c r="U10" s="871"/>
      <c r="V10" s="871"/>
      <c r="W10" s="871"/>
      <c r="X10" s="871"/>
      <c r="Y10" s="871"/>
      <c r="Z10" s="871"/>
      <c r="AC10" s="872" t="s">
        <v>277</v>
      </c>
      <c r="AD10" s="872" t="s">
        <v>278</v>
      </c>
      <c r="AE10" s="872" t="s">
        <v>279</v>
      </c>
      <c r="AO10" s="705"/>
      <c r="AP10" s="705"/>
    </row>
    <row r="11" spans="1:42" s="745" customFormat="1" ht="12" hidden="1" customHeight="1">
      <c r="A11" s="109"/>
      <c r="B11" s="109"/>
      <c r="C11" s="109"/>
      <c r="D11" s="109"/>
      <c r="E11" s="265"/>
      <c r="F11" s="109"/>
      <c r="G11" s="109"/>
      <c r="H11" s="109"/>
      <c r="I11" s="109"/>
      <c r="J11" s="109"/>
      <c r="K11" s="109"/>
      <c r="L11" s="109"/>
      <c r="M11" s="109"/>
      <c r="N11" s="109"/>
      <c r="O11" s="109"/>
      <c r="P11" s="109"/>
      <c r="Q11" s="109"/>
      <c r="R11" s="109"/>
      <c r="S11" s="109"/>
      <c r="T11" s="113"/>
      <c r="U11" s="109"/>
      <c r="V11" s="109"/>
      <c r="W11" s="109"/>
      <c r="X11" s="109"/>
      <c r="Y11" s="109"/>
      <c r="Z11" s="109"/>
      <c r="AJ11" s="872"/>
      <c r="AO11" s="874"/>
      <c r="AP11" s="874"/>
    </row>
    <row r="12" spans="1:42" s="745" customFormat="1" ht="12" hidden="1" customHeight="1">
      <c r="A12" s="109"/>
      <c r="B12" s="109"/>
      <c r="C12" s="109"/>
      <c r="D12" s="109"/>
      <c r="E12" s="265"/>
      <c r="F12" s="109"/>
      <c r="G12" s="109"/>
      <c r="H12" s="109"/>
      <c r="I12" s="109"/>
      <c r="J12" s="109"/>
      <c r="K12" s="109"/>
      <c r="L12" s="109"/>
      <c r="M12" s="109"/>
      <c r="N12" s="109"/>
      <c r="O12" s="109"/>
      <c r="P12" s="109"/>
      <c r="Q12" s="109"/>
      <c r="R12" s="109"/>
      <c r="S12" s="109"/>
      <c r="T12" s="113"/>
      <c r="U12" s="109"/>
      <c r="V12" s="109"/>
      <c r="W12" s="109"/>
      <c r="X12" s="109"/>
      <c r="Y12" s="109"/>
      <c r="Z12" s="109"/>
      <c r="AJ12" s="872"/>
      <c r="AO12" s="874"/>
      <c r="AP12" s="874"/>
    </row>
    <row r="13" spans="1:42" s="745" customFormat="1" ht="12" hidden="1" customHeight="1">
      <c r="A13" s="109"/>
      <c r="B13" s="109"/>
      <c r="C13" s="109"/>
      <c r="D13" s="109"/>
      <c r="E13" s="265"/>
      <c r="F13" s="109"/>
      <c r="G13" s="109"/>
      <c r="H13" s="109"/>
      <c r="I13" s="109"/>
      <c r="J13" s="109"/>
      <c r="K13" s="109"/>
      <c r="L13" s="109"/>
      <c r="M13" s="109"/>
      <c r="N13" s="109"/>
      <c r="O13" s="109"/>
      <c r="P13" s="109"/>
      <c r="Q13" s="109"/>
      <c r="R13" s="109"/>
      <c r="S13" s="109"/>
      <c r="T13" s="113"/>
      <c r="U13" s="109"/>
      <c r="V13" s="109"/>
      <c r="W13" s="109"/>
      <c r="X13" s="109"/>
      <c r="Y13" s="109"/>
      <c r="Z13" s="109"/>
      <c r="AJ13" s="872"/>
      <c r="AO13" s="874"/>
      <c r="AP13" s="874"/>
    </row>
    <row r="14" spans="1:42" s="745" customFormat="1" ht="12" hidden="1" customHeight="1">
      <c r="A14" s="109"/>
      <c r="B14" s="109"/>
      <c r="C14" s="109"/>
      <c r="D14" s="109"/>
      <c r="E14" s="265"/>
      <c r="F14" s="109"/>
      <c r="G14" s="109"/>
      <c r="H14" s="109"/>
      <c r="I14" s="109"/>
      <c r="J14" s="109"/>
      <c r="K14" s="109"/>
      <c r="L14" s="109"/>
      <c r="M14" s="109"/>
      <c r="N14" s="109"/>
      <c r="O14" s="109"/>
      <c r="P14" s="109"/>
      <c r="Q14" s="109"/>
      <c r="R14" s="109"/>
      <c r="S14" s="109"/>
      <c r="T14" s="113"/>
      <c r="U14" s="109"/>
      <c r="V14" s="109"/>
      <c r="W14" s="109"/>
      <c r="X14" s="109"/>
      <c r="Y14" s="109"/>
      <c r="Z14" s="109"/>
      <c r="AJ14" s="872"/>
      <c r="AO14" s="874"/>
      <c r="AP14" s="874"/>
    </row>
    <row r="15" spans="1:42" s="745" customFormat="1" ht="12" hidden="1" customHeight="1">
      <c r="A15" s="109"/>
      <c r="B15" s="109"/>
      <c r="C15" s="109"/>
      <c r="D15" s="109"/>
      <c r="E15" s="265"/>
      <c r="F15" s="109"/>
      <c r="G15" s="109"/>
      <c r="H15" s="109"/>
      <c r="I15" s="109"/>
      <c r="J15" s="109"/>
      <c r="K15" s="109"/>
      <c r="L15" s="109"/>
      <c r="M15" s="109"/>
      <c r="N15" s="109"/>
      <c r="O15" s="109"/>
      <c r="P15" s="109"/>
      <c r="Q15" s="109"/>
      <c r="R15" s="109"/>
      <c r="S15" s="109"/>
      <c r="T15" s="113"/>
      <c r="U15" s="109"/>
      <c r="V15" s="109"/>
      <c r="W15" s="109"/>
      <c r="X15" s="109"/>
      <c r="Y15" s="109"/>
      <c r="Z15" s="109"/>
      <c r="AJ15" s="872"/>
      <c r="AO15" s="874"/>
      <c r="AP15" s="874"/>
    </row>
    <row r="16" spans="1:42" s="745" customFormat="1" ht="12" hidden="1" customHeight="1">
      <c r="A16" s="109"/>
      <c r="B16" s="109"/>
      <c r="C16" s="109"/>
      <c r="D16" s="109"/>
      <c r="E16" s="265"/>
      <c r="F16" s="109"/>
      <c r="G16" s="109"/>
      <c r="H16" s="109"/>
      <c r="I16" s="109"/>
      <c r="J16" s="109"/>
      <c r="K16" s="109"/>
      <c r="L16" s="109"/>
      <c r="M16" s="109"/>
      <c r="N16" s="109"/>
      <c r="O16" s="109"/>
      <c r="P16" s="109"/>
      <c r="Q16" s="109"/>
      <c r="R16" s="109"/>
      <c r="S16" s="109"/>
      <c r="T16" s="113"/>
      <c r="U16" s="109"/>
      <c r="V16" s="109"/>
      <c r="W16" s="109"/>
      <c r="X16" s="109"/>
      <c r="Y16" s="109"/>
      <c r="Z16" s="109"/>
      <c r="AJ16" s="872"/>
      <c r="AO16" s="874"/>
      <c r="AP16" s="874"/>
    </row>
    <row r="17" spans="1:42" s="745" customFormat="1" ht="12" hidden="1" customHeight="1">
      <c r="A17" s="109"/>
      <c r="B17" s="109"/>
      <c r="C17" s="109"/>
      <c r="D17" s="109"/>
      <c r="E17" s="265"/>
      <c r="F17" s="109"/>
      <c r="G17" s="109"/>
      <c r="H17" s="109"/>
      <c r="I17" s="109"/>
      <c r="J17" s="109"/>
      <c r="K17" s="109"/>
      <c r="L17" s="109"/>
      <c r="M17" s="109"/>
      <c r="N17" s="109"/>
      <c r="O17" s="109"/>
      <c r="P17" s="109"/>
      <c r="Q17" s="109"/>
      <c r="R17" s="109"/>
      <c r="S17" s="109"/>
      <c r="T17" s="113"/>
      <c r="U17" s="109"/>
      <c r="V17" s="109"/>
      <c r="W17" s="109"/>
      <c r="X17" s="109"/>
      <c r="Y17" s="109"/>
      <c r="Z17" s="109"/>
      <c r="AJ17" s="872"/>
      <c r="AO17" s="874"/>
      <c r="AP17" s="874"/>
    </row>
    <row r="18" spans="1:42" s="745" customFormat="1" ht="12" hidden="1" customHeight="1">
      <c r="A18" s="109"/>
      <c r="B18" s="109"/>
      <c r="C18" s="109"/>
      <c r="D18" s="109"/>
      <c r="E18" s="265"/>
      <c r="F18" s="109"/>
      <c r="G18" s="109"/>
      <c r="H18" s="109"/>
      <c r="I18" s="109"/>
      <c r="J18" s="109"/>
      <c r="K18" s="109"/>
      <c r="L18" s="109"/>
      <c r="M18" s="109"/>
      <c r="N18" s="109"/>
      <c r="O18" s="109"/>
      <c r="P18" s="109"/>
      <c r="Q18" s="109"/>
      <c r="R18" s="109"/>
      <c r="S18" s="109"/>
      <c r="T18" s="113"/>
      <c r="U18" s="109"/>
      <c r="V18" s="109"/>
      <c r="W18" s="109"/>
      <c r="X18" s="109"/>
      <c r="Y18" s="109"/>
      <c r="Z18" s="109"/>
      <c r="AJ18" s="872"/>
      <c r="AO18" s="874"/>
      <c r="AP18" s="874"/>
    </row>
    <row r="19" spans="1:42" s="745" customFormat="1" ht="12" hidden="1" customHeight="1">
      <c r="A19" s="109"/>
      <c r="B19" s="109"/>
      <c r="C19" s="109"/>
      <c r="D19" s="109"/>
      <c r="E19" s="265"/>
      <c r="F19" s="109"/>
      <c r="G19" s="109"/>
      <c r="H19" s="109"/>
      <c r="I19" s="109"/>
      <c r="J19" s="109"/>
      <c r="K19" s="109"/>
      <c r="L19" s="109"/>
      <c r="M19" s="109"/>
      <c r="N19" s="109"/>
      <c r="O19" s="109"/>
      <c r="P19" s="109"/>
      <c r="Q19" s="109"/>
      <c r="R19" s="109"/>
      <c r="S19" s="109"/>
      <c r="T19" s="113"/>
      <c r="U19" s="109"/>
      <c r="V19" s="109"/>
      <c r="W19" s="109"/>
      <c r="X19" s="109"/>
      <c r="Y19" s="109"/>
      <c r="Z19" s="109"/>
      <c r="AJ19" s="872"/>
      <c r="AO19" s="874"/>
      <c r="AP19" s="874"/>
    </row>
    <row r="20" spans="1:42" s="745" customFormat="1" ht="12" hidden="1" customHeight="1">
      <c r="A20" s="109"/>
      <c r="B20" s="109"/>
      <c r="C20" s="109"/>
      <c r="D20" s="109"/>
      <c r="E20" s="265"/>
      <c r="F20" s="109"/>
      <c r="G20" s="109"/>
      <c r="H20" s="109"/>
      <c r="I20" s="109"/>
      <c r="J20" s="109"/>
      <c r="K20" s="109"/>
      <c r="L20" s="109"/>
      <c r="M20" s="109"/>
      <c r="N20" s="109"/>
      <c r="O20" s="109"/>
      <c r="P20" s="109"/>
      <c r="Q20" s="109"/>
      <c r="R20" s="109"/>
      <c r="S20" s="109"/>
      <c r="T20" s="113"/>
      <c r="U20" s="109"/>
      <c r="V20" s="109"/>
      <c r="W20" s="109"/>
      <c r="X20" s="109"/>
      <c r="Y20" s="109"/>
      <c r="Z20" s="109"/>
      <c r="AJ20" s="872"/>
      <c r="AO20" s="874"/>
      <c r="AP20" s="874"/>
    </row>
    <row r="21" spans="1:42" s="710" customFormat="1" ht="14.65" customHeight="1">
      <c r="A21" s="109"/>
      <c r="B21" s="109"/>
      <c r="C21" s="109"/>
      <c r="D21" s="109"/>
      <c r="E21" s="265">
        <v>15</v>
      </c>
      <c r="F21" s="109"/>
      <c r="G21" s="109"/>
      <c r="H21" s="109"/>
      <c r="I21" s="109"/>
      <c r="J21" s="109"/>
      <c r="K21" s="109"/>
      <c r="L21" s="109"/>
      <c r="M21" s="109"/>
      <c r="N21" s="109"/>
      <c r="O21" s="109"/>
      <c r="P21" s="109"/>
      <c r="Q21" s="109"/>
      <c r="R21" s="109"/>
      <c r="S21" s="109"/>
      <c r="T21" s="113"/>
      <c r="U21" s="113"/>
      <c r="V21" s="113"/>
      <c r="W21" s="113"/>
      <c r="X21" s="113"/>
      <c r="Y21" s="113"/>
      <c r="Z21" s="113"/>
      <c r="AA21" s="646"/>
      <c r="AB21" s="732"/>
      <c r="AC21" s="325" t="str">
        <f>tpl_title</f>
        <v>Кемеровская область / 2026 / АО "СУЭК-Кузбасс" (ИНН:4212024138, КПП:421201001) / ДПР: 2024-2028</v>
      </c>
      <c r="AD21" s="732"/>
      <c r="AE21" s="732"/>
      <c r="AF21" s="732"/>
      <c r="AJ21" s="872"/>
      <c r="AO21" s="875"/>
      <c r="AP21" s="875"/>
    </row>
    <row r="22" spans="1:42" ht="29.25" customHeight="1">
      <c r="E22" s="265">
        <v>30</v>
      </c>
      <c r="S22" s="113"/>
      <c r="U22" s="113"/>
      <c r="V22" s="113"/>
      <c r="W22" s="113"/>
      <c r="X22" s="113"/>
      <c r="Y22" s="113"/>
      <c r="Z22" s="113"/>
      <c r="AA22" s="646"/>
      <c r="AB22" s="1398" t="s">
        <v>287</v>
      </c>
      <c r="AC22" s="1399"/>
      <c r="AD22" s="1399"/>
      <c r="AE22" s="1399"/>
      <c r="AF22" s="1399"/>
      <c r="AG22" s="1399"/>
    </row>
    <row r="23" spans="1:42" ht="11.1" customHeight="1">
      <c r="E23" s="265">
        <v>11.4</v>
      </c>
      <c r="U23" s="115"/>
      <c r="V23" s="115"/>
      <c r="W23" s="115"/>
      <c r="X23" s="115"/>
      <c r="Y23" s="115"/>
      <c r="Z23" s="115"/>
      <c r="AA23" s="708"/>
      <c r="AB23" s="132"/>
      <c r="AC23" s="132"/>
      <c r="AD23" s="132"/>
      <c r="AE23" s="133"/>
      <c r="AF23" s="133"/>
      <c r="AG23" s="133"/>
    </row>
    <row r="24" spans="1:42" ht="27.75" customHeight="1">
      <c r="E24" s="265">
        <v>28.5</v>
      </c>
      <c r="U24" s="115"/>
      <c r="V24" s="115"/>
      <c r="W24" s="115"/>
      <c r="X24" s="115"/>
      <c r="Y24" s="115"/>
      <c r="Z24" s="115"/>
      <c r="AA24" s="708"/>
      <c r="AB24" s="134" t="s">
        <v>288</v>
      </c>
      <c r="AC24" s="135" t="s">
        <v>289</v>
      </c>
      <c r="AD24" s="135" t="s">
        <v>290</v>
      </c>
      <c r="AE24" s="135" t="s">
        <v>291</v>
      </c>
      <c r="AF24" s="330" t="s">
        <v>292</v>
      </c>
      <c r="AG24" s="136" t="s">
        <v>244</v>
      </c>
    </row>
    <row r="25" spans="1:42" ht="28.5" hidden="1" customHeight="1">
      <c r="E25" s="265">
        <v>0</v>
      </c>
      <c r="U25" s="115"/>
      <c r="V25" s="115"/>
      <c r="W25" s="115"/>
      <c r="X25" s="115"/>
      <c r="Y25" s="115"/>
      <c r="Z25" s="115"/>
      <c r="AA25" s="708"/>
      <c r="AB25" s="549"/>
      <c r="AC25" s="549"/>
      <c r="AD25" s="549"/>
      <c r="AE25" s="549"/>
      <c r="AF25" s="549"/>
      <c r="AG25" s="549"/>
    </row>
    <row r="26" spans="1:42" ht="11.1" hidden="1" customHeight="1">
      <c r="E26" s="265">
        <v>11.4</v>
      </c>
      <c r="F26" s="113">
        <f>Y26</f>
        <v>0</v>
      </c>
      <c r="U26" s="715" t="b">
        <f>Y26&gt;0</f>
        <v>0</v>
      </c>
      <c r="W26" s="109" t="s">
        <v>228</v>
      </c>
      <c r="Y26" s="1400">
        <v>0</v>
      </c>
      <c r="Z26" s="1400"/>
      <c r="AB26" s="197" t="str">
        <f>INDEX('Общие сведения'!$AG$169:$AG$202,MATCH(Y26,'Общие сведения'!$Z$169:$Z$202,0))</f>
        <v>Тариф 0 (Теплоснабжение) - Тарифы на теплоноситель</v>
      </c>
      <c r="AC26" s="191"/>
      <c r="AD26" s="191"/>
      <c r="AE26" s="191"/>
      <c r="AF26" s="191"/>
      <c r="AG26" s="191"/>
    </row>
    <row r="27" spans="1:42" ht="23.45" hidden="1" customHeight="1">
      <c r="E27" s="265">
        <v>24</v>
      </c>
      <c r="F27" s="113">
        <f ca="1">OFFSET(G27,-1,-1)</f>
        <v>0</v>
      </c>
      <c r="U27" s="715" t="b">
        <f ca="1">AND(OFFSET(V27,1,-1),AB27&gt;1)</f>
        <v>0</v>
      </c>
      <c r="X27" s="109" t="s">
        <v>170</v>
      </c>
      <c r="Y27" s="1400"/>
      <c r="Z27" s="1400"/>
      <c r="AA27" s="709" t="s">
        <v>157</v>
      </c>
      <c r="AB27" s="636">
        <v>0</v>
      </c>
      <c r="AC27" s="196"/>
      <c r="AD27" s="196"/>
      <c r="AE27" s="196"/>
      <c r="AF27" s="6"/>
      <c r="AG27" s="6"/>
      <c r="AJ27" s="876" t="s">
        <v>293</v>
      </c>
      <c r="AK27" s="155" t="s">
        <v>294</v>
      </c>
      <c r="AL27" s="131">
        <f>AC27</f>
        <v>0</v>
      </c>
      <c r="AM27" s="131">
        <f>AD27</f>
        <v>0</v>
      </c>
      <c r="AN27" s="131">
        <f>AE27</f>
        <v>0</v>
      </c>
      <c r="AP27" s="875" t="b">
        <v>1</v>
      </c>
    </row>
    <row r="28" spans="1:42" ht="11.1" hidden="1" customHeight="1">
      <c r="E28" s="265">
        <v>11.4</v>
      </c>
      <c r="F28" s="113">
        <f ca="1">OFFSET(G28,-1,-1)</f>
        <v>0</v>
      </c>
      <c r="U28" s="715" t="b">
        <f>U26</f>
        <v>0</v>
      </c>
      <c r="X28" s="109" t="s">
        <v>295</v>
      </c>
      <c r="Y28" s="1400"/>
      <c r="Z28" s="1400"/>
      <c r="AB28" s="192"/>
      <c r="AC28" s="258" t="s">
        <v>296</v>
      </c>
      <c r="AD28" s="193"/>
      <c r="AE28" s="193"/>
      <c r="AF28" s="193"/>
      <c r="AG28" s="194"/>
      <c r="AO28" s="875" t="s">
        <v>294</v>
      </c>
    </row>
    <row r="29" spans="1:42" s="1054" customFormat="1" ht="10.5" customHeight="1">
      <c r="A29" s="1015"/>
      <c r="B29" s="1015"/>
      <c r="C29" s="1015"/>
      <c r="D29" s="1015"/>
      <c r="E29" s="265">
        <v>11.4</v>
      </c>
      <c r="F29" s="113" t="str">
        <f>Y29</f>
        <v>1</v>
      </c>
      <c r="G29" s="1015"/>
      <c r="H29" s="1015"/>
      <c r="I29" s="1015"/>
      <c r="J29" s="1015"/>
      <c r="K29" s="1015"/>
      <c r="L29" s="1015"/>
      <c r="M29" s="1015"/>
      <c r="N29" s="1015"/>
      <c r="O29" s="1015"/>
      <c r="P29" s="1015"/>
      <c r="Q29" s="1015"/>
      <c r="R29" s="1015"/>
      <c r="S29" s="1015"/>
      <c r="T29" s="1012"/>
      <c r="U29" s="715" t="b">
        <f>Y29&gt;0</f>
        <v>1</v>
      </c>
      <c r="V29" s="1015"/>
      <c r="W29" s="109" t="str">
        <f>'Общие сведения'!$AG$186</f>
        <v>Тариф 1 (Теплоснабжение) - Тарифы на теплоноситель (Не определено)</v>
      </c>
      <c r="X29" s="1015"/>
      <c r="Y29" s="1400" t="s">
        <v>247</v>
      </c>
      <c r="Z29" s="1400"/>
      <c r="AA29" s="710"/>
      <c r="AB29" s="197" t="str">
        <f>IF(ISBLANK('Общие сведения'!$AG$186),"",'Общие сведения'!$AG$186)</f>
        <v>Тариф 1 (Теплоснабжение) - Тарифы на теплоноситель (Не определено)</v>
      </c>
      <c r="AC29" s="191"/>
      <c r="AD29" s="191"/>
      <c r="AE29" s="191"/>
      <c r="AF29" s="191"/>
      <c r="AG29" s="191"/>
      <c r="AH29" s="131"/>
      <c r="AI29" s="131"/>
      <c r="AJ29" s="872"/>
      <c r="AK29" s="710"/>
      <c r="AL29" s="710"/>
      <c r="AM29" s="710"/>
      <c r="AN29" s="710"/>
      <c r="AO29" s="875"/>
      <c r="AP29" s="875"/>
    </row>
    <row r="30" spans="1:42" s="1055" customFormat="1" ht="23.25" hidden="1" customHeight="1">
      <c r="E30" s="265">
        <v>24</v>
      </c>
      <c r="F30" s="113" t="str">
        <f ca="1">OFFSET(G30,-1,-1)</f>
        <v>1</v>
      </c>
      <c r="U30" s="715" t="b">
        <f ca="1">AND(OFFSET(V30,1,-1),AB30&gt;1)</f>
        <v>0</v>
      </c>
      <c r="X30" s="109" t="s">
        <v>170</v>
      </c>
      <c r="Y30" s="1401"/>
      <c r="Z30" s="1401"/>
      <c r="AA30" s="709" t="s">
        <v>157</v>
      </c>
      <c r="AB30" s="636">
        <v>0</v>
      </c>
      <c r="AC30" s="196"/>
      <c r="AD30" s="196"/>
      <c r="AE30" s="196"/>
      <c r="AF30" s="6"/>
      <c r="AG30" s="6"/>
      <c r="AJ30" s="876" t="s">
        <v>293</v>
      </c>
      <c r="AK30" s="155" t="s">
        <v>294</v>
      </c>
      <c r="AL30" s="131">
        <f t="shared" ref="AL30:AN31" si="0">AC30</f>
        <v>0</v>
      </c>
      <c r="AM30" s="131">
        <f t="shared" si="0"/>
        <v>0</v>
      </c>
      <c r="AN30" s="131">
        <f t="shared" si="0"/>
        <v>0</v>
      </c>
      <c r="AO30" s="875"/>
      <c r="AP30" s="875" t="b">
        <v>1</v>
      </c>
    </row>
    <row r="31" spans="1:42" s="1056" customFormat="1" ht="23.25" customHeight="1">
      <c r="A31" s="1057"/>
      <c r="B31" s="1057"/>
      <c r="C31" s="1057"/>
      <c r="D31" s="1057"/>
      <c r="E31" s="265">
        <v>24</v>
      </c>
      <c r="F31" s="113" t="str">
        <f ca="1">OFFSET(G31,-1,-1)</f>
        <v>1</v>
      </c>
      <c r="G31" s="1057"/>
      <c r="H31" s="1057"/>
      <c r="I31" s="1057"/>
      <c r="J31" s="1057"/>
      <c r="K31" s="1057"/>
      <c r="L31" s="1057"/>
      <c r="M31" s="1057"/>
      <c r="N31" s="1057"/>
      <c r="O31" s="1057"/>
      <c r="P31" s="1057"/>
      <c r="Q31" s="1057"/>
      <c r="R31" s="1057"/>
      <c r="S31" s="1057"/>
      <c r="T31" s="1057"/>
      <c r="U31" s="715" t="b">
        <f ca="1">AND(OFFSET(V31,1,-1),AB31&gt;1)</f>
        <v>1</v>
      </c>
      <c r="V31" s="1057"/>
      <c r="W31" s="1057"/>
      <c r="X31" s="109"/>
      <c r="Y31" s="1401"/>
      <c r="Z31" s="1401"/>
      <c r="AA31" s="709" t="s">
        <v>157</v>
      </c>
      <c r="AB31" s="636" t="s">
        <v>247</v>
      </c>
      <c r="AC31" s="196" t="s">
        <v>297</v>
      </c>
      <c r="AD31" s="196" t="s">
        <v>297</v>
      </c>
      <c r="AE31" s="196" t="s">
        <v>298</v>
      </c>
      <c r="AF31" s="1058"/>
      <c r="AG31" s="1058"/>
      <c r="AH31" s="1057"/>
      <c r="AI31" s="1057"/>
      <c r="AJ31" s="876" t="s">
        <v>293</v>
      </c>
      <c r="AK31" s="155" t="s">
        <v>294</v>
      </c>
      <c r="AL31" s="131" t="str">
        <f t="shared" si="0"/>
        <v>Ленинск-Кузнецкий муниципальный округ</v>
      </c>
      <c r="AM31" s="131" t="str">
        <f t="shared" si="0"/>
        <v>Ленинск-Кузнецкий муниципальный округ</v>
      </c>
      <c r="AN31" s="131" t="str">
        <f t="shared" si="0"/>
        <v>32514000</v>
      </c>
      <c r="AO31" s="875"/>
      <c r="AP31" s="875" t="b">
        <v>1</v>
      </c>
    </row>
    <row r="32" spans="1:42" s="1057" customFormat="1" ht="10.5" customHeight="1">
      <c r="A32" s="1015"/>
      <c r="B32" s="1015"/>
      <c r="C32" s="1015"/>
      <c r="D32" s="1015"/>
      <c r="E32" s="265">
        <v>11.4</v>
      </c>
      <c r="F32" s="113" t="str">
        <f ca="1">OFFSET(G32,-1,-1)</f>
        <v>1</v>
      </c>
      <c r="G32" s="1015"/>
      <c r="H32" s="1015"/>
      <c r="I32" s="1015"/>
      <c r="J32" s="1015"/>
      <c r="K32" s="1015"/>
      <c r="L32" s="1015"/>
      <c r="M32" s="1015"/>
      <c r="N32" s="1015"/>
      <c r="O32" s="1015"/>
      <c r="P32" s="1015"/>
      <c r="Q32" s="1015"/>
      <c r="R32" s="1015"/>
      <c r="S32" s="1015"/>
      <c r="T32" s="1012"/>
      <c r="U32" s="715" t="b">
        <f>U29</f>
        <v>1</v>
      </c>
      <c r="V32" s="1015"/>
      <c r="W32" s="1015"/>
      <c r="X32" s="109" t="s">
        <v>295</v>
      </c>
      <c r="Y32" s="1400"/>
      <c r="Z32" s="1400"/>
      <c r="AA32" s="710"/>
      <c r="AB32" s="192"/>
      <c r="AC32" s="258" t="s">
        <v>296</v>
      </c>
      <c r="AD32" s="193"/>
      <c r="AE32" s="193"/>
      <c r="AF32" s="193"/>
      <c r="AG32" s="194"/>
      <c r="AH32" s="131"/>
      <c r="AI32" s="131"/>
      <c r="AJ32" s="872"/>
      <c r="AK32" s="710"/>
      <c r="AL32" s="710"/>
      <c r="AM32" s="710"/>
      <c r="AN32" s="710"/>
      <c r="AO32" s="875" t="s">
        <v>294</v>
      </c>
      <c r="AP32" s="875"/>
    </row>
    <row r="33" spans="5:34" ht="11.1" customHeight="1">
      <c r="E33" s="265">
        <v>11.4</v>
      </c>
      <c r="V33" s="113" t="s">
        <v>172</v>
      </c>
      <c r="W33" s="109" t="s">
        <v>299</v>
      </c>
      <c r="AH33" s="755"/>
    </row>
    <row r="34" spans="5:34" ht="11.25" hidden="1" customHeight="1">
      <c r="V34" s="113"/>
    </row>
  </sheetData>
  <sheetProtection formatColumns="0" formatRows="0" insertRows="0" deleteColumns="0" deleteRows="0" sort="0" autoFilter="0"/>
  <mergeCells count="5">
    <mergeCell ref="AB22:AG22"/>
    <mergeCell ref="Z26:Z28"/>
    <mergeCell ref="Y26:Y28"/>
    <mergeCell ref="Z29:Z32"/>
    <mergeCell ref="Y29:Y32"/>
  </mergeCells>
  <dataValidations count="10">
    <dataValidation type="whole" allowBlank="1" showInputMessage="1" showErrorMessage="1" errorTitle="Внимание" error="Необходимо указать целое положительное значение!" sqref="WHS27 WRO27 FC27 OY27 YU27 AIQ27 ASM27 BCI27 BME27 BWA27 CFW27 CPS27 CZO27 DJK27 DTG27 EDC27 EMY27 EWU27 FGQ27 FQM27 GAI27 GKE27 GUA27 HDW27 HNS27 HXO27 IHK27 IRG27 JBC27 JKY27 JUU27 KEQ27 KOM27 KYI27 LIE27 LSA27 MBW27 MLS27 MVO27 NFK27 NPG27 NZC27 OIY27 OSU27 PCQ27 PMM27 PWI27 QGE27 QQA27 QZW27 RJS27 RTO27 SDK27 SNG27 SXC27 TGY27 TQU27 UAQ27 UKM27 UUI27 VEE27 VOA27 VXW27">
      <formula1>0</formula1>
      <formula2>10000000</formula2>
    </dataValidation>
    <dataValidation type="list" showInputMessage="1" showErrorMessage="1" errorTitle="Внимание" error="Пожалуйста, выберите значение из списка" sqref="WJT27 WTP27 HD27 QZ27 AAV27 AKR27 AUN27 BEJ27 BOF27 BYB27 CHX27 CRT27 DBP27 DLL27 DVH27 EFD27 EOZ27 EYV27 FIR27 FSN27 GCJ27 GMF27 GWB27 HFX27 HPT27 HZP27 IJL27 ITH27 JDD27 JMZ27 JWV27 KGR27 KQN27 LAJ27 LKF27 LUB27 MDX27 MNT27 MXP27 NHL27 NRH27 OBD27 OKZ27 OUV27 PER27 PON27 PYJ27 QIF27 QSB27 RBX27 RLT27 RVP27 SFL27 SPH27 SZD27 TIZ27 TSV27 UCR27 UMN27 UWJ27 VGF27 VQB27 VZX27">
      <formula1>TF_START_YEAR_LIST</formula1>
    </dataValidation>
    <dataValidation type="list" showInputMessage="1" showErrorMessage="1" errorTitle="Внимание" error="Пожалуйста, выберите значение из списка" sqref="WJW27 WTS27 HG27 RC27 AAY27 AKU27 AUQ27 BEM27 BOI27 BYE27 CIA27 CRW27 DBS27 DLO27 DVK27 EFG27 EPC27 EYY27 FIU27 FSQ27 GCM27 GMI27 GWE27 HGA27 HPW27 HZS27 IJO27 ITK27 JDG27 JNC27 JWY27 KGU27 KQQ27 LAM27 LKI27 LUE27 MEA27 MNW27 MXS27 NHO27 NRK27 OBG27 OLC27 OUY27 PEU27 POQ27 PYM27 QII27 QSE27 RCA27 RLW27 RVS27 SFO27 SPK27 SZG27 TJC27 TSY27 UCU27 UMQ27 UWM27 VGI27 VQE27 WAA27">
      <formula1>TF_END_YEAR_LIST</formula1>
    </dataValidation>
    <dataValidation type="list" allowBlank="1" showInputMessage="1" showErrorMessage="1" errorTitle="Внимание" error="Пожалуйста, выберите значение из списка!" sqref="WKU27 WUQ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HY27 RU27 ABQ27 ALM27 AVI27 BFE27 BPA27 BYW27 CIS27 CSO27 DCK27 DMG27 DWC27 EFY27 EPU27 EZQ27 FJM27 FTI27 GDE27 GNA27 GWW27 HGS27 HQO27 IAK27 IKG27 IUC27 JDY27 JNU27 JXQ27 KHM27 KRI27 LBE27 LLA27 LUW27 MES27 MOO27 MYK27 NIG27 NSC27 OBY27 OLU27 OVQ27 PFM27 PPI27 PZE27 QJA27 QSW27 RCS27 RMO27 RWK27 SGG27 SQC27 SZY27 TJU27 TTQ27 UDM27 UNI27 UXE27 VHA27 VQW27 WAS27 WKO27 WUK27 IE27 SA27 ABW27 ALS27 AVO27 BFK27 BPG27 BZC27 CIY27 CSU27 DCQ27 DMM27 DWI27 EGE27 EQA27 EZW27 FJS27 FTO27 GDK27 GNG27 GXC27 HGY27 HQU27 IAQ27 IKM27 IUI27 JEE27 JOA27 JXW27 KHS27 KRO27 LBK27 LLG27 LVC27 MEY27 MOU27 MYQ27 NIM27 NSI27 OCE27 OMA27 OVW27 PFS27 PPO27 PZK27 QJG27 QTC27 RCY27 RMU27 RWQ27 SGM27 SQI27 TAE27 TKA27 TTW27 UDS27 UNO27 UXK27 VHG27 VRC27 WAY27">
      <formula1>YES_NO</formula1>
    </dataValidation>
    <dataValidation type="list" showInputMessage="1" showErrorMessage="1" errorTitle="Внимание" error="Пожалуйста, выберите значение из списка" sqref="WJL27 WTH27 GV27 QR27 AAN27 AKJ27 AUF27 BEB27 BNX27 BXT27 CHP27 CRL27 DBH27 DLD27 DUZ27 EEV27 EOR27 EYN27 FIJ27 FSF27 GCB27 GLX27 GVT27 HFP27 HPL27 HZH27 IJD27 ISZ27 JCV27 JMR27 JWN27 KGJ27 KQF27 LAB27 LJX27 LTT27 MDP27 MNL27 MXH27 NHD27 NQZ27 OAV27 OKR27 OUN27 PEJ27 POF27 PYB27 QHX27 QRT27 RBP27 RLL27 RVH27 SFD27 SOZ27 SYV27 TIR27 TSN27 UCJ27 UMF27 UWB27 VFX27 VPT27 VZP27">
      <formula1>YES_NO</formula1>
    </dataValidation>
    <dataValidation type="whole" allowBlank="1" showInputMessage="1" showErrorMessage="1" errorTitle="Внимание" error="Пожалуйста, укажите число!" sqref="WJV27 WTR27 HI27 RE27 ABA27 AKW27 AUS27 BEO27 BOK27 BYG27 CIC27 CRY27 DBU27 DLQ27 DVM27 EFI27 EPE27 EZA27 FIW27 FSS27 GCO27 GMK27 GWG27 HGC27 HPY27 HZU27 IJQ27 ITM27 JDI27 JNE27 JXA27 KGW27 KQS27 LAO27 LKK27 LUG27 MEC27 MNY27 MXU27 NHQ27 NRM27 OBI27 OLE27 OVA27 PEW27 POS27 PYO27 QIK27 QSG27 RCC27 RLY27 RVU27 SFQ27 SPM27 SZI27 TJE27 TTA27 UCW27 UMS27 UWO27 VGK27 VQG27 WAC27 WJY27 WTU27 HF27 RB27 AAX27 AKT27 AUP27 BEL27 BOH27 BYD27 CHZ27 CRV27 DBR27 DLN27 DVJ27 EFF27 EPB27 EYX27 FIT27 FSP27 GCL27 GMH27 GWD27 HFZ27 HPV27 HZR27 IJN27 ITJ27 JDF27 JNB27 JWX27 KGT27 KQP27 LAL27 LKH27 LUD27 MDZ27 MNV27 MXR27 NHN27 NRJ27 OBF27 OLB27 OUX27 PET27 POP27 PYL27 QIH27 QSD27 RBZ27 RLV27 RVR27 SFN27 SPJ27 SZF27 TJB27 TSX27 UCT27 UMP27 UWL27 VGH27 VQD27 VZZ27">
      <formula1>1</formula1>
      <formula2>31</formula2>
    </dataValidation>
    <dataValidation type="list" showInputMessage="1" showErrorMessage="1" errorTitle="Внимание" error="Пожалуйста, выберите значение из списка" sqref="WJU27 WTQ27 HH27 RD27 AAZ27 AKV27 AUR27 BEN27 BOJ27 BYF27 CIB27 CRX27 DBT27 DLP27 DVL27 EFH27 EPD27 EYZ27 FIV27 FSR27 GCN27 GMJ27 GWF27 HGB27 HPX27 HZT27 IJP27 ITL27 JDH27 JND27 JWZ27 KGV27 KQR27 LAN27 LKJ27 LUF27 MEB27 MNX27 MXT27 NHP27 NRL27 OBH27 OLD27 OUZ27 PEV27 POR27 PYN27 QIJ27 QSF27 RCB27 RLX27 RVT27 SFP27 SPL27 SZH27 TJD27 TSZ27 UCV27 UMR27 UWN27 VGJ27 VQF27 WAB27 WJX27 WTT27 HE27 RA27 AAW27 AKS27 AUO27 BEK27 BOG27 BYC27 CHY27 CRU27 DBQ27 DLM27 DVI27 EFE27 EPA27 EYW27 FIS27 FSO27 GCK27 GMG27 GWC27 HFY27 HPU27 HZQ27 IJM27 ITI27 JDE27 JNA27 JWW27 KGS27 KQO27 LAK27 LKG27 LUC27 MDY27 MNU27 MXQ27 NHM27 NRI27 OBE27 OLA27 OUW27 PES27 POO27 PYK27 QIG27 QSC27 RBY27 RLU27 RVQ27 SFM27 SPI27 SZE27 TJA27 TSW27 UCS27 UMO27 UWK27 VGG27 VQC27 VZY27">
      <formula1>MONTH_LIST</formula1>
    </dataValidation>
    <dataValidation type="list" allowBlank="1" showInputMessage="1" showErrorMessage="1" errorTitle="Внимание" error="Пожалуйста, выберите МР из списка!" sqref="WGY27 VXC27 WQU27 EI27 OE27 YA27 AHW27 ARS27 BBO27 BLK27 BVG27 CFC27 COY27 CYU27 DIQ27 DSM27 ECI27 EME27 EWA27 FFW27 FPS27 FZO27 GJK27 GTG27 HDC27 HMY27 HWU27 IGQ27 IQM27 JAI27 JKE27 JUA27 KDW27 KNS27 KXO27 LHK27 LRG27 MBC27 MKY27 MUU27 NEQ27 NOM27 NYI27 OIE27 OSA27 PBW27 PLS27 PVO27 QFK27 QPG27 QZC27 RIY27 RSU27 SCQ27 SMM27 SWI27 TGE27 TQA27 TZW27 UJS27 UTO27 VDK27 VNG27">
      <formula1>MR_LIST</formula1>
    </dataValidation>
    <dataValidation type="list" showInputMessage="1" showErrorMessage="1" errorTitle="Внимание" error="Пожалуйста, выберите значение из списка" sqref="WKW27 WUS27 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formula1>DOCUMENT_TYPES</formula1>
    </dataValidation>
    <dataValidation type="list" showInputMessage="1" showErrorMessage="1" errorTitle="Внимание" error="Пожалуйста, выберите МО из списка" sqref="WGZ27 WQV27 EJ27 OF27 YB27 AHX27 ART27 BBP27 BLL27 BVH27 CFD27 COZ27 CYV27 DIR27 DSN27 ECJ27 EMF27 EWB27 FFX27 FPT27 FZP27 GJL27 GTH27 HDD27 HMZ27 HWV27 IGR27 IQN27 JAJ27 JKF27 JUB27 KDX27 KNT27 KXP27 LHL27 LRH27 MBD27 MKZ27 MUV27 NER27 NON27 NYJ27 OIF27 OSB27 PBX27 PLT27 PVP27 QFL27 QPH27 QZD27 RIZ27 RSV27 SCR27 SMN27 SWJ27 TGF27 TQB27 TZX27 UJT27 UTP27 VDL27 VNH27 VXD27">
      <formula1>MO_LIST_12</formula1>
    </dataValidation>
  </dataValidations>
  <pageMargins left="0.35" right="0.35" top="0.4" bottom="0.4" header="0.31" footer="0.31"/>
  <pageSetup paperSize="9" scale="42" fitToHeight="0"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outlinePr summaryBelow="0" summaryRight="0"/>
    <pageSetUpPr fitToPage="1"/>
  </sheetPr>
  <dimension ref="A1:AS35"/>
  <sheetViews>
    <sheetView showGridLines="0" workbookViewId="0">
      <pane xSplit="29" ySplit="25" topLeftCell="AD30" activePane="bottomRight" state="frozen"/>
      <selection pane="topRight" activeCell="AD1" sqref="AD1"/>
      <selection pane="bottomLeft" activeCell="A26" sqref="A26"/>
      <selection pane="bottomRight" activeCell="AC33" sqref="AC33"/>
    </sheetView>
  </sheetViews>
  <sheetFormatPr defaultColWidth="8.7109375" defaultRowHeight="11.25" customHeight="1"/>
  <cols>
    <col min="1" max="1" width="3.5703125" style="745" hidden="1" customWidth="1"/>
    <col min="2" max="2" width="8.5703125" style="618" hidden="1" customWidth="1"/>
    <col min="3" max="4" width="3.5703125" style="745" hidden="1" customWidth="1"/>
    <col min="5" max="5" width="8.42578125" style="629" hidden="1" customWidth="1"/>
    <col min="6" max="6" width="3.5703125" style="745" hidden="1" customWidth="1"/>
    <col min="7" max="18" width="3.5703125" style="710" hidden="1" customWidth="1"/>
    <col min="19" max="20" width="3.5703125" style="750" hidden="1" customWidth="1"/>
    <col min="21" max="21" width="8.28515625" style="1016" hidden="1" customWidth="1"/>
    <col min="22" max="22" width="6" style="1016" hidden="1" customWidth="1"/>
    <col min="23" max="24" width="6.28515625" style="1016" hidden="1" customWidth="1"/>
    <col min="25" max="25" width="5.7109375" style="1016" hidden="1" customWidth="1"/>
    <col min="26" max="26" width="5.42578125" style="1016" hidden="1" customWidth="1"/>
    <col min="27" max="27" width="3" style="710" customWidth="1"/>
    <col min="28" max="28" width="6.140625" style="131" customWidth="1"/>
    <col min="29" max="29" width="63.7109375" style="131" customWidth="1"/>
    <col min="30" max="30" width="15.140625" style="131" customWidth="1"/>
    <col min="31" max="31" width="20.140625" style="131" customWidth="1"/>
    <col min="32" max="32" width="20.140625" style="137" customWidth="1"/>
    <col min="33" max="34" width="20.140625" style="131" customWidth="1"/>
    <col min="35" max="35" width="3" style="131" customWidth="1"/>
    <col min="36" max="45" width="8.7109375" style="131" hidden="1"/>
  </cols>
  <sheetData>
    <row r="1" spans="1:45" s="1016" customFormat="1" ht="12" hidden="1" customHeight="1">
      <c r="B1" s="614"/>
      <c r="E1" s="614"/>
      <c r="F1" s="998" t="s">
        <v>77</v>
      </c>
      <c r="G1" s="151"/>
      <c r="H1" s="151"/>
      <c r="I1" s="151"/>
      <c r="J1" s="151"/>
      <c r="K1" s="151"/>
      <c r="L1" s="151"/>
      <c r="M1" s="151"/>
      <c r="N1" s="151"/>
      <c r="O1" s="151"/>
      <c r="P1" s="151"/>
      <c r="Q1" s="151"/>
      <c r="R1" s="151"/>
      <c r="S1" s="151"/>
      <c r="T1" s="151"/>
      <c r="U1" s="634" t="s">
        <v>78</v>
      </c>
      <c r="V1" s="634" t="s">
        <v>83</v>
      </c>
      <c r="W1" s="634" t="s">
        <v>79</v>
      </c>
      <c r="X1" s="634" t="s">
        <v>80</v>
      </c>
      <c r="Y1" s="634" t="s">
        <v>81</v>
      </c>
      <c r="Z1" s="634" t="s">
        <v>85</v>
      </c>
      <c r="AA1" s="645" t="s">
        <v>82</v>
      </c>
      <c r="AB1" s="645" t="s">
        <v>274</v>
      </c>
      <c r="AC1" s="645" t="s">
        <v>84</v>
      </c>
      <c r="AK1" s="879" t="s">
        <v>275</v>
      </c>
      <c r="AL1" s="879" t="s">
        <v>276</v>
      </c>
      <c r="AM1" s="879" t="s">
        <v>277</v>
      </c>
      <c r="AN1" s="879" t="s">
        <v>300</v>
      </c>
      <c r="AO1" s="879" t="s">
        <v>301</v>
      </c>
      <c r="AP1" s="879" t="s">
        <v>302</v>
      </c>
      <c r="AQ1" s="879" t="s">
        <v>303</v>
      </c>
      <c r="AR1" s="705" t="s">
        <v>280</v>
      </c>
      <c r="AS1" s="705" t="s">
        <v>281</v>
      </c>
    </row>
    <row r="2" spans="1:45" s="618" customFormat="1" ht="12" hidden="1" customHeight="1">
      <c r="B2" s="703" t="s">
        <v>15</v>
      </c>
      <c r="G2" s="751"/>
      <c r="H2" s="751"/>
      <c r="I2" s="751"/>
      <c r="J2" s="751"/>
      <c r="K2" s="751"/>
      <c r="L2" s="751"/>
      <c r="M2" s="751"/>
      <c r="N2" s="751"/>
      <c r="O2" s="751"/>
      <c r="P2" s="751"/>
      <c r="Q2" s="751"/>
      <c r="R2" s="751"/>
      <c r="S2" s="721"/>
      <c r="T2" s="721"/>
      <c r="U2" s="614"/>
      <c r="V2" s="614"/>
      <c r="W2" s="614"/>
      <c r="X2" s="614"/>
      <c r="Y2" s="614"/>
      <c r="Z2" s="614"/>
      <c r="AK2" s="878"/>
      <c r="AL2" s="881"/>
      <c r="AM2" s="881"/>
      <c r="AN2" s="881"/>
      <c r="AO2" s="881"/>
      <c r="AP2" s="881"/>
      <c r="AQ2" s="881"/>
      <c r="AR2" s="629"/>
      <c r="AS2" s="629"/>
    </row>
    <row r="3" spans="1:45" s="745" customFormat="1" ht="12" hidden="1" customHeight="1">
      <c r="B3" s="618"/>
      <c r="C3" s="116"/>
      <c r="E3" s="618"/>
      <c r="G3" s="155"/>
      <c r="H3" s="155"/>
      <c r="I3" s="155"/>
      <c r="J3" s="155"/>
      <c r="K3" s="155"/>
      <c r="L3" s="155"/>
      <c r="M3" s="155"/>
      <c r="N3" s="155"/>
      <c r="O3" s="155"/>
      <c r="P3" s="155"/>
      <c r="Q3" s="155"/>
      <c r="R3" s="155"/>
      <c r="S3" s="151"/>
      <c r="T3" s="151"/>
      <c r="U3" s="116"/>
      <c r="V3" s="116"/>
      <c r="W3" s="116"/>
      <c r="X3" s="116"/>
      <c r="Y3" s="116"/>
      <c r="Z3" s="116"/>
      <c r="AK3" s="879"/>
      <c r="AL3" s="880"/>
      <c r="AM3" s="880"/>
      <c r="AN3" s="880"/>
      <c r="AO3" s="880"/>
      <c r="AP3" s="880"/>
      <c r="AQ3" s="880"/>
      <c r="AR3" s="874"/>
      <c r="AS3" s="874"/>
    </row>
    <row r="4" spans="1:45" s="745" customFormat="1" ht="12" hidden="1" customHeight="1">
      <c r="B4" s="618"/>
      <c r="E4" s="618"/>
      <c r="G4" s="155"/>
      <c r="H4" s="155"/>
      <c r="I4" s="155"/>
      <c r="J4" s="155"/>
      <c r="K4" s="155"/>
      <c r="L4" s="155"/>
      <c r="M4" s="155"/>
      <c r="N4" s="155"/>
      <c r="O4" s="155"/>
      <c r="P4" s="155"/>
      <c r="Q4" s="155"/>
      <c r="R4" s="155"/>
      <c r="S4" s="151"/>
      <c r="T4" s="151"/>
      <c r="U4" s="116"/>
      <c r="V4" s="116"/>
      <c r="W4" s="116"/>
      <c r="X4" s="116"/>
      <c r="Y4" s="116"/>
      <c r="Z4" s="116"/>
      <c r="AK4" s="879"/>
      <c r="AL4" s="880"/>
      <c r="AM4" s="880"/>
      <c r="AN4" s="880"/>
      <c r="AO4" s="880"/>
      <c r="AP4" s="880"/>
      <c r="AQ4" s="880"/>
      <c r="AR4" s="874"/>
      <c r="AS4" s="874"/>
    </row>
    <row r="5" spans="1:45" s="629" customFormat="1" ht="12" hidden="1" customHeight="1">
      <c r="A5" s="618"/>
      <c r="B5" s="618"/>
      <c r="C5" s="618"/>
      <c r="D5" s="618"/>
      <c r="E5" s="629" t="s">
        <v>16</v>
      </c>
      <c r="G5" s="752"/>
      <c r="H5" s="752"/>
      <c r="I5" s="752"/>
      <c r="J5" s="752"/>
      <c r="K5" s="752"/>
      <c r="L5" s="752"/>
      <c r="M5" s="752"/>
      <c r="N5" s="752"/>
      <c r="O5" s="752"/>
      <c r="P5" s="752"/>
      <c r="Q5" s="752"/>
      <c r="R5" s="752"/>
      <c r="S5" s="722"/>
      <c r="T5" s="722"/>
      <c r="U5" s="623"/>
      <c r="V5" s="623"/>
      <c r="W5" s="623"/>
      <c r="X5" s="623"/>
      <c r="Y5" s="623"/>
      <c r="Z5" s="623"/>
      <c r="AA5" s="629">
        <v>3</v>
      </c>
      <c r="AB5" s="629">
        <v>6.13</v>
      </c>
      <c r="AC5" s="629">
        <v>63.75</v>
      </c>
      <c r="AD5" s="629">
        <v>15.13</v>
      </c>
      <c r="AE5" s="629">
        <v>20.13</v>
      </c>
      <c r="AF5" s="629">
        <v>20.13</v>
      </c>
      <c r="AG5" s="629">
        <v>20.13</v>
      </c>
      <c r="AH5" s="629">
        <v>20.13</v>
      </c>
      <c r="AI5" s="629">
        <v>3</v>
      </c>
      <c r="AK5" s="878"/>
      <c r="AL5" s="881"/>
      <c r="AM5" s="881"/>
      <c r="AN5" s="881"/>
      <c r="AO5" s="881"/>
      <c r="AP5" s="881"/>
      <c r="AQ5" s="881"/>
    </row>
    <row r="6" spans="1:45" s="745" customFormat="1" ht="12" hidden="1" customHeight="1">
      <c r="B6" s="618"/>
      <c r="E6" s="629"/>
      <c r="G6" s="155"/>
      <c r="H6" s="155"/>
      <c r="I6" s="155"/>
      <c r="J6" s="155"/>
      <c r="K6" s="155"/>
      <c r="L6" s="155"/>
      <c r="M6" s="155"/>
      <c r="N6" s="155"/>
      <c r="O6" s="155"/>
      <c r="P6" s="155"/>
      <c r="Q6" s="155"/>
      <c r="R6" s="155"/>
      <c r="S6" s="151"/>
      <c r="T6" s="151"/>
      <c r="U6" s="116"/>
      <c r="V6" s="116"/>
      <c r="W6" s="116"/>
      <c r="X6" s="116"/>
      <c r="Y6" s="116"/>
      <c r="Z6" s="116"/>
      <c r="AE6" s="291">
        <f>god-2</f>
        <v>2024</v>
      </c>
      <c r="AF6" s="291">
        <f>god-1</f>
        <v>2025</v>
      </c>
      <c r="AG6" s="291">
        <f>god</f>
        <v>2026</v>
      </c>
      <c r="AH6" s="291">
        <f>god</f>
        <v>2026</v>
      </c>
      <c r="AK6" s="879"/>
      <c r="AL6" s="880"/>
      <c r="AM6" s="880"/>
      <c r="AN6" s="880"/>
      <c r="AO6" s="880"/>
      <c r="AP6" s="880"/>
      <c r="AQ6" s="880"/>
      <c r="AR6" s="874"/>
      <c r="AS6" s="874"/>
    </row>
    <row r="7" spans="1:45" s="710" customFormat="1" ht="12" hidden="1" customHeight="1">
      <c r="A7" s="291"/>
      <c r="B7" s="618"/>
      <c r="C7" s="291"/>
      <c r="D7" s="291"/>
      <c r="E7" s="629"/>
      <c r="S7" s="151"/>
      <c r="T7" s="151"/>
      <c r="U7" s="151"/>
      <c r="V7" s="151"/>
      <c r="W7" s="151"/>
      <c r="X7" s="151"/>
      <c r="Y7" s="151"/>
      <c r="Z7" s="151"/>
      <c r="AE7" s="750" t="s">
        <v>251</v>
      </c>
      <c r="AF7" s="750" t="s">
        <v>304</v>
      </c>
      <c r="AG7" s="563" t="s">
        <v>305</v>
      </c>
      <c r="AH7" s="563" t="s">
        <v>304</v>
      </c>
      <c r="AK7" s="879"/>
      <c r="AL7" s="882"/>
      <c r="AM7" s="882"/>
      <c r="AN7" s="882"/>
      <c r="AO7" s="882"/>
      <c r="AP7" s="882"/>
      <c r="AQ7" s="882"/>
      <c r="AR7" s="875"/>
      <c r="AS7" s="875"/>
    </row>
    <row r="8" spans="1:45" s="710" customFormat="1" ht="12" hidden="1" customHeight="1">
      <c r="A8" s="291"/>
      <c r="B8" s="618"/>
      <c r="C8" s="291"/>
      <c r="D8" s="291"/>
      <c r="E8" s="629"/>
      <c r="S8" s="151"/>
      <c r="T8" s="151"/>
      <c r="U8" s="151"/>
      <c r="V8" s="151"/>
      <c r="W8" s="151"/>
      <c r="X8" s="151"/>
      <c r="Y8" s="151"/>
      <c r="Z8" s="151"/>
      <c r="AK8" s="879"/>
      <c r="AL8" s="882"/>
      <c r="AM8" s="882"/>
      <c r="AN8" s="882"/>
      <c r="AO8" s="882"/>
      <c r="AP8" s="882"/>
      <c r="AQ8" s="882"/>
      <c r="AR8" s="875"/>
      <c r="AS8" s="875"/>
    </row>
    <row r="9" spans="1:45" s="901" customFormat="1" ht="12" hidden="1" customHeight="1">
      <c r="A9" s="877" t="s">
        <v>306</v>
      </c>
      <c r="B9" s="878"/>
      <c r="E9" s="878"/>
      <c r="AH9" s="879" t="str">
        <f>AH24</f>
        <v>Срок действия</v>
      </c>
      <c r="AR9" s="705"/>
      <c r="AS9" s="705"/>
    </row>
    <row r="10" spans="1:45" s="901" customFormat="1" ht="12" hidden="1" customHeight="1">
      <c r="A10" s="877" t="s">
        <v>286</v>
      </c>
      <c r="B10" s="878"/>
      <c r="E10" s="878"/>
      <c r="AC10" s="879" t="s">
        <v>277</v>
      </c>
      <c r="AD10" s="879" t="s">
        <v>300</v>
      </c>
      <c r="AE10" s="879" t="s">
        <v>301</v>
      </c>
      <c r="AF10" s="879" t="s">
        <v>302</v>
      </c>
      <c r="AG10" s="879" t="s">
        <v>303</v>
      </c>
      <c r="AR10" s="705"/>
      <c r="AS10" s="705"/>
    </row>
    <row r="11" spans="1:45" s="745" customFormat="1" ht="12" hidden="1" customHeight="1">
      <c r="B11" s="618"/>
      <c r="E11" s="629"/>
      <c r="G11" s="155"/>
      <c r="H11" s="155"/>
      <c r="I11" s="155"/>
      <c r="J11" s="155"/>
      <c r="K11" s="155"/>
      <c r="L11" s="155"/>
      <c r="M11" s="155"/>
      <c r="N11" s="155"/>
      <c r="O11" s="155"/>
      <c r="P11" s="155"/>
      <c r="Q11" s="155"/>
      <c r="R11" s="155"/>
      <c r="S11" s="151"/>
      <c r="T11" s="151"/>
      <c r="U11" s="116"/>
      <c r="V11" s="116"/>
      <c r="W11" s="116"/>
      <c r="X11" s="116"/>
      <c r="Y11" s="116"/>
      <c r="Z11" s="116"/>
      <c r="AK11" s="879"/>
      <c r="AL11" s="880"/>
      <c r="AM11" s="880"/>
      <c r="AN11" s="880"/>
      <c r="AO11" s="880"/>
      <c r="AP11" s="880"/>
      <c r="AQ11" s="880"/>
      <c r="AR11" s="874"/>
      <c r="AS11" s="874"/>
    </row>
    <row r="12" spans="1:45" s="745" customFormat="1" ht="12" hidden="1" customHeight="1">
      <c r="B12" s="618"/>
      <c r="E12" s="629"/>
      <c r="G12" s="155"/>
      <c r="H12" s="155"/>
      <c r="I12" s="155"/>
      <c r="J12" s="155"/>
      <c r="K12" s="155"/>
      <c r="L12" s="155"/>
      <c r="M12" s="155"/>
      <c r="N12" s="155"/>
      <c r="O12" s="155"/>
      <c r="P12" s="155"/>
      <c r="Q12" s="155"/>
      <c r="R12" s="155"/>
      <c r="S12" s="151"/>
      <c r="T12" s="151"/>
      <c r="U12" s="116"/>
      <c r="V12" s="116"/>
      <c r="W12" s="116"/>
      <c r="X12" s="116"/>
      <c r="Y12" s="116"/>
      <c r="Z12" s="116"/>
      <c r="AA12" s="116"/>
      <c r="AB12" s="116"/>
      <c r="AK12" s="879"/>
      <c r="AL12" s="880"/>
      <c r="AM12" s="880"/>
      <c r="AN12" s="880"/>
      <c r="AO12" s="880"/>
      <c r="AP12" s="880"/>
      <c r="AQ12" s="880"/>
      <c r="AR12" s="874"/>
      <c r="AS12" s="874"/>
    </row>
    <row r="13" spans="1:45" s="745" customFormat="1" ht="12" hidden="1" customHeight="1">
      <c r="B13" s="618"/>
      <c r="E13" s="629"/>
      <c r="G13" s="155"/>
      <c r="H13" s="155"/>
      <c r="I13" s="155"/>
      <c r="J13" s="155"/>
      <c r="K13" s="155"/>
      <c r="L13" s="155"/>
      <c r="M13" s="155"/>
      <c r="N13" s="155"/>
      <c r="O13" s="155"/>
      <c r="P13" s="155"/>
      <c r="Q13" s="155"/>
      <c r="R13" s="155"/>
      <c r="S13" s="151"/>
      <c r="T13" s="151"/>
      <c r="U13" s="116"/>
      <c r="V13" s="116"/>
      <c r="W13" s="116"/>
      <c r="X13" s="116"/>
      <c r="Y13" s="116"/>
      <c r="Z13" s="116"/>
      <c r="AA13" s="116"/>
      <c r="AB13" s="116"/>
      <c r="AK13" s="879"/>
      <c r="AL13" s="880"/>
      <c r="AM13" s="880"/>
      <c r="AN13" s="880"/>
      <c r="AO13" s="880"/>
      <c r="AP13" s="880"/>
      <c r="AQ13" s="880"/>
      <c r="AR13" s="874"/>
      <c r="AS13" s="874"/>
    </row>
    <row r="14" spans="1:45" s="745" customFormat="1" ht="12" hidden="1" customHeight="1">
      <c r="B14" s="618"/>
      <c r="E14" s="629"/>
      <c r="G14" s="155"/>
      <c r="H14" s="155"/>
      <c r="I14" s="155"/>
      <c r="J14" s="155"/>
      <c r="K14" s="155"/>
      <c r="L14" s="155"/>
      <c r="M14" s="155"/>
      <c r="N14" s="155"/>
      <c r="O14" s="155"/>
      <c r="P14" s="155"/>
      <c r="Q14" s="155"/>
      <c r="R14" s="155"/>
      <c r="S14" s="151"/>
      <c r="T14" s="151"/>
      <c r="U14" s="116"/>
      <c r="V14" s="116"/>
      <c r="W14" s="116"/>
      <c r="X14" s="116"/>
      <c r="Y14" s="116"/>
      <c r="Z14" s="116"/>
      <c r="AA14" s="116"/>
      <c r="AB14" s="116"/>
      <c r="AK14" s="879"/>
      <c r="AL14" s="880"/>
      <c r="AM14" s="880"/>
      <c r="AN14" s="880"/>
      <c r="AO14" s="880"/>
      <c r="AP14" s="880"/>
      <c r="AQ14" s="880"/>
      <c r="AR14" s="874"/>
      <c r="AS14" s="874"/>
    </row>
    <row r="15" spans="1:45" s="745" customFormat="1" ht="12" hidden="1" customHeight="1">
      <c r="B15" s="618"/>
      <c r="E15" s="629"/>
      <c r="G15" s="155"/>
      <c r="H15" s="155"/>
      <c r="I15" s="155"/>
      <c r="J15" s="155"/>
      <c r="K15" s="155"/>
      <c r="L15" s="155"/>
      <c r="M15" s="155"/>
      <c r="N15" s="155"/>
      <c r="O15" s="155"/>
      <c r="P15" s="155"/>
      <c r="Q15" s="155"/>
      <c r="R15" s="155"/>
      <c r="S15" s="151"/>
      <c r="T15" s="151"/>
      <c r="U15" s="116"/>
      <c r="V15" s="116"/>
      <c r="W15" s="116"/>
      <c r="X15" s="116"/>
      <c r="Y15" s="116"/>
      <c r="Z15" s="116"/>
      <c r="AA15" s="116"/>
      <c r="AB15" s="116"/>
      <c r="AK15" s="879"/>
      <c r="AL15" s="880"/>
      <c r="AM15" s="880"/>
      <c r="AN15" s="880"/>
      <c r="AO15" s="880"/>
      <c r="AP15" s="880"/>
      <c r="AQ15" s="880"/>
      <c r="AR15" s="874"/>
      <c r="AS15" s="874"/>
    </row>
    <row r="16" spans="1:45" s="745" customFormat="1" ht="12" hidden="1" customHeight="1">
      <c r="B16" s="618"/>
      <c r="E16" s="629"/>
      <c r="G16" s="155"/>
      <c r="H16" s="155"/>
      <c r="I16" s="155"/>
      <c r="J16" s="155"/>
      <c r="K16" s="155"/>
      <c r="L16" s="155"/>
      <c r="M16" s="155"/>
      <c r="N16" s="155"/>
      <c r="O16" s="155"/>
      <c r="P16" s="155"/>
      <c r="Q16" s="155"/>
      <c r="R16" s="155"/>
      <c r="S16" s="151"/>
      <c r="T16" s="151"/>
      <c r="U16" s="116"/>
      <c r="V16" s="116"/>
      <c r="W16" s="116"/>
      <c r="X16" s="116"/>
      <c r="Y16" s="116"/>
      <c r="Z16" s="116"/>
      <c r="AA16" s="116"/>
      <c r="AB16" s="116"/>
      <c r="AK16" s="879"/>
      <c r="AL16" s="880"/>
      <c r="AM16" s="880"/>
      <c r="AN16" s="880"/>
      <c r="AO16" s="880"/>
      <c r="AP16" s="880"/>
      <c r="AQ16" s="880"/>
      <c r="AR16" s="874"/>
      <c r="AS16" s="874"/>
    </row>
    <row r="17" spans="1:45" s="745" customFormat="1" ht="12" hidden="1" customHeight="1">
      <c r="B17" s="618"/>
      <c r="E17" s="629"/>
      <c r="G17" s="155"/>
      <c r="H17" s="155"/>
      <c r="I17" s="155"/>
      <c r="J17" s="155"/>
      <c r="K17" s="155"/>
      <c r="L17" s="155"/>
      <c r="M17" s="155"/>
      <c r="N17" s="155"/>
      <c r="O17" s="155"/>
      <c r="P17" s="155"/>
      <c r="Q17" s="155"/>
      <c r="R17" s="155"/>
      <c r="S17" s="151"/>
      <c r="T17" s="151"/>
      <c r="U17" s="116"/>
      <c r="V17" s="116"/>
      <c r="W17" s="116"/>
      <c r="X17" s="116"/>
      <c r="Y17" s="116"/>
      <c r="Z17" s="116"/>
      <c r="AA17" s="116"/>
      <c r="AB17" s="116"/>
      <c r="AK17" s="879"/>
      <c r="AL17" s="880"/>
      <c r="AM17" s="880"/>
      <c r="AN17" s="880"/>
      <c r="AO17" s="880"/>
      <c r="AP17" s="880"/>
      <c r="AQ17" s="880"/>
      <c r="AR17" s="874"/>
      <c r="AS17" s="874"/>
    </row>
    <row r="18" spans="1:45" s="745" customFormat="1" ht="12" hidden="1" customHeight="1">
      <c r="B18" s="618"/>
      <c r="E18" s="629"/>
      <c r="G18" s="155"/>
      <c r="H18" s="155"/>
      <c r="I18" s="155"/>
      <c r="J18" s="155"/>
      <c r="K18" s="155"/>
      <c r="L18" s="155"/>
      <c r="M18" s="155"/>
      <c r="N18" s="155"/>
      <c r="O18" s="155"/>
      <c r="P18" s="155"/>
      <c r="Q18" s="155"/>
      <c r="R18" s="155"/>
      <c r="S18" s="151"/>
      <c r="T18" s="151"/>
      <c r="U18" s="116"/>
      <c r="V18" s="116"/>
      <c r="W18" s="116"/>
      <c r="X18" s="116"/>
      <c r="Y18" s="116"/>
      <c r="Z18" s="116"/>
      <c r="AA18" s="116"/>
      <c r="AB18" s="116"/>
      <c r="AK18" s="879"/>
      <c r="AL18" s="880"/>
      <c r="AM18" s="880"/>
      <c r="AN18" s="880"/>
      <c r="AO18" s="880"/>
      <c r="AP18" s="880"/>
      <c r="AQ18" s="880"/>
      <c r="AR18" s="874"/>
      <c r="AS18" s="874"/>
    </row>
    <row r="19" spans="1:45" s="745" customFormat="1" ht="12" hidden="1" customHeight="1">
      <c r="B19" s="618"/>
      <c r="E19" s="629"/>
      <c r="G19" s="155"/>
      <c r="H19" s="155"/>
      <c r="I19" s="155"/>
      <c r="J19" s="155"/>
      <c r="K19" s="155"/>
      <c r="L19" s="155"/>
      <c r="M19" s="155"/>
      <c r="N19" s="155"/>
      <c r="O19" s="155"/>
      <c r="P19" s="155"/>
      <c r="Q19" s="155"/>
      <c r="R19" s="155"/>
      <c r="S19" s="151"/>
      <c r="T19" s="151"/>
      <c r="U19" s="116"/>
      <c r="V19" s="116"/>
      <c r="W19" s="116"/>
      <c r="X19" s="116"/>
      <c r="Y19" s="116"/>
      <c r="Z19" s="116"/>
      <c r="AA19" s="116"/>
      <c r="AB19" s="116"/>
      <c r="AK19" s="879"/>
      <c r="AL19" s="880"/>
      <c r="AM19" s="880"/>
      <c r="AN19" s="880"/>
      <c r="AO19" s="880"/>
      <c r="AP19" s="880"/>
      <c r="AQ19" s="880"/>
      <c r="AR19" s="874"/>
      <c r="AS19" s="874"/>
    </row>
    <row r="20" spans="1:45" s="745" customFormat="1" ht="12" hidden="1" customHeight="1">
      <c r="B20" s="618"/>
      <c r="E20" s="629"/>
      <c r="G20" s="155"/>
      <c r="H20" s="155"/>
      <c r="I20" s="155"/>
      <c r="J20" s="155"/>
      <c r="K20" s="155"/>
      <c r="L20" s="155"/>
      <c r="M20" s="155"/>
      <c r="N20" s="155"/>
      <c r="O20" s="155"/>
      <c r="P20" s="155"/>
      <c r="Q20" s="155"/>
      <c r="R20" s="155"/>
      <c r="S20" s="151"/>
      <c r="T20" s="151"/>
      <c r="U20" s="116"/>
      <c r="V20" s="116"/>
      <c r="W20" s="116"/>
      <c r="X20" s="116"/>
      <c r="Y20" s="116"/>
      <c r="Z20" s="116"/>
      <c r="AA20" s="116"/>
      <c r="AB20" s="116"/>
      <c r="AK20" s="879"/>
      <c r="AL20" s="880"/>
      <c r="AM20" s="880"/>
      <c r="AN20" s="880"/>
      <c r="AO20" s="880"/>
      <c r="AP20" s="880"/>
      <c r="AQ20" s="880"/>
      <c r="AR20" s="874"/>
      <c r="AS20" s="874"/>
    </row>
    <row r="21" spans="1:45" s="710" customFormat="1" ht="14.65" customHeight="1">
      <c r="A21" s="291"/>
      <c r="B21" s="618"/>
      <c r="C21" s="291"/>
      <c r="D21" s="291"/>
      <c r="E21" s="629">
        <v>15</v>
      </c>
      <c r="F21" s="291"/>
      <c r="S21" s="151"/>
      <c r="T21" s="151"/>
      <c r="U21" s="116"/>
      <c r="V21" s="116"/>
      <c r="W21" s="116"/>
      <c r="X21" s="116"/>
      <c r="Y21" s="116"/>
      <c r="Z21" s="116"/>
      <c r="AA21" s="646"/>
      <c r="AC21" s="325" t="str">
        <f>tpl_title</f>
        <v>Кемеровская область / 2026 / АО "СУЭК-Кузбасс" (ИНН:4212024138, КПП:421201001) / ДПР: 2024-2028</v>
      </c>
      <c r="AK21" s="879"/>
      <c r="AL21" s="882"/>
      <c r="AM21" s="882"/>
      <c r="AN21" s="882"/>
      <c r="AO21" s="882"/>
      <c r="AP21" s="882"/>
      <c r="AQ21" s="882"/>
      <c r="AR21" s="875"/>
      <c r="AS21" s="875"/>
    </row>
    <row r="22" spans="1:45" ht="20.45" customHeight="1">
      <c r="E22" s="629">
        <v>21</v>
      </c>
      <c r="R22" s="151"/>
      <c r="AA22" s="646"/>
      <c r="AB22" s="1398" t="s">
        <v>307</v>
      </c>
      <c r="AC22" s="1399"/>
      <c r="AD22" s="1399"/>
      <c r="AE22" s="1399"/>
      <c r="AF22" s="1399"/>
      <c r="AG22" s="1399"/>
      <c r="AH22" s="1399"/>
      <c r="AK22" s="879"/>
      <c r="AL22" s="882"/>
      <c r="AM22" s="882"/>
      <c r="AN22" s="882"/>
      <c r="AO22" s="882"/>
      <c r="AP22" s="882"/>
      <c r="AQ22" s="882"/>
      <c r="AR22" s="875"/>
      <c r="AS22" s="875"/>
    </row>
    <row r="23" spans="1:45" ht="8.85" customHeight="1">
      <c r="E23" s="629">
        <v>9</v>
      </c>
      <c r="AA23" s="708"/>
      <c r="AB23" s="132"/>
      <c r="AC23" s="132"/>
      <c r="AD23" s="132"/>
      <c r="AE23" s="132"/>
      <c r="AF23" s="1402"/>
      <c r="AG23" s="1402"/>
      <c r="AH23" s="114"/>
      <c r="AK23" s="879"/>
      <c r="AL23" s="882"/>
      <c r="AM23" s="882"/>
      <c r="AN23" s="882"/>
      <c r="AO23" s="882"/>
      <c r="AP23" s="882"/>
      <c r="AQ23" s="882"/>
      <c r="AR23" s="875"/>
      <c r="AS23" s="875"/>
    </row>
    <row r="24" spans="1:45" ht="30.75" customHeight="1">
      <c r="E24" s="629">
        <v>31.5</v>
      </c>
      <c r="AA24" s="708"/>
      <c r="AB24" s="201" t="s">
        <v>288</v>
      </c>
      <c r="AC24" s="637" t="s">
        <v>308</v>
      </c>
      <c r="AD24" s="201" t="s">
        <v>309</v>
      </c>
      <c r="AE24" s="201" t="s">
        <v>310</v>
      </c>
      <c r="AF24" s="201" t="s">
        <v>311</v>
      </c>
      <c r="AG24" s="201" t="s">
        <v>312</v>
      </c>
      <c r="AH24" s="201" t="s">
        <v>313</v>
      </c>
      <c r="AK24" s="879"/>
      <c r="AL24" s="882"/>
      <c r="AM24" s="882"/>
      <c r="AN24" s="882"/>
      <c r="AO24" s="882"/>
      <c r="AP24" s="882"/>
      <c r="AQ24" s="882"/>
      <c r="AR24" s="875"/>
      <c r="AS24" s="875"/>
    </row>
    <row r="25" spans="1:45" ht="31.5" hidden="1" customHeight="1">
      <c r="E25" s="629">
        <v>0</v>
      </c>
      <c r="AA25" s="708"/>
      <c r="AB25" s="638"/>
      <c r="AC25" s="550"/>
      <c r="AD25" s="551"/>
      <c r="AE25" s="551"/>
      <c r="AF25" s="551"/>
      <c r="AG25" s="551"/>
      <c r="AH25" s="551"/>
      <c r="AK25" s="879"/>
      <c r="AL25" s="882"/>
      <c r="AM25" s="882"/>
      <c r="AN25" s="882"/>
      <c r="AO25" s="882"/>
      <c r="AP25" s="882"/>
      <c r="AQ25" s="882"/>
      <c r="AR25" s="875"/>
      <c r="AS25" s="875"/>
    </row>
    <row r="26" spans="1:45" s="157" customFormat="1" ht="16.7" hidden="1" customHeight="1">
      <c r="E26" s="623">
        <v>17.100000000000001</v>
      </c>
      <c r="F26" s="113">
        <f>Y26</f>
        <v>0</v>
      </c>
      <c r="U26" s="715" t="b">
        <f>Y26&gt;0</f>
        <v>0</v>
      </c>
      <c r="W26" s="109" t="s">
        <v>228</v>
      </c>
      <c r="Y26" s="1400">
        <v>0</v>
      </c>
      <c r="Z26" s="1403"/>
      <c r="AB26" s="200" t="str">
        <f>INDEX('Общие сведения'!$AG$169:$AG$202,MATCH(Y26,'Общие сведения'!$Z$169:$Z$202,0))</f>
        <v>Тариф 0 (Теплоснабжение) - Тарифы на теплоноситель</v>
      </c>
      <c r="AC26" s="197"/>
      <c r="AD26" s="191"/>
      <c r="AE26" s="191"/>
      <c r="AF26" s="191"/>
      <c r="AG26" s="191"/>
      <c r="AH26" s="191"/>
      <c r="AK26" s="883"/>
      <c r="AL26" s="884"/>
      <c r="AM26" s="884"/>
      <c r="AN26" s="884"/>
      <c r="AO26" s="884"/>
      <c r="AP26" s="884"/>
      <c r="AQ26" s="884"/>
      <c r="AR26" s="885"/>
      <c r="AS26" s="885"/>
    </row>
    <row r="27" spans="1:45" s="157" customFormat="1" ht="10.15" hidden="1" customHeight="1">
      <c r="E27" s="623">
        <v>10.5</v>
      </c>
      <c r="F27" s="113">
        <f ca="1">OFFSET(G27,-1,-1)</f>
        <v>0</v>
      </c>
      <c r="U27" s="715" t="b">
        <v>0</v>
      </c>
      <c r="Y27" s="1403"/>
      <c r="Z27" s="1403"/>
      <c r="AB27" s="200"/>
      <c r="AC27" s="197"/>
      <c r="AD27" s="191"/>
      <c r="AE27" s="191"/>
      <c r="AF27" s="191"/>
      <c r="AG27" s="191"/>
      <c r="AH27" s="191"/>
      <c r="AK27" s="883"/>
      <c r="AL27" s="884"/>
      <c r="AM27" s="884"/>
      <c r="AN27" s="884"/>
      <c r="AO27" s="884"/>
      <c r="AP27" s="884"/>
      <c r="AQ27" s="884"/>
      <c r="AR27" s="885"/>
      <c r="AS27" s="885"/>
    </row>
    <row r="28" spans="1:45" s="726" customFormat="1" ht="16.7" hidden="1" customHeight="1">
      <c r="E28" s="623">
        <v>17.100000000000001</v>
      </c>
      <c r="F28" s="113">
        <f ca="1">OFFSET(G28,-1,-1)</f>
        <v>0</v>
      </c>
      <c r="I28" s="151" t="s">
        <v>314</v>
      </c>
      <c r="K28" s="151" t="s">
        <v>315</v>
      </c>
      <c r="U28" s="715" t="b">
        <f ca="1">AND(F28&gt;0,AB28&gt;0)</f>
        <v>0</v>
      </c>
      <c r="X28" s="109" t="s">
        <v>170</v>
      </c>
      <c r="Y28" s="1404"/>
      <c r="Z28" s="1404"/>
      <c r="AA28" s="709" t="s">
        <v>157</v>
      </c>
      <c r="AB28" s="93">
        <v>0</v>
      </c>
      <c r="AC28" s="372" t="str">
        <f>I28&amp;" :: "&amp;K28</f>
        <v>Наименование объекта :: адрес</v>
      </c>
      <c r="AD28" s="368"/>
      <c r="AE28" s="368"/>
      <c r="AF28" s="384"/>
      <c r="AG28" s="384"/>
      <c r="AH28" s="7"/>
      <c r="AK28" s="883" t="s">
        <v>316</v>
      </c>
      <c r="AL28" s="886" t="s">
        <v>317</v>
      </c>
      <c r="AM28" s="886" t="str">
        <f>AC28</f>
        <v>Наименование объекта :: адрес</v>
      </c>
      <c r="AN28" s="886">
        <f>AD28</f>
        <v>0</v>
      </c>
      <c r="AO28" s="886">
        <f>AE28</f>
        <v>0</v>
      </c>
      <c r="AP28" s="886">
        <f>AF28</f>
        <v>0</v>
      </c>
      <c r="AQ28" s="886">
        <f>AG28</f>
        <v>0</v>
      </c>
      <c r="AR28" s="887"/>
      <c r="AS28" s="887" t="b">
        <v>1</v>
      </c>
    </row>
    <row r="29" spans="1:45" s="157" customFormat="1" ht="16.7" hidden="1" customHeight="1">
      <c r="E29" s="623">
        <v>17.100000000000001</v>
      </c>
      <c r="F29" s="113">
        <f ca="1">OFFSET(G29,-1,-1)</f>
        <v>0</v>
      </c>
      <c r="U29" s="715" t="b">
        <f ca="1">F29&gt;0</f>
        <v>0</v>
      </c>
      <c r="X29" s="109" t="s">
        <v>318</v>
      </c>
      <c r="Y29" s="1403"/>
      <c r="Z29" s="1403"/>
      <c r="AB29" s="192"/>
      <c r="AC29" s="195" t="s">
        <v>319</v>
      </c>
      <c r="AD29" s="193"/>
      <c r="AE29" s="193"/>
      <c r="AF29" s="193"/>
      <c r="AG29" s="193"/>
      <c r="AH29" s="202"/>
      <c r="AK29" s="883"/>
      <c r="AL29" s="884"/>
      <c r="AM29" s="884"/>
      <c r="AN29" s="884"/>
      <c r="AO29" s="884"/>
      <c r="AP29" s="884"/>
      <c r="AQ29" s="884"/>
      <c r="AR29" s="885" t="s">
        <v>317</v>
      </c>
      <c r="AS29" s="885"/>
    </row>
    <row r="30" spans="1:45" s="1059" customFormat="1" ht="16.5" customHeight="1">
      <c r="A30" s="157"/>
      <c r="B30" s="157"/>
      <c r="C30" s="157"/>
      <c r="D30" s="157"/>
      <c r="E30" s="623">
        <v>17.100000000000001</v>
      </c>
      <c r="F30" s="113" t="str">
        <f>Y30</f>
        <v>1</v>
      </c>
      <c r="G30" s="157"/>
      <c r="H30" s="157"/>
      <c r="I30" s="157"/>
      <c r="J30" s="157"/>
      <c r="K30" s="157"/>
      <c r="L30" s="157"/>
      <c r="M30" s="157"/>
      <c r="N30" s="157"/>
      <c r="O30" s="157"/>
      <c r="P30" s="157"/>
      <c r="Q30" s="157"/>
      <c r="R30" s="157"/>
      <c r="S30" s="157"/>
      <c r="T30" s="157"/>
      <c r="U30" s="715" t="b">
        <f>Y30&gt;0</f>
        <v>1</v>
      </c>
      <c r="V30" s="157"/>
      <c r="W30" s="109" t="str">
        <f>'Список территорий'!$AB$29</f>
        <v>Тариф 1 (Теплоснабжение) - Тарифы на теплоноситель (Не определено)</v>
      </c>
      <c r="X30" s="157"/>
      <c r="Y30" s="1400" t="s">
        <v>247</v>
      </c>
      <c r="Z30" s="1403"/>
      <c r="AA30" s="157"/>
      <c r="AB30" s="200" t="str">
        <f>IF(ISBLANK('Список территорий'!$AB$29),"",'Список территорий'!$AB$29)</f>
        <v>Тариф 1 (Теплоснабжение) - Тарифы на теплоноситель (Не определено)</v>
      </c>
      <c r="AC30" s="197"/>
      <c r="AD30" s="191"/>
      <c r="AE30" s="191"/>
      <c r="AF30" s="191"/>
      <c r="AG30" s="191"/>
      <c r="AH30" s="191"/>
      <c r="AI30" s="157"/>
      <c r="AJ30" s="157"/>
      <c r="AK30" s="883"/>
      <c r="AL30" s="884"/>
      <c r="AM30" s="884"/>
      <c r="AN30" s="884"/>
      <c r="AO30" s="884"/>
      <c r="AP30" s="884"/>
      <c r="AQ30" s="884"/>
      <c r="AR30" s="885"/>
      <c r="AS30" s="885"/>
    </row>
    <row r="31" spans="1:45" s="1060" customFormat="1" ht="9.75" hidden="1" customHeight="1">
      <c r="A31" s="157"/>
      <c r="B31" s="157"/>
      <c r="C31" s="157"/>
      <c r="D31" s="157"/>
      <c r="E31" s="623">
        <v>10.5</v>
      </c>
      <c r="F31" s="113" t="str">
        <f ca="1">OFFSET(G31,-1,-1)</f>
        <v>1</v>
      </c>
      <c r="G31" s="157"/>
      <c r="H31" s="157"/>
      <c r="I31" s="157"/>
      <c r="J31" s="157"/>
      <c r="K31" s="157"/>
      <c r="L31" s="157"/>
      <c r="M31" s="157"/>
      <c r="N31" s="157"/>
      <c r="O31" s="157"/>
      <c r="P31" s="157"/>
      <c r="Q31" s="157"/>
      <c r="R31" s="157"/>
      <c r="S31" s="157"/>
      <c r="T31" s="157"/>
      <c r="U31" s="715" t="b">
        <v>0</v>
      </c>
      <c r="V31" s="157"/>
      <c r="W31" s="157"/>
      <c r="X31" s="157"/>
      <c r="Y31" s="1403"/>
      <c r="Z31" s="1403"/>
      <c r="AA31" s="157"/>
      <c r="AB31" s="200"/>
      <c r="AC31" s="197"/>
      <c r="AD31" s="191"/>
      <c r="AE31" s="191"/>
      <c r="AF31" s="191"/>
      <c r="AG31" s="191"/>
      <c r="AH31" s="191"/>
      <c r="AI31" s="157"/>
      <c r="AJ31" s="157"/>
      <c r="AK31" s="883"/>
      <c r="AL31" s="884"/>
      <c r="AM31" s="884"/>
      <c r="AN31" s="884"/>
      <c r="AO31" s="884"/>
      <c r="AP31" s="884"/>
      <c r="AQ31" s="884"/>
      <c r="AR31" s="885"/>
      <c r="AS31" s="885"/>
    </row>
    <row r="32" spans="1:45" s="726" customFormat="1" ht="16.5" hidden="1" customHeight="1">
      <c r="E32" s="623">
        <v>17.100000000000001</v>
      </c>
      <c r="F32" s="113" t="str">
        <f ca="1">OFFSET(G32,-1,-1)</f>
        <v>1</v>
      </c>
      <c r="I32" s="151" t="s">
        <v>314</v>
      </c>
      <c r="K32" s="151" t="s">
        <v>315</v>
      </c>
      <c r="U32" s="715" t="b">
        <f ca="1">AND(F32&gt;0,AB32&gt;0)</f>
        <v>0</v>
      </c>
      <c r="X32" s="109" t="s">
        <v>170</v>
      </c>
      <c r="Y32" s="1404"/>
      <c r="Z32" s="1404"/>
      <c r="AA32" s="709" t="s">
        <v>157</v>
      </c>
      <c r="AB32" s="93">
        <v>0</v>
      </c>
      <c r="AC32" s="372" t="str">
        <f>I32&amp;" :: "&amp;K32</f>
        <v>Наименование объекта :: адрес</v>
      </c>
      <c r="AD32" s="368"/>
      <c r="AE32" s="368"/>
      <c r="AF32" s="384"/>
      <c r="AG32" s="384"/>
      <c r="AH32" s="7"/>
      <c r="AK32" s="883" t="s">
        <v>316</v>
      </c>
      <c r="AL32" s="886" t="s">
        <v>317</v>
      </c>
      <c r="AM32" s="886" t="str">
        <f t="shared" ref="AM32:AQ33" si="0">AC32</f>
        <v>Наименование объекта :: адрес</v>
      </c>
      <c r="AN32" s="886">
        <f t="shared" si="0"/>
        <v>0</v>
      </c>
      <c r="AO32" s="886">
        <f t="shared" si="0"/>
        <v>0</v>
      </c>
      <c r="AP32" s="886">
        <f t="shared" si="0"/>
        <v>0</v>
      </c>
      <c r="AQ32" s="886">
        <f t="shared" si="0"/>
        <v>0</v>
      </c>
      <c r="AR32" s="887"/>
      <c r="AS32" s="887" t="b">
        <v>1</v>
      </c>
    </row>
    <row r="33" spans="1:45" s="726" customFormat="1" ht="16.5" customHeight="1">
      <c r="E33" s="623">
        <v>17.100000000000001</v>
      </c>
      <c r="F33" s="113" t="str">
        <f ca="1">OFFSET(G33,-1,-1)</f>
        <v>1</v>
      </c>
      <c r="I33" s="151" t="s">
        <v>320</v>
      </c>
      <c r="K33" s="151" t="s">
        <v>321</v>
      </c>
      <c r="U33" s="715" t="b">
        <f ca="1">AND(F33&gt;0,AB33&gt;0)</f>
        <v>1</v>
      </c>
      <c r="X33" s="109"/>
      <c r="Y33" s="1404"/>
      <c r="Z33" s="1404"/>
      <c r="AA33" s="709" t="s">
        <v>157</v>
      </c>
      <c r="AB33" s="93" t="s">
        <v>247</v>
      </c>
      <c r="AC33" s="372" t="str">
        <f>I33&amp;" :: "&amp;K33</f>
        <v>котельная ш. Полысаевская :: г Полысаево, Токарева, 1</v>
      </c>
      <c r="AD33" s="368" t="s">
        <v>322</v>
      </c>
      <c r="AE33" s="368" t="s">
        <v>323</v>
      </c>
      <c r="AF33" s="384" t="s">
        <v>324</v>
      </c>
      <c r="AG33" s="384" t="s">
        <v>325</v>
      </c>
      <c r="AH33" s="1061"/>
      <c r="AK33" s="883" t="s">
        <v>316</v>
      </c>
      <c r="AL33" s="886" t="s">
        <v>317</v>
      </c>
      <c r="AM33" s="886" t="str">
        <f t="shared" si="0"/>
        <v>котельная ш. Полысаевская :: г Полысаево, Токарева, 1</v>
      </c>
      <c r="AN33" s="886" t="str">
        <f t="shared" si="0"/>
        <v>собственность</v>
      </c>
      <c r="AO33" s="886" t="str">
        <f t="shared" si="0"/>
        <v>лицензия</v>
      </c>
      <c r="AP33" s="886" t="str">
        <f t="shared" si="0"/>
        <v>ВХ-68-002546</v>
      </c>
      <c r="AQ33" s="886" t="str">
        <f t="shared" si="0"/>
        <v>23.12.2014</v>
      </c>
      <c r="AR33" s="887"/>
      <c r="AS33" s="887" t="b">
        <v>1</v>
      </c>
    </row>
    <row r="34" spans="1:45" s="1062" customFormat="1" ht="16.5" customHeight="1">
      <c r="A34" s="157"/>
      <c r="B34" s="157"/>
      <c r="C34" s="157"/>
      <c r="D34" s="157"/>
      <c r="E34" s="623">
        <v>17.100000000000001</v>
      </c>
      <c r="F34" s="113" t="str">
        <f ca="1">OFFSET(G34,-1,-1)</f>
        <v>1</v>
      </c>
      <c r="G34" s="157"/>
      <c r="H34" s="157"/>
      <c r="I34" s="157"/>
      <c r="J34" s="157"/>
      <c r="K34" s="157"/>
      <c r="L34" s="157"/>
      <c r="M34" s="157"/>
      <c r="N34" s="157"/>
      <c r="O34" s="157"/>
      <c r="P34" s="157"/>
      <c r="Q34" s="157"/>
      <c r="R34" s="157"/>
      <c r="S34" s="157"/>
      <c r="T34" s="157"/>
      <c r="U34" s="715" t="b">
        <f ca="1">F34&gt;0</f>
        <v>1</v>
      </c>
      <c r="V34" s="157"/>
      <c r="W34" s="157"/>
      <c r="X34" s="109" t="s">
        <v>318</v>
      </c>
      <c r="Y34" s="1403"/>
      <c r="Z34" s="1403"/>
      <c r="AA34" s="157"/>
      <c r="AB34" s="192"/>
      <c r="AC34" s="195" t="s">
        <v>319</v>
      </c>
      <c r="AD34" s="193"/>
      <c r="AE34" s="193"/>
      <c r="AF34" s="193"/>
      <c r="AG34" s="193"/>
      <c r="AH34" s="202"/>
      <c r="AI34" s="157"/>
      <c r="AJ34" s="157"/>
      <c r="AK34" s="883"/>
      <c r="AL34" s="884"/>
      <c r="AM34" s="884"/>
      <c r="AN34" s="884"/>
      <c r="AO34" s="884"/>
      <c r="AP34" s="884"/>
      <c r="AQ34" s="884"/>
      <c r="AR34" s="885" t="s">
        <v>317</v>
      </c>
      <c r="AS34" s="885"/>
    </row>
    <row r="35" spans="1:45" ht="11.25" customHeight="1">
      <c r="U35" s="109"/>
      <c r="V35" s="113" t="s">
        <v>172</v>
      </c>
      <c r="W35" s="109" t="s">
        <v>326</v>
      </c>
      <c r="X35" s="109"/>
      <c r="Y35" s="109"/>
      <c r="AI35" s="755"/>
    </row>
  </sheetData>
  <sheetProtection formatColumns="0" formatRows="0" insertRows="0" deleteColumns="0" deleteRows="0" sort="0" autoFilter="0"/>
  <mergeCells count="6">
    <mergeCell ref="AB22:AH22"/>
    <mergeCell ref="AF23:AG23"/>
    <mergeCell ref="Y26:Y29"/>
    <mergeCell ref="Z26:Z29"/>
    <mergeCell ref="Y30:Y34"/>
    <mergeCell ref="Z30:Z34"/>
  </mergeCells>
  <dataValidations count="1">
    <dataValidation type="list" showDropDown="1" errorTitle="Ошибка" error="Выберите значение из списка" prompt="Выберите значение из списка" sqref="AD29 AD34">
      <formula1>osn_expl_list</formula1>
    </dataValidation>
  </dataValidations>
  <pageMargins left="0.35" right="0.35" top="0.4" bottom="0.4" header="0.51" footer="0.51"/>
  <pageSetup paperSize="9" scale="32" fitToHeight="0"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outlinePr summaryBelow="0" summaryRight="0"/>
    <pageSetUpPr fitToPage="1"/>
  </sheetPr>
  <dimension ref="A1:BC67"/>
  <sheetViews>
    <sheetView showGridLines="0" workbookViewId="0">
      <pane xSplit="30" ySplit="26" topLeftCell="AE47" activePane="bottomRight" state="frozen"/>
      <selection pane="topRight" activeCell="AE1" sqref="AE1"/>
      <selection pane="bottomLeft" activeCell="A27" sqref="A27"/>
      <selection pane="bottomRight" activeCell="AE53" sqref="AE53"/>
    </sheetView>
  </sheetViews>
  <sheetFormatPr defaultColWidth="8.7109375" defaultRowHeight="11.25" customHeight="1"/>
  <cols>
    <col min="1" max="1" width="3.5703125" style="769" hidden="1" customWidth="1"/>
    <col min="2" max="2" width="8.5703125" style="618" hidden="1" customWidth="1"/>
    <col min="3" max="4" width="3.5703125" style="745" hidden="1" customWidth="1"/>
    <col min="5" max="5" width="8.42578125" style="629" hidden="1" customWidth="1"/>
    <col min="6" max="6" width="3.5703125" style="745" hidden="1" customWidth="1"/>
    <col min="7" max="18" width="3.5703125" style="710" hidden="1" customWidth="1"/>
    <col min="19" max="20" width="3.5703125" style="750" hidden="1" customWidth="1"/>
    <col min="21" max="21" width="7.28515625" style="1016" hidden="1" customWidth="1"/>
    <col min="22" max="22" width="6" style="1016" hidden="1" customWidth="1"/>
    <col min="23" max="24" width="6.28515625" style="1016" hidden="1" customWidth="1"/>
    <col min="25" max="25" width="5.7109375" style="1016" hidden="1" customWidth="1"/>
    <col min="26" max="26" width="5.42578125" style="1016" hidden="1" customWidth="1"/>
    <col min="27" max="27" width="3" style="710" customWidth="1"/>
    <col min="28" max="28" width="6.140625" style="131" customWidth="1"/>
    <col min="29" max="29" width="63.7109375" style="131" customWidth="1"/>
    <col min="30" max="30" width="15.140625" style="131" customWidth="1"/>
    <col min="31" max="31" width="20.140625" style="137" customWidth="1"/>
    <col min="32" max="32" width="20.140625" style="131" customWidth="1"/>
    <col min="33" max="41" width="20.140625" style="131" hidden="1" customWidth="1"/>
    <col min="42" max="42" width="20.140625" style="131" customWidth="1"/>
    <col min="43" max="51" width="20.140625" style="131" hidden="1" customWidth="1"/>
    <col min="52" max="52" width="20.140625" style="137" customWidth="1"/>
    <col min="53" max="53" width="3" style="131" customWidth="1"/>
    <col min="54" max="54" width="8.7109375" style="131" hidden="1"/>
    <col min="55" max="55" width="8.7109375" style="900" hidden="1"/>
  </cols>
  <sheetData>
    <row r="1" spans="1:55" s="1016" customFormat="1" ht="12" hidden="1" customHeight="1">
      <c r="A1" s="315"/>
      <c r="B1" s="614"/>
      <c r="E1" s="614"/>
      <c r="F1" s="645" t="s">
        <v>77</v>
      </c>
      <c r="G1" s="151"/>
      <c r="H1" s="151"/>
      <c r="I1" s="151"/>
      <c r="J1" s="151"/>
      <c r="K1" s="151"/>
      <c r="L1" s="151"/>
      <c r="M1" s="151"/>
      <c r="N1" s="151"/>
      <c r="O1" s="151"/>
      <c r="P1" s="151"/>
      <c r="Q1" s="151"/>
      <c r="R1" s="151"/>
      <c r="S1" s="151"/>
      <c r="T1" s="151"/>
      <c r="U1" s="634" t="s">
        <v>78</v>
      </c>
      <c r="V1" s="634" t="s">
        <v>83</v>
      </c>
      <c r="W1" s="634" t="s">
        <v>79</v>
      </c>
      <c r="X1" s="614"/>
      <c r="Y1" s="634" t="s">
        <v>81</v>
      </c>
      <c r="Z1" s="634" t="s">
        <v>85</v>
      </c>
      <c r="BC1" s="877" t="s">
        <v>275</v>
      </c>
    </row>
    <row r="2" spans="1:55" s="618" customFormat="1" ht="12" hidden="1" customHeight="1">
      <c r="A2" s="990"/>
      <c r="B2" s="703" t="s">
        <v>15</v>
      </c>
      <c r="G2" s="751"/>
      <c r="H2" s="751"/>
      <c r="I2" s="751"/>
      <c r="J2" s="751"/>
      <c r="K2" s="751"/>
      <c r="L2" s="751"/>
      <c r="M2" s="751"/>
      <c r="N2" s="751"/>
      <c r="O2" s="751"/>
      <c r="P2" s="751"/>
      <c r="Q2" s="751"/>
      <c r="R2" s="751"/>
      <c r="S2" s="721"/>
      <c r="T2" s="721"/>
      <c r="U2" s="614"/>
      <c r="V2" s="614"/>
      <c r="W2" s="614"/>
      <c r="X2" s="614"/>
      <c r="Y2" s="614"/>
      <c r="Z2" s="614"/>
      <c r="AE2" s="614"/>
      <c r="AF2" s="635" t="b">
        <f t="shared" ref="AF2:AY2" si="0">AF6&lt;=last_year_vis</f>
        <v>1</v>
      </c>
      <c r="AG2" s="635" t="b">
        <f t="shared" si="0"/>
        <v>0</v>
      </c>
      <c r="AH2" s="635" t="b">
        <f t="shared" si="0"/>
        <v>0</v>
      </c>
      <c r="AI2" s="635" t="b">
        <f t="shared" si="0"/>
        <v>0</v>
      </c>
      <c r="AJ2" s="635" t="b">
        <f t="shared" si="0"/>
        <v>0</v>
      </c>
      <c r="AK2" s="635" t="b">
        <f t="shared" si="0"/>
        <v>0</v>
      </c>
      <c r="AL2" s="635" t="b">
        <f t="shared" si="0"/>
        <v>0</v>
      </c>
      <c r="AM2" s="635" t="b">
        <f t="shared" si="0"/>
        <v>0</v>
      </c>
      <c r="AN2" s="635" t="b">
        <f t="shared" si="0"/>
        <v>0</v>
      </c>
      <c r="AO2" s="635" t="b">
        <f t="shared" si="0"/>
        <v>0</v>
      </c>
      <c r="AP2" s="635" t="b">
        <f t="shared" si="0"/>
        <v>1</v>
      </c>
      <c r="AQ2" s="635" t="b">
        <f t="shared" si="0"/>
        <v>0</v>
      </c>
      <c r="AR2" s="635" t="b">
        <f t="shared" si="0"/>
        <v>0</v>
      </c>
      <c r="AS2" s="635" t="b">
        <f t="shared" si="0"/>
        <v>0</v>
      </c>
      <c r="AT2" s="635" t="b">
        <f t="shared" si="0"/>
        <v>0</v>
      </c>
      <c r="AU2" s="635" t="b">
        <f t="shared" si="0"/>
        <v>0</v>
      </c>
      <c r="AV2" s="635" t="b">
        <f t="shared" si="0"/>
        <v>0</v>
      </c>
      <c r="AW2" s="635" t="b">
        <f t="shared" si="0"/>
        <v>0</v>
      </c>
      <c r="AX2" s="635" t="b">
        <f t="shared" si="0"/>
        <v>0</v>
      </c>
      <c r="AY2" s="635" t="b">
        <f t="shared" si="0"/>
        <v>0</v>
      </c>
      <c r="BC2" s="889"/>
    </row>
    <row r="3" spans="1:55" s="745" customFormat="1" ht="12" hidden="1" customHeight="1">
      <c r="A3" s="315"/>
      <c r="B3" s="618"/>
      <c r="C3" s="116"/>
      <c r="E3" s="618"/>
      <c r="G3" s="155"/>
      <c r="H3" s="155"/>
      <c r="I3" s="155"/>
      <c r="J3" s="155"/>
      <c r="K3" s="155"/>
      <c r="L3" s="155"/>
      <c r="M3" s="155"/>
      <c r="N3" s="155"/>
      <c r="O3" s="155"/>
      <c r="P3" s="155"/>
      <c r="Q3" s="155"/>
      <c r="R3" s="155"/>
      <c r="S3" s="151"/>
      <c r="T3" s="151"/>
      <c r="U3" s="116"/>
      <c r="V3" s="116"/>
      <c r="W3" s="116"/>
      <c r="X3" s="116"/>
      <c r="Y3" s="116"/>
      <c r="Z3" s="116"/>
      <c r="BC3" s="877"/>
    </row>
    <row r="4" spans="1:55" s="745" customFormat="1" ht="12" hidden="1" customHeight="1">
      <c r="A4" s="315"/>
      <c r="B4" s="618"/>
      <c r="E4" s="618"/>
      <c r="G4" s="155"/>
      <c r="H4" s="155"/>
      <c r="I4" s="155"/>
      <c r="J4" s="155"/>
      <c r="K4" s="155"/>
      <c r="L4" s="155"/>
      <c r="M4" s="155"/>
      <c r="N4" s="155"/>
      <c r="O4" s="155"/>
      <c r="P4" s="155"/>
      <c r="Q4" s="155"/>
      <c r="R4" s="155"/>
      <c r="S4" s="151"/>
      <c r="T4" s="151"/>
      <c r="U4" s="116"/>
      <c r="V4" s="116"/>
      <c r="W4" s="116"/>
      <c r="X4" s="116"/>
      <c r="Y4" s="116"/>
      <c r="Z4" s="116"/>
      <c r="BC4" s="877"/>
    </row>
    <row r="5" spans="1:55" s="629" customFormat="1" ht="12" hidden="1" customHeight="1">
      <c r="A5" s="990"/>
      <c r="B5" s="618"/>
      <c r="C5" s="618"/>
      <c r="D5" s="618"/>
      <c r="E5" s="629" t="s">
        <v>16</v>
      </c>
      <c r="G5" s="752"/>
      <c r="H5" s="752"/>
      <c r="I5" s="752"/>
      <c r="J5" s="752"/>
      <c r="K5" s="752"/>
      <c r="L5" s="752"/>
      <c r="M5" s="752"/>
      <c r="N5" s="752"/>
      <c r="O5" s="752"/>
      <c r="P5" s="752"/>
      <c r="Q5" s="752"/>
      <c r="R5" s="752"/>
      <c r="S5" s="722"/>
      <c r="T5" s="722"/>
      <c r="U5" s="623"/>
      <c r="V5" s="623"/>
      <c r="W5" s="623"/>
      <c r="X5" s="623"/>
      <c r="Y5" s="623"/>
      <c r="Z5" s="623"/>
      <c r="AA5" s="629">
        <v>3</v>
      </c>
      <c r="AB5" s="629">
        <v>6.13</v>
      </c>
      <c r="AC5" s="629">
        <v>63.75</v>
      </c>
      <c r="AD5" s="629">
        <v>15.13</v>
      </c>
      <c r="AE5" s="629">
        <v>20.13</v>
      </c>
      <c r="AF5" s="629">
        <v>20.13</v>
      </c>
      <c r="AG5" s="629">
        <v>20.13</v>
      </c>
      <c r="AH5" s="629">
        <v>20.13</v>
      </c>
      <c r="AI5" s="629">
        <v>20.13</v>
      </c>
      <c r="AJ5" s="629">
        <v>20.13</v>
      </c>
      <c r="AK5" s="629">
        <v>20.13</v>
      </c>
      <c r="AL5" s="629">
        <v>20.13</v>
      </c>
      <c r="AM5" s="629">
        <v>20.13</v>
      </c>
      <c r="AN5" s="629">
        <v>20.13</v>
      </c>
      <c r="AO5" s="629">
        <v>20.13</v>
      </c>
      <c r="AP5" s="629">
        <v>20.13</v>
      </c>
      <c r="AQ5" s="629">
        <v>20.13</v>
      </c>
      <c r="AR5" s="629">
        <v>20.13</v>
      </c>
      <c r="AS5" s="629">
        <v>20.13</v>
      </c>
      <c r="AT5" s="629">
        <v>20.13</v>
      </c>
      <c r="AU5" s="629">
        <v>20.13</v>
      </c>
      <c r="AV5" s="629">
        <v>20.13</v>
      </c>
      <c r="AW5" s="629">
        <v>20.13</v>
      </c>
      <c r="AX5" s="629">
        <v>20.13</v>
      </c>
      <c r="AY5" s="629">
        <v>20.13</v>
      </c>
      <c r="AZ5" s="629">
        <v>20.13</v>
      </c>
      <c r="BA5" s="629">
        <v>3</v>
      </c>
      <c r="BC5" s="889"/>
    </row>
    <row r="6" spans="1:55" s="745" customFormat="1" ht="12" hidden="1" customHeight="1">
      <c r="A6" s="315"/>
      <c r="B6" s="618"/>
      <c r="E6" s="629"/>
      <c r="G6" s="155"/>
      <c r="H6" s="155"/>
      <c r="I6" s="155"/>
      <c r="J6" s="155"/>
      <c r="K6" s="155"/>
      <c r="L6" s="155"/>
      <c r="M6" s="155"/>
      <c r="N6" s="155"/>
      <c r="O6" s="155"/>
      <c r="P6" s="155"/>
      <c r="Q6" s="155"/>
      <c r="R6" s="155"/>
      <c r="S6" s="151"/>
      <c r="T6" s="151"/>
      <c r="U6" s="116"/>
      <c r="V6" s="116"/>
      <c r="W6" s="116"/>
      <c r="X6" s="116"/>
      <c r="Y6" s="116"/>
      <c r="Z6" s="116"/>
      <c r="AE6" s="113">
        <f>god-1</f>
        <v>2025</v>
      </c>
      <c r="AF6" s="113">
        <f>god</f>
        <v>2026</v>
      </c>
      <c r="AG6" s="113">
        <f>god+1</f>
        <v>2027</v>
      </c>
      <c r="AH6" s="113">
        <f>god+2</f>
        <v>2028</v>
      </c>
      <c r="AI6" s="113">
        <f>god+3</f>
        <v>2029</v>
      </c>
      <c r="AJ6" s="113">
        <f>god+4</f>
        <v>2030</v>
      </c>
      <c r="AK6" s="113">
        <f>god+5</f>
        <v>2031</v>
      </c>
      <c r="AL6" s="113">
        <f>god+6</f>
        <v>2032</v>
      </c>
      <c r="AM6" s="113">
        <f>god+7</f>
        <v>2033</v>
      </c>
      <c r="AN6" s="113">
        <f>god+8</f>
        <v>2034</v>
      </c>
      <c r="AO6" s="113">
        <f>god+9</f>
        <v>2035</v>
      </c>
      <c r="AP6" s="113">
        <f>god</f>
        <v>2026</v>
      </c>
      <c r="AQ6" s="113">
        <f>god+1</f>
        <v>2027</v>
      </c>
      <c r="AR6" s="113">
        <f>god+2</f>
        <v>2028</v>
      </c>
      <c r="AS6" s="113">
        <f>god+3</f>
        <v>2029</v>
      </c>
      <c r="AT6" s="113">
        <f>god+4</f>
        <v>2030</v>
      </c>
      <c r="AU6" s="113">
        <f>god+5</f>
        <v>2031</v>
      </c>
      <c r="AV6" s="113">
        <f>god+6</f>
        <v>2032</v>
      </c>
      <c r="AW6" s="113">
        <f>god+7</f>
        <v>2033</v>
      </c>
      <c r="AX6" s="113">
        <f>god+8</f>
        <v>2034</v>
      </c>
      <c r="AY6" s="113">
        <f>god+9</f>
        <v>2035</v>
      </c>
      <c r="BC6" s="877"/>
    </row>
    <row r="7" spans="1:55" s="710" customFormat="1" ht="12" hidden="1" customHeight="1">
      <c r="A7" s="315"/>
      <c r="B7" s="618"/>
      <c r="C7" s="291"/>
      <c r="D7" s="291"/>
      <c r="E7" s="629"/>
      <c r="S7" s="151"/>
      <c r="T7" s="151"/>
      <c r="U7" s="151"/>
      <c r="V7" s="151"/>
      <c r="W7" s="151"/>
      <c r="X7" s="151"/>
      <c r="Y7" s="151"/>
      <c r="Z7" s="151"/>
      <c r="AE7" s="150" t="str">
        <f t="shared" ref="AE7:AY7" si="1">AE25</f>
        <v>Принято органом регулирования</v>
      </c>
      <c r="AF7" s="150" t="str">
        <f t="shared" si="1"/>
        <v>Предложение организации</v>
      </c>
      <c r="AG7" s="150" t="str">
        <f t="shared" si="1"/>
        <v>Предложение организации</v>
      </c>
      <c r="AH7" s="150" t="str">
        <f t="shared" si="1"/>
        <v>Предложение организации</v>
      </c>
      <c r="AI7" s="150" t="str">
        <f t="shared" si="1"/>
        <v>Предложение организации</v>
      </c>
      <c r="AJ7" s="150" t="str">
        <f t="shared" si="1"/>
        <v>Предложение организации</v>
      </c>
      <c r="AK7" s="150" t="str">
        <f t="shared" si="1"/>
        <v>Предложение организации</v>
      </c>
      <c r="AL7" s="150" t="str">
        <f t="shared" si="1"/>
        <v>Предложение организации</v>
      </c>
      <c r="AM7" s="150" t="str">
        <f t="shared" si="1"/>
        <v>Предложение организации</v>
      </c>
      <c r="AN7" s="150" t="str">
        <f t="shared" si="1"/>
        <v>Предложение организации</v>
      </c>
      <c r="AO7" s="150" t="str">
        <f t="shared" si="1"/>
        <v>Предложение организации</v>
      </c>
      <c r="AP7" s="150" t="str">
        <f t="shared" si="1"/>
        <v>Принято органом регулирования</v>
      </c>
      <c r="AQ7" s="150" t="str">
        <f t="shared" si="1"/>
        <v>Принято органом регулирования</v>
      </c>
      <c r="AR7" s="150" t="str">
        <f t="shared" si="1"/>
        <v>Принято органом регулирования</v>
      </c>
      <c r="AS7" s="150" t="str">
        <f t="shared" si="1"/>
        <v>Принято органом регулирования</v>
      </c>
      <c r="AT7" s="150" t="str">
        <f t="shared" si="1"/>
        <v>Принято органом регулирования</v>
      </c>
      <c r="AU7" s="150" t="str">
        <f t="shared" si="1"/>
        <v>Принято органом регулирования</v>
      </c>
      <c r="AV7" s="150" t="str">
        <f t="shared" si="1"/>
        <v>Принято органом регулирования</v>
      </c>
      <c r="AW7" s="150" t="str">
        <f t="shared" si="1"/>
        <v>Принято органом регулирования</v>
      </c>
      <c r="AX7" s="150" t="str">
        <f t="shared" si="1"/>
        <v>Принято органом регулирования</v>
      </c>
      <c r="AY7" s="150" t="str">
        <f t="shared" si="1"/>
        <v>Принято органом регулирования</v>
      </c>
      <c r="AZ7" s="750"/>
      <c r="BC7" s="877"/>
    </row>
    <row r="8" spans="1:55" s="710" customFormat="1" ht="12" hidden="1" customHeight="1">
      <c r="A8" s="315"/>
      <c r="B8" s="618"/>
      <c r="C8" s="291"/>
      <c r="D8" s="291"/>
      <c r="E8" s="629"/>
      <c r="S8" s="151"/>
      <c r="T8" s="151"/>
      <c r="U8" s="151"/>
      <c r="V8" s="151"/>
      <c r="W8" s="151"/>
      <c r="X8" s="151"/>
      <c r="Y8" s="151"/>
      <c r="Z8" s="151"/>
      <c r="AE8" s="150" t="str">
        <f t="shared" ref="AE8:AY8" si="2">AE6&amp;AE7</f>
        <v>2025Принято органом регулирования</v>
      </c>
      <c r="AF8" s="150" t="str">
        <f t="shared" si="2"/>
        <v>2026Предложение организации</v>
      </c>
      <c r="AG8" s="150" t="str">
        <f t="shared" si="2"/>
        <v>2027Предложение организации</v>
      </c>
      <c r="AH8" s="150" t="str">
        <f t="shared" si="2"/>
        <v>2028Предложение организации</v>
      </c>
      <c r="AI8" s="150" t="str">
        <f t="shared" si="2"/>
        <v>2029Предложение организации</v>
      </c>
      <c r="AJ8" s="150" t="str">
        <f t="shared" si="2"/>
        <v>2030Предложение организации</v>
      </c>
      <c r="AK8" s="150" t="str">
        <f t="shared" si="2"/>
        <v>2031Предложение организации</v>
      </c>
      <c r="AL8" s="150" t="str">
        <f t="shared" si="2"/>
        <v>2032Предложение организации</v>
      </c>
      <c r="AM8" s="150" t="str">
        <f t="shared" si="2"/>
        <v>2033Предложение организации</v>
      </c>
      <c r="AN8" s="150" t="str">
        <f t="shared" si="2"/>
        <v>2034Предложение организации</v>
      </c>
      <c r="AO8" s="150" t="str">
        <f t="shared" si="2"/>
        <v>2035Предложение организации</v>
      </c>
      <c r="AP8" s="150" t="str">
        <f t="shared" si="2"/>
        <v>2026Принято органом регулирования</v>
      </c>
      <c r="AQ8" s="150" t="str">
        <f t="shared" si="2"/>
        <v>2027Принято органом регулирования</v>
      </c>
      <c r="AR8" s="150" t="str">
        <f t="shared" si="2"/>
        <v>2028Принято органом регулирования</v>
      </c>
      <c r="AS8" s="150" t="str">
        <f t="shared" si="2"/>
        <v>2029Принято органом регулирования</v>
      </c>
      <c r="AT8" s="150" t="str">
        <f t="shared" si="2"/>
        <v>2030Принято органом регулирования</v>
      </c>
      <c r="AU8" s="150" t="str">
        <f t="shared" si="2"/>
        <v>2031Принято органом регулирования</v>
      </c>
      <c r="AV8" s="150" t="str">
        <f t="shared" si="2"/>
        <v>2032Принято органом регулирования</v>
      </c>
      <c r="AW8" s="150" t="str">
        <f t="shared" si="2"/>
        <v>2033Принято органом регулирования</v>
      </c>
      <c r="AX8" s="150" t="str">
        <f t="shared" si="2"/>
        <v>2034Принято органом регулирования</v>
      </c>
      <c r="AY8" s="150" t="str">
        <f t="shared" si="2"/>
        <v>2035Принято органом регулирования</v>
      </c>
      <c r="BC8" s="877"/>
    </row>
    <row r="9" spans="1:55" s="901" customFormat="1" ht="12" hidden="1" customHeight="1">
      <c r="A9" s="877" t="s">
        <v>327</v>
      </c>
      <c r="B9" s="878"/>
      <c r="E9" s="878"/>
      <c r="AE9" s="879">
        <f>god-1</f>
        <v>2025</v>
      </c>
      <c r="AF9" s="879">
        <f>god</f>
        <v>2026</v>
      </c>
      <c r="AG9" s="879">
        <f>god+1</f>
        <v>2027</v>
      </c>
      <c r="AH9" s="879">
        <f>god+2</f>
        <v>2028</v>
      </c>
      <c r="AI9" s="879">
        <f>god+3</f>
        <v>2029</v>
      </c>
      <c r="AJ9" s="879">
        <f>god+4</f>
        <v>2030</v>
      </c>
      <c r="AK9" s="879">
        <f>god+5</f>
        <v>2031</v>
      </c>
      <c r="AL9" s="879">
        <f>god+6</f>
        <v>2032</v>
      </c>
      <c r="AM9" s="879">
        <f>god+7</f>
        <v>2033</v>
      </c>
      <c r="AN9" s="879">
        <f>god+8</f>
        <v>2034</v>
      </c>
      <c r="AO9" s="879">
        <f>god+9</f>
        <v>2035</v>
      </c>
      <c r="AP9" s="879">
        <f>god</f>
        <v>2026</v>
      </c>
      <c r="AQ9" s="879">
        <f>god+1</f>
        <v>2027</v>
      </c>
      <c r="AR9" s="879">
        <f>god+2</f>
        <v>2028</v>
      </c>
      <c r="AS9" s="879">
        <f>god+3</f>
        <v>2029</v>
      </c>
      <c r="AT9" s="879">
        <f>god+4</f>
        <v>2030</v>
      </c>
      <c r="AU9" s="879">
        <f>god+5</f>
        <v>2031</v>
      </c>
      <c r="AV9" s="879">
        <f>god+6</f>
        <v>2032</v>
      </c>
      <c r="AW9" s="879">
        <f>god+7</f>
        <v>2033</v>
      </c>
      <c r="AX9" s="879">
        <f>god+8</f>
        <v>2034</v>
      </c>
      <c r="AY9" s="879">
        <f>god+9</f>
        <v>2035</v>
      </c>
      <c r="BC9" s="877"/>
    </row>
    <row r="10" spans="1:55" s="901" customFormat="1" ht="12" hidden="1" customHeight="1">
      <c r="A10" s="877" t="s">
        <v>328</v>
      </c>
      <c r="B10" s="878"/>
      <c r="E10" s="878"/>
      <c r="AE10" s="879" t="str">
        <f t="shared" ref="AE10:AY10" si="3">AE25</f>
        <v>Принято органом регулирования</v>
      </c>
      <c r="AF10" s="879" t="str">
        <f t="shared" si="3"/>
        <v>Предложение организации</v>
      </c>
      <c r="AG10" s="879" t="str">
        <f t="shared" si="3"/>
        <v>Предложение организации</v>
      </c>
      <c r="AH10" s="879" t="str">
        <f t="shared" si="3"/>
        <v>Предложение организации</v>
      </c>
      <c r="AI10" s="879" t="str">
        <f t="shared" si="3"/>
        <v>Предложение организации</v>
      </c>
      <c r="AJ10" s="879" t="str">
        <f t="shared" si="3"/>
        <v>Предложение организации</v>
      </c>
      <c r="AK10" s="879" t="str">
        <f t="shared" si="3"/>
        <v>Предложение организации</v>
      </c>
      <c r="AL10" s="879" t="str">
        <f t="shared" si="3"/>
        <v>Предложение организации</v>
      </c>
      <c r="AM10" s="879" t="str">
        <f t="shared" si="3"/>
        <v>Предложение организации</v>
      </c>
      <c r="AN10" s="879" t="str">
        <f t="shared" si="3"/>
        <v>Предложение организации</v>
      </c>
      <c r="AO10" s="879" t="str">
        <f t="shared" si="3"/>
        <v>Предложение организации</v>
      </c>
      <c r="AP10" s="879" t="str">
        <f t="shared" si="3"/>
        <v>Принято органом регулирования</v>
      </c>
      <c r="AQ10" s="879" t="str">
        <f t="shared" si="3"/>
        <v>Принято органом регулирования</v>
      </c>
      <c r="AR10" s="879" t="str">
        <f t="shared" si="3"/>
        <v>Принято органом регулирования</v>
      </c>
      <c r="AS10" s="879" t="str">
        <f t="shared" si="3"/>
        <v>Принято органом регулирования</v>
      </c>
      <c r="AT10" s="879" t="str">
        <f t="shared" si="3"/>
        <v>Принято органом регулирования</v>
      </c>
      <c r="AU10" s="879" t="str">
        <f t="shared" si="3"/>
        <v>Принято органом регулирования</v>
      </c>
      <c r="AV10" s="879" t="str">
        <f t="shared" si="3"/>
        <v>Принято органом регулирования</v>
      </c>
      <c r="AW10" s="879" t="str">
        <f t="shared" si="3"/>
        <v>Принято органом регулирования</v>
      </c>
      <c r="AX10" s="879" t="str">
        <f t="shared" si="3"/>
        <v>Принято органом регулирования</v>
      </c>
      <c r="AY10" s="879" t="str">
        <f t="shared" si="3"/>
        <v>Принято органом регулирования</v>
      </c>
      <c r="BC10" s="877"/>
    </row>
    <row r="11" spans="1:55" s="880" customFormat="1" ht="12" hidden="1" customHeight="1">
      <c r="A11" s="877" t="s">
        <v>329</v>
      </c>
      <c r="B11" s="881"/>
      <c r="E11" s="881"/>
      <c r="G11" s="882"/>
      <c r="H11" s="882"/>
      <c r="I11" s="882"/>
      <c r="J11" s="882"/>
      <c r="K11" s="882"/>
      <c r="L11" s="882"/>
      <c r="M11" s="882"/>
      <c r="N11" s="882"/>
      <c r="O11" s="882"/>
      <c r="P11" s="882"/>
      <c r="Q11" s="882"/>
      <c r="R11" s="882"/>
      <c r="S11" s="888"/>
      <c r="T11" s="888"/>
      <c r="U11" s="879"/>
      <c r="V11" s="879"/>
      <c r="W11" s="879"/>
      <c r="X11" s="879"/>
      <c r="Y11" s="879"/>
      <c r="Z11" s="879"/>
      <c r="AZ11" s="880" t="str">
        <f>AZ24</f>
        <v>Комментарии</v>
      </c>
      <c r="BC11" s="877"/>
    </row>
    <row r="12" spans="1:55" s="745" customFormat="1" ht="12" hidden="1" customHeight="1">
      <c r="A12" s="315"/>
      <c r="B12" s="618"/>
      <c r="E12" s="629"/>
      <c r="G12" s="155"/>
      <c r="H12" s="155"/>
      <c r="I12" s="155"/>
      <c r="J12" s="155"/>
      <c r="K12" s="155"/>
      <c r="L12" s="155"/>
      <c r="M12" s="155"/>
      <c r="N12" s="155"/>
      <c r="O12" s="155"/>
      <c r="P12" s="155"/>
      <c r="Q12" s="155"/>
      <c r="R12" s="155"/>
      <c r="S12" s="151"/>
      <c r="T12" s="151"/>
      <c r="U12" s="116"/>
      <c r="V12" s="116"/>
      <c r="W12" s="116"/>
      <c r="X12" s="116"/>
      <c r="Y12" s="116"/>
      <c r="Z12" s="116"/>
      <c r="BC12" s="877"/>
    </row>
    <row r="13" spans="1:55" s="745" customFormat="1" ht="12" hidden="1" customHeight="1">
      <c r="A13" s="315"/>
      <c r="B13" s="618"/>
      <c r="E13" s="629"/>
      <c r="G13" s="155"/>
      <c r="H13" s="155"/>
      <c r="I13" s="155"/>
      <c r="J13" s="155"/>
      <c r="K13" s="155"/>
      <c r="L13" s="155"/>
      <c r="M13" s="155"/>
      <c r="N13" s="155"/>
      <c r="O13" s="155"/>
      <c r="P13" s="155"/>
      <c r="Q13" s="155"/>
      <c r="R13" s="155"/>
      <c r="S13" s="151"/>
      <c r="T13" s="151"/>
      <c r="U13" s="116"/>
      <c r="V13" s="116"/>
      <c r="W13" s="116"/>
      <c r="X13" s="116"/>
      <c r="Y13" s="116"/>
      <c r="Z13" s="116"/>
      <c r="AA13" s="116"/>
      <c r="AB13" s="116"/>
      <c r="BC13" s="877"/>
    </row>
    <row r="14" spans="1:55" s="745" customFormat="1" ht="12" hidden="1" customHeight="1">
      <c r="A14" s="315"/>
      <c r="B14" s="618"/>
      <c r="E14" s="629"/>
      <c r="G14" s="155"/>
      <c r="H14" s="155"/>
      <c r="I14" s="155"/>
      <c r="J14" s="155"/>
      <c r="K14" s="155"/>
      <c r="L14" s="155"/>
      <c r="M14" s="155"/>
      <c r="N14" s="155"/>
      <c r="O14" s="155"/>
      <c r="P14" s="155"/>
      <c r="Q14" s="155"/>
      <c r="R14" s="155"/>
      <c r="S14" s="151"/>
      <c r="T14" s="151"/>
      <c r="U14" s="116"/>
      <c r="V14" s="116"/>
      <c r="W14" s="116"/>
      <c r="X14" s="116"/>
      <c r="Y14" s="116"/>
      <c r="Z14" s="116"/>
      <c r="AA14" s="116"/>
      <c r="AB14" s="116"/>
      <c r="BC14" s="877"/>
    </row>
    <row r="15" spans="1:55" s="745" customFormat="1" ht="12" hidden="1" customHeight="1">
      <c r="A15" s="315"/>
      <c r="B15" s="618"/>
      <c r="E15" s="629"/>
      <c r="G15" s="155"/>
      <c r="H15" s="155"/>
      <c r="I15" s="155"/>
      <c r="J15" s="155"/>
      <c r="K15" s="155"/>
      <c r="L15" s="155"/>
      <c r="M15" s="155"/>
      <c r="N15" s="155"/>
      <c r="O15" s="155"/>
      <c r="P15" s="155"/>
      <c r="Q15" s="155"/>
      <c r="R15" s="155"/>
      <c r="S15" s="151"/>
      <c r="T15" s="151"/>
      <c r="U15" s="116"/>
      <c r="V15" s="116"/>
      <c r="W15" s="116"/>
      <c r="X15" s="116"/>
      <c r="Y15" s="116"/>
      <c r="Z15" s="116"/>
      <c r="AA15" s="116"/>
      <c r="AB15" s="116"/>
      <c r="BC15" s="877"/>
    </row>
    <row r="16" spans="1:55" s="745" customFormat="1" ht="12" hidden="1" customHeight="1">
      <c r="A16" s="315"/>
      <c r="B16" s="618"/>
      <c r="E16" s="629"/>
      <c r="G16" s="155"/>
      <c r="H16" s="155"/>
      <c r="I16" s="155"/>
      <c r="J16" s="155"/>
      <c r="K16" s="155"/>
      <c r="L16" s="155"/>
      <c r="M16" s="155"/>
      <c r="N16" s="155"/>
      <c r="O16" s="155"/>
      <c r="P16" s="155"/>
      <c r="Q16" s="155"/>
      <c r="R16" s="155"/>
      <c r="S16" s="151"/>
      <c r="T16" s="151"/>
      <c r="U16" s="116"/>
      <c r="V16" s="116"/>
      <c r="W16" s="116"/>
      <c r="X16" s="116"/>
      <c r="Y16" s="116"/>
      <c r="Z16" s="116"/>
      <c r="AA16" s="116"/>
      <c r="AB16" s="116"/>
      <c r="BC16" s="877"/>
    </row>
    <row r="17" spans="1:55" s="745" customFormat="1" ht="12" hidden="1" customHeight="1">
      <c r="A17" s="315"/>
      <c r="B17" s="618"/>
      <c r="E17" s="629"/>
      <c r="G17" s="155"/>
      <c r="H17" s="155"/>
      <c r="I17" s="155"/>
      <c r="J17" s="155"/>
      <c r="K17" s="155"/>
      <c r="L17" s="155"/>
      <c r="M17" s="155"/>
      <c r="N17" s="155"/>
      <c r="O17" s="155"/>
      <c r="P17" s="155"/>
      <c r="Q17" s="155"/>
      <c r="R17" s="155"/>
      <c r="S17" s="151"/>
      <c r="T17" s="151"/>
      <c r="U17" s="116"/>
      <c r="V17" s="116"/>
      <c r="W17" s="116"/>
      <c r="X17" s="116"/>
      <c r="Y17" s="116"/>
      <c r="Z17" s="116"/>
      <c r="AA17" s="116"/>
      <c r="AB17" s="116"/>
      <c r="BC17" s="877"/>
    </row>
    <row r="18" spans="1:55" s="745" customFormat="1" ht="12" hidden="1" customHeight="1">
      <c r="A18" s="315"/>
      <c r="B18" s="618"/>
      <c r="E18" s="629"/>
      <c r="G18" s="155"/>
      <c r="H18" s="155"/>
      <c r="I18" s="155"/>
      <c r="J18" s="155"/>
      <c r="K18" s="155"/>
      <c r="L18" s="155"/>
      <c r="M18" s="155"/>
      <c r="N18" s="155"/>
      <c r="O18" s="155"/>
      <c r="P18" s="155"/>
      <c r="Q18" s="155"/>
      <c r="R18" s="155"/>
      <c r="S18" s="151"/>
      <c r="T18" s="151"/>
      <c r="U18" s="116"/>
      <c r="V18" s="116"/>
      <c r="W18" s="116"/>
      <c r="X18" s="116"/>
      <c r="Y18" s="116"/>
      <c r="Z18" s="116"/>
      <c r="AA18" s="116"/>
      <c r="AB18" s="116"/>
      <c r="BC18" s="877"/>
    </row>
    <row r="19" spans="1:55" s="745" customFormat="1" ht="12" hidden="1" customHeight="1">
      <c r="A19" s="315"/>
      <c r="B19" s="618"/>
      <c r="E19" s="629"/>
      <c r="G19" s="155"/>
      <c r="H19" s="155"/>
      <c r="I19" s="155"/>
      <c r="J19" s="155"/>
      <c r="K19" s="155"/>
      <c r="L19" s="155"/>
      <c r="M19" s="155"/>
      <c r="N19" s="155"/>
      <c r="O19" s="155"/>
      <c r="P19" s="155"/>
      <c r="Q19" s="155"/>
      <c r="R19" s="155"/>
      <c r="S19" s="151"/>
      <c r="T19" s="151"/>
      <c r="U19" s="116"/>
      <c r="V19" s="116"/>
      <c r="W19" s="116"/>
      <c r="X19" s="116"/>
      <c r="Y19" s="116"/>
      <c r="Z19" s="116"/>
      <c r="AA19" s="116"/>
      <c r="AB19" s="116"/>
      <c r="BC19" s="877"/>
    </row>
    <row r="20" spans="1:55" s="745" customFormat="1" ht="12" hidden="1" customHeight="1">
      <c r="A20" s="315"/>
      <c r="B20" s="618"/>
      <c r="E20" s="629"/>
      <c r="G20" s="155"/>
      <c r="H20" s="155"/>
      <c r="I20" s="155"/>
      <c r="J20" s="155"/>
      <c r="K20" s="155"/>
      <c r="L20" s="155"/>
      <c r="M20" s="155"/>
      <c r="N20" s="155"/>
      <c r="O20" s="155"/>
      <c r="P20" s="155"/>
      <c r="Q20" s="155"/>
      <c r="R20" s="155"/>
      <c r="S20" s="151"/>
      <c r="T20" s="151"/>
      <c r="U20" s="116"/>
      <c r="V20" s="116"/>
      <c r="W20" s="116"/>
      <c r="X20" s="116"/>
      <c r="Y20" s="116"/>
      <c r="Z20" s="116"/>
      <c r="AA20" s="116"/>
      <c r="AB20" s="116"/>
      <c r="BC20" s="877"/>
    </row>
    <row r="21" spans="1:55" s="710" customFormat="1" ht="14.65" customHeight="1">
      <c r="A21" s="315"/>
      <c r="B21" s="618"/>
      <c r="C21" s="291"/>
      <c r="D21" s="291"/>
      <c r="E21" s="629">
        <v>15</v>
      </c>
      <c r="F21" s="291"/>
      <c r="S21" s="151"/>
      <c r="T21" s="151"/>
      <c r="U21" s="116"/>
      <c r="V21" s="116"/>
      <c r="W21" s="116"/>
      <c r="X21" s="116"/>
      <c r="Y21" s="116"/>
      <c r="Z21" s="116"/>
      <c r="AA21" s="646"/>
      <c r="AC21" s="325" t="str">
        <f>tpl_title</f>
        <v>Кемеровская область / 2026 / АО "СУЭК-Кузбасс" (ИНН:4212024138, КПП:421201001) / ДПР: 2024-2028</v>
      </c>
      <c r="BC21" s="877"/>
    </row>
    <row r="22" spans="1:55" ht="20.45" customHeight="1">
      <c r="E22" s="629">
        <v>21</v>
      </c>
      <c r="R22" s="151"/>
      <c r="AA22" s="646"/>
      <c r="AB22" s="1398" t="s">
        <v>27</v>
      </c>
      <c r="AC22" s="1399"/>
      <c r="AD22" s="1399"/>
      <c r="AE22" s="1399"/>
      <c r="AF22" s="1399"/>
      <c r="AG22" s="1399"/>
      <c r="AH22" s="1399"/>
      <c r="AI22" s="1399"/>
      <c r="AJ22" s="1399"/>
      <c r="AK22" s="1399"/>
      <c r="AL22" s="1399"/>
      <c r="AM22" s="1399"/>
      <c r="AN22" s="1399"/>
      <c r="AO22" s="1399"/>
      <c r="AP22" s="1399"/>
      <c r="AQ22" s="1399"/>
      <c r="AR22" s="1399"/>
      <c r="AS22" s="1399"/>
      <c r="AT22" s="1399"/>
      <c r="AU22" s="1399"/>
      <c r="AV22" s="1399"/>
      <c r="AW22" s="1399"/>
      <c r="AX22" s="1399"/>
      <c r="AY22" s="1399"/>
      <c r="AZ22" s="1399"/>
    </row>
    <row r="23" spans="1:55" ht="8.85" customHeight="1">
      <c r="E23" s="629">
        <v>9</v>
      </c>
      <c r="AA23" s="708"/>
      <c r="AB23" s="132"/>
      <c r="AC23" s="132"/>
      <c r="AD23" s="132"/>
      <c r="AE23" s="1402"/>
      <c r="AF23" s="1402"/>
      <c r="AG23" s="114"/>
      <c r="AH23" s="114"/>
      <c r="AI23" s="114"/>
      <c r="AJ23" s="114"/>
      <c r="AK23" s="114"/>
      <c r="AL23" s="114"/>
      <c r="AM23" s="114"/>
      <c r="AN23" s="114"/>
      <c r="AO23" s="114"/>
      <c r="AP23" s="114"/>
      <c r="AQ23" s="114"/>
      <c r="AR23" s="114"/>
      <c r="AS23" s="114"/>
      <c r="AT23" s="114"/>
      <c r="AU23" s="114"/>
      <c r="AV23" s="114"/>
      <c r="AW23" s="114"/>
      <c r="AX23" s="114"/>
      <c r="AY23" s="114"/>
      <c r="AZ23" s="114"/>
    </row>
    <row r="24" spans="1:55" ht="20.45" customHeight="1">
      <c r="E24" s="629">
        <v>21</v>
      </c>
      <c r="AA24" s="708"/>
      <c r="AB24" s="1408" t="s">
        <v>288</v>
      </c>
      <c r="AC24" s="1408" t="s">
        <v>330</v>
      </c>
      <c r="AD24" s="1408" t="s">
        <v>331</v>
      </c>
      <c r="AE24" s="108" t="str">
        <f>god-1&amp;" год"</f>
        <v>2025 год</v>
      </c>
      <c r="AF24" s="1001" t="str">
        <f>god&amp;" год"</f>
        <v>2026 год</v>
      </c>
      <c r="AG24" s="1001" t="str">
        <f>god+1&amp;" год"</f>
        <v>2027 год</v>
      </c>
      <c r="AH24" s="1001" t="str">
        <f>god+2&amp;" год"</f>
        <v>2028 год</v>
      </c>
      <c r="AI24" s="1001" t="str">
        <f>god+3&amp;" год"</f>
        <v>2029 год</v>
      </c>
      <c r="AJ24" s="1001" t="str">
        <f>god+4&amp;" год"</f>
        <v>2030 год</v>
      </c>
      <c r="AK24" s="1001" t="str">
        <f>god+5&amp;" год"</f>
        <v>2031 год</v>
      </c>
      <c r="AL24" s="1001" t="str">
        <f>god+6&amp;" год"</f>
        <v>2032 год</v>
      </c>
      <c r="AM24" s="1001" t="str">
        <f>god+7&amp;" год"</f>
        <v>2033 год</v>
      </c>
      <c r="AN24" s="1001" t="str">
        <f>god+8&amp;" год"</f>
        <v>2034 год</v>
      </c>
      <c r="AO24" s="1001" t="str">
        <f>god+9&amp;" год"</f>
        <v>2035 год</v>
      </c>
      <c r="AP24" s="108" t="str">
        <f>god&amp;" год"</f>
        <v>2026 год</v>
      </c>
      <c r="AQ24" s="108" t="str">
        <f>god+1&amp;" год"</f>
        <v>2027 год</v>
      </c>
      <c r="AR24" s="108" t="str">
        <f>god+2&amp;" год"</f>
        <v>2028 год</v>
      </c>
      <c r="AS24" s="108" t="str">
        <f>god+3&amp;" год"</f>
        <v>2029 год</v>
      </c>
      <c r="AT24" s="108" t="str">
        <f>god+4&amp;" год"</f>
        <v>2030 год</v>
      </c>
      <c r="AU24" s="108" t="str">
        <f>god+5&amp;" год"</f>
        <v>2031 год</v>
      </c>
      <c r="AV24" s="108" t="str">
        <f>god+6&amp;" год"</f>
        <v>2032 год</v>
      </c>
      <c r="AW24" s="108" t="str">
        <f>god+7&amp;" год"</f>
        <v>2033 год</v>
      </c>
      <c r="AX24" s="108" t="str">
        <f>god+8&amp;" год"</f>
        <v>2034 год</v>
      </c>
      <c r="AY24" s="108" t="str">
        <f>god+9&amp;" год"</f>
        <v>2035 год</v>
      </c>
      <c r="AZ24" s="1406" t="s">
        <v>332</v>
      </c>
    </row>
    <row r="25" spans="1:55" s="157" customFormat="1" ht="35.1" customHeight="1">
      <c r="A25" s="988"/>
      <c r="B25" s="614"/>
      <c r="C25" s="113"/>
      <c r="D25" s="113"/>
      <c r="E25" s="623">
        <v>36</v>
      </c>
      <c r="F25" s="113"/>
      <c r="G25" s="150"/>
      <c r="H25" s="150"/>
      <c r="I25" s="150"/>
      <c r="J25" s="150"/>
      <c r="K25" s="150"/>
      <c r="L25" s="150"/>
      <c r="M25" s="150"/>
      <c r="N25" s="150"/>
      <c r="O25" s="150"/>
      <c r="P25" s="150"/>
      <c r="Q25" s="150"/>
      <c r="R25" s="150"/>
      <c r="S25" s="150"/>
      <c r="T25" s="150"/>
      <c r="U25" s="113"/>
      <c r="V25" s="113"/>
      <c r="W25" s="113"/>
      <c r="X25" s="113"/>
      <c r="Y25" s="113"/>
      <c r="Z25" s="113"/>
      <c r="AB25" s="1408"/>
      <c r="AC25" s="1408"/>
      <c r="AD25" s="1408"/>
      <c r="AE25" s="108" t="s">
        <v>304</v>
      </c>
      <c r="AF25" s="1001" t="s">
        <v>305</v>
      </c>
      <c r="AG25" s="1002" t="s">
        <v>305</v>
      </c>
      <c r="AH25" s="1002" t="s">
        <v>305</v>
      </c>
      <c r="AI25" s="1002" t="s">
        <v>305</v>
      </c>
      <c r="AJ25" s="1002" t="s">
        <v>305</v>
      </c>
      <c r="AK25" s="1002" t="s">
        <v>305</v>
      </c>
      <c r="AL25" s="1002" t="s">
        <v>305</v>
      </c>
      <c r="AM25" s="1002" t="s">
        <v>305</v>
      </c>
      <c r="AN25" s="1002" t="s">
        <v>305</v>
      </c>
      <c r="AO25" s="1002" t="s">
        <v>305</v>
      </c>
      <c r="AP25" s="108" t="s">
        <v>304</v>
      </c>
      <c r="AQ25" s="108" t="s">
        <v>304</v>
      </c>
      <c r="AR25" s="108" t="s">
        <v>304</v>
      </c>
      <c r="AS25" s="108" t="s">
        <v>304</v>
      </c>
      <c r="AT25" s="108" t="s">
        <v>304</v>
      </c>
      <c r="AU25" s="108" t="s">
        <v>304</v>
      </c>
      <c r="AV25" s="108" t="s">
        <v>304</v>
      </c>
      <c r="AW25" s="108" t="s">
        <v>304</v>
      </c>
      <c r="AX25" s="108" t="s">
        <v>304</v>
      </c>
      <c r="AY25" s="108" t="s">
        <v>304</v>
      </c>
      <c r="AZ25" s="1407"/>
      <c r="BC25" s="890"/>
    </row>
    <row r="26" spans="1:55" s="157" customFormat="1" ht="26.25" hidden="1" customHeight="1">
      <c r="A26" s="988"/>
      <c r="B26" s="614"/>
      <c r="C26" s="113"/>
      <c r="D26" s="113"/>
      <c r="E26" s="623">
        <v>0</v>
      </c>
      <c r="F26" s="113"/>
      <c r="G26" s="150"/>
      <c r="H26" s="150"/>
      <c r="I26" s="150"/>
      <c r="J26" s="150"/>
      <c r="K26" s="150"/>
      <c r="L26" s="150"/>
      <c r="M26" s="150"/>
      <c r="N26" s="150"/>
      <c r="O26" s="150"/>
      <c r="P26" s="150"/>
      <c r="Q26" s="150"/>
      <c r="R26" s="150"/>
      <c r="S26" s="150"/>
      <c r="T26" s="150"/>
      <c r="U26" s="113"/>
      <c r="V26" s="113"/>
      <c r="W26" s="113"/>
      <c r="X26" s="113"/>
      <c r="Y26" s="113"/>
      <c r="Z26" s="113"/>
      <c r="AB26" s="552"/>
      <c r="AC26" s="413"/>
      <c r="AD26" s="413"/>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C26" s="890"/>
    </row>
    <row r="27" spans="1:55" s="157" customFormat="1" ht="11.1" hidden="1" customHeight="1">
      <c r="E27" s="623">
        <v>11.4</v>
      </c>
      <c r="F27" s="714">
        <f>Y27</f>
        <v>0</v>
      </c>
      <c r="U27" s="634" t="b">
        <f>Y27&gt;0</f>
        <v>0</v>
      </c>
      <c r="W27" s="113" t="s">
        <v>228</v>
      </c>
      <c r="Y27" s="1405">
        <v>0</v>
      </c>
      <c r="Z27" s="1403"/>
      <c r="AB27" s="253" t="str">
        <f>INDEX('Общие сведения'!$AG$169:$AG$202,MATCH($F27,'Общие сведения'!$Z$169:$Z$202,0))</f>
        <v>Тариф 0 (Теплоснабжение) - Тарифы на теплоноситель</v>
      </c>
      <c r="AC27" s="248"/>
      <c r="AD27" s="443"/>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C27" s="890"/>
    </row>
    <row r="28" spans="1:55" s="157" customFormat="1" ht="16.7" hidden="1" customHeight="1">
      <c r="E28" s="623">
        <v>17.100000000000001</v>
      </c>
      <c r="F28" s="714">
        <f t="shared" ref="F28:F46" ca="1" si="4">OFFSET(G28,-1,-1)</f>
        <v>0</v>
      </c>
      <c r="G28" s="566" t="s">
        <v>333</v>
      </c>
      <c r="H28" s="150" t="s">
        <v>334</v>
      </c>
      <c r="I28" s="150" t="str">
        <f>AC28&amp;"::"&amp;AD28</f>
        <v>Количество условных единиц для производства::УЕ</v>
      </c>
      <c r="U28" s="634" t="b">
        <f t="shared" ref="U28:U46" si="5">U27</f>
        <v>0</v>
      </c>
      <c r="Y28" s="1403"/>
      <c r="Z28" s="1403"/>
      <c r="AB28" s="398">
        <v>1</v>
      </c>
      <c r="AC28" s="458" t="s">
        <v>335</v>
      </c>
      <c r="AD28" s="385" t="s">
        <v>336</v>
      </c>
      <c r="AE28" s="8">
        <f t="shared" ref="AE28:AY28" si="6">AE29</f>
        <v>0</v>
      </c>
      <c r="AF28" s="149">
        <f t="shared" si="6"/>
        <v>0</v>
      </c>
      <c r="AG28" s="1063">
        <f t="shared" si="6"/>
        <v>0</v>
      </c>
      <c r="AH28" s="1063">
        <f t="shared" si="6"/>
        <v>0</v>
      </c>
      <c r="AI28" s="8">
        <f t="shared" si="6"/>
        <v>0</v>
      </c>
      <c r="AJ28" s="8">
        <f t="shared" si="6"/>
        <v>0</v>
      </c>
      <c r="AK28" s="8">
        <f t="shared" si="6"/>
        <v>0</v>
      </c>
      <c r="AL28" s="8">
        <f t="shared" si="6"/>
        <v>0</v>
      </c>
      <c r="AM28" s="8">
        <f t="shared" si="6"/>
        <v>0</v>
      </c>
      <c r="AN28" s="8">
        <f t="shared" si="6"/>
        <v>0</v>
      </c>
      <c r="AO28" s="8">
        <f t="shared" si="6"/>
        <v>0</v>
      </c>
      <c r="AP28" s="149">
        <f t="shared" si="6"/>
        <v>0</v>
      </c>
      <c r="AQ28" s="1063">
        <f t="shared" si="6"/>
        <v>0</v>
      </c>
      <c r="AR28" s="1063">
        <f t="shared" si="6"/>
        <v>0</v>
      </c>
      <c r="AS28" s="8">
        <f t="shared" si="6"/>
        <v>0</v>
      </c>
      <c r="AT28" s="8">
        <f t="shared" si="6"/>
        <v>0</v>
      </c>
      <c r="AU28" s="8">
        <f t="shared" si="6"/>
        <v>0</v>
      </c>
      <c r="AV28" s="8">
        <f t="shared" si="6"/>
        <v>0</v>
      </c>
      <c r="AW28" s="8">
        <f t="shared" si="6"/>
        <v>0</v>
      </c>
      <c r="AX28" s="8">
        <f t="shared" si="6"/>
        <v>0</v>
      </c>
      <c r="AY28" s="8">
        <f t="shared" si="6"/>
        <v>0</v>
      </c>
      <c r="AZ28" s="9"/>
      <c r="BC28" s="890" t="s">
        <v>337</v>
      </c>
    </row>
    <row r="29" spans="1:55" s="157" customFormat="1" ht="16.7" hidden="1" customHeight="1">
      <c r="E29" s="623">
        <v>17.100000000000001</v>
      </c>
      <c r="F29" s="714">
        <f t="shared" ca="1" si="4"/>
        <v>0</v>
      </c>
      <c r="G29" s="566" t="s">
        <v>338</v>
      </c>
      <c r="H29" s="150" t="s">
        <v>334</v>
      </c>
      <c r="I29" s="150" t="str">
        <f>AC29&amp;"::"&amp;AD29</f>
        <v>Установленная тепловая мощность::Гкал/час</v>
      </c>
      <c r="U29" s="634" t="b">
        <f t="shared" si="5"/>
        <v>0</v>
      </c>
      <c r="Y29" s="1403"/>
      <c r="Z29" s="1403"/>
      <c r="AB29" s="385" t="s">
        <v>339</v>
      </c>
      <c r="AC29" s="397" t="s">
        <v>340</v>
      </c>
      <c r="AD29" s="385" t="s">
        <v>341</v>
      </c>
      <c r="AE29" s="8"/>
      <c r="AF29" s="149"/>
      <c r="AG29" s="1063"/>
      <c r="AH29" s="1063"/>
      <c r="AI29" s="8"/>
      <c r="AJ29" s="8"/>
      <c r="AK29" s="8"/>
      <c r="AL29" s="8"/>
      <c r="AM29" s="8"/>
      <c r="AN29" s="8"/>
      <c r="AO29" s="8"/>
      <c r="AP29" s="149"/>
      <c r="AQ29" s="1063"/>
      <c r="AR29" s="1063"/>
      <c r="AS29" s="8"/>
      <c r="AT29" s="8"/>
      <c r="AU29" s="8"/>
      <c r="AV29" s="8"/>
      <c r="AW29" s="8"/>
      <c r="AX29" s="8"/>
      <c r="AY29" s="8"/>
      <c r="AZ29" s="9"/>
      <c r="BC29" s="890" t="s">
        <v>342</v>
      </c>
    </row>
    <row r="30" spans="1:55" s="157" customFormat="1" ht="16.7" hidden="1" customHeight="1">
      <c r="E30" s="623">
        <v>17.100000000000001</v>
      </c>
      <c r="F30" s="714">
        <f t="shared" ca="1" si="4"/>
        <v>0</v>
      </c>
      <c r="G30" s="566" t="s">
        <v>333</v>
      </c>
      <c r="U30" s="634" t="b">
        <f t="shared" si="5"/>
        <v>0</v>
      </c>
      <c r="Y30" s="1403"/>
      <c r="Z30" s="1403"/>
      <c r="AB30" s="437" t="s">
        <v>343</v>
      </c>
      <c r="AC30" s="459" t="s">
        <v>344</v>
      </c>
      <c r="AD30" s="385" t="s">
        <v>336</v>
      </c>
      <c r="AE30" s="8">
        <f t="shared" ref="AE30:AY30" si="7">AE31+5*AE44+25*AE45+0.5*AE46</f>
        <v>0</v>
      </c>
      <c r="AF30" s="149">
        <f t="shared" si="7"/>
        <v>0</v>
      </c>
      <c r="AG30" s="1063">
        <f t="shared" si="7"/>
        <v>0</v>
      </c>
      <c r="AH30" s="1063">
        <f t="shared" si="7"/>
        <v>0</v>
      </c>
      <c r="AI30" s="8">
        <f t="shared" si="7"/>
        <v>0</v>
      </c>
      <c r="AJ30" s="8">
        <f t="shared" si="7"/>
        <v>0</v>
      </c>
      <c r="AK30" s="8">
        <f t="shared" si="7"/>
        <v>0</v>
      </c>
      <c r="AL30" s="8">
        <f t="shared" si="7"/>
        <v>0</v>
      </c>
      <c r="AM30" s="8">
        <f t="shared" si="7"/>
        <v>0</v>
      </c>
      <c r="AN30" s="8">
        <f t="shared" si="7"/>
        <v>0</v>
      </c>
      <c r="AO30" s="8">
        <f t="shared" si="7"/>
        <v>0</v>
      </c>
      <c r="AP30" s="149">
        <f t="shared" si="7"/>
        <v>0</v>
      </c>
      <c r="AQ30" s="1063">
        <f t="shared" si="7"/>
        <v>0</v>
      </c>
      <c r="AR30" s="1063">
        <f t="shared" si="7"/>
        <v>0</v>
      </c>
      <c r="AS30" s="8">
        <f t="shared" si="7"/>
        <v>0</v>
      </c>
      <c r="AT30" s="8">
        <f t="shared" si="7"/>
        <v>0</v>
      </c>
      <c r="AU30" s="8">
        <f t="shared" si="7"/>
        <v>0</v>
      </c>
      <c r="AV30" s="8">
        <f t="shared" si="7"/>
        <v>0</v>
      </c>
      <c r="AW30" s="8">
        <f t="shared" si="7"/>
        <v>0</v>
      </c>
      <c r="AX30" s="8">
        <f t="shared" si="7"/>
        <v>0</v>
      </c>
      <c r="AY30" s="8">
        <f t="shared" si="7"/>
        <v>0</v>
      </c>
      <c r="AZ30" s="9"/>
      <c r="BC30" s="890" t="s">
        <v>345</v>
      </c>
    </row>
    <row r="31" spans="1:55" s="157" customFormat="1" ht="16.7" hidden="1" customHeight="1">
      <c r="E31" s="623">
        <v>17.100000000000001</v>
      </c>
      <c r="F31" s="714">
        <f t="shared" ca="1" si="4"/>
        <v>0</v>
      </c>
      <c r="U31" s="634" t="b">
        <f t="shared" si="5"/>
        <v>0</v>
      </c>
      <c r="Y31" s="1403"/>
      <c r="Z31" s="1403"/>
      <c r="AB31" s="393" t="s">
        <v>346</v>
      </c>
      <c r="AC31" s="439" t="s">
        <v>347</v>
      </c>
      <c r="AD31" s="385" t="s">
        <v>336</v>
      </c>
      <c r="AE31" s="203">
        <f t="shared" ref="AE31:AY31" si="8">AE32+AE35+AE38+AE41</f>
        <v>0</v>
      </c>
      <c r="AF31" s="203">
        <f t="shared" si="8"/>
        <v>0</v>
      </c>
      <c r="AG31" s="203">
        <f t="shared" si="8"/>
        <v>0</v>
      </c>
      <c r="AH31" s="203">
        <f t="shared" si="8"/>
        <v>0</v>
      </c>
      <c r="AI31" s="203">
        <f t="shared" si="8"/>
        <v>0</v>
      </c>
      <c r="AJ31" s="203">
        <f t="shared" si="8"/>
        <v>0</v>
      </c>
      <c r="AK31" s="203">
        <f t="shared" si="8"/>
        <v>0</v>
      </c>
      <c r="AL31" s="203">
        <f t="shared" si="8"/>
        <v>0</v>
      </c>
      <c r="AM31" s="203">
        <f t="shared" si="8"/>
        <v>0</v>
      </c>
      <c r="AN31" s="203">
        <f t="shared" si="8"/>
        <v>0</v>
      </c>
      <c r="AO31" s="203">
        <f t="shared" si="8"/>
        <v>0</v>
      </c>
      <c r="AP31" s="203">
        <f t="shared" si="8"/>
        <v>0</v>
      </c>
      <c r="AQ31" s="203">
        <f t="shared" si="8"/>
        <v>0</v>
      </c>
      <c r="AR31" s="203">
        <f t="shared" si="8"/>
        <v>0</v>
      </c>
      <c r="AS31" s="203">
        <f t="shared" si="8"/>
        <v>0</v>
      </c>
      <c r="AT31" s="203">
        <f t="shared" si="8"/>
        <v>0</v>
      </c>
      <c r="AU31" s="203">
        <f t="shared" si="8"/>
        <v>0</v>
      </c>
      <c r="AV31" s="203">
        <f t="shared" si="8"/>
        <v>0</v>
      </c>
      <c r="AW31" s="203">
        <f t="shared" si="8"/>
        <v>0</v>
      </c>
      <c r="AX31" s="203">
        <f t="shared" si="8"/>
        <v>0</v>
      </c>
      <c r="AY31" s="203">
        <f t="shared" si="8"/>
        <v>0</v>
      </c>
      <c r="AZ31" s="9"/>
      <c r="BC31" s="890" t="s">
        <v>348</v>
      </c>
    </row>
    <row r="32" spans="1:55" s="157" customFormat="1" ht="16.7" hidden="1" customHeight="1">
      <c r="E32" s="623">
        <v>17.100000000000001</v>
      </c>
      <c r="F32" s="714">
        <f t="shared" ca="1" si="4"/>
        <v>0</v>
      </c>
      <c r="U32" s="634" t="b">
        <f t="shared" si="5"/>
        <v>0</v>
      </c>
      <c r="Y32" s="1403"/>
      <c r="Z32" s="1403"/>
      <c r="AB32" s="438" t="s">
        <v>349</v>
      </c>
      <c r="AC32" s="448" t="s">
        <v>350</v>
      </c>
      <c r="AD32" s="385" t="s">
        <v>336</v>
      </c>
      <c r="AE32" s="8">
        <f t="shared" ref="AE32:AY32" si="9">0.75*(11*AE34+MAX(0.06*AE34*(AE33-100),0))</f>
        <v>0</v>
      </c>
      <c r="AF32" s="149">
        <f t="shared" si="9"/>
        <v>0</v>
      </c>
      <c r="AG32" s="1063">
        <f t="shared" si="9"/>
        <v>0</v>
      </c>
      <c r="AH32" s="1063">
        <f t="shared" si="9"/>
        <v>0</v>
      </c>
      <c r="AI32" s="8">
        <f t="shared" si="9"/>
        <v>0</v>
      </c>
      <c r="AJ32" s="8">
        <f t="shared" si="9"/>
        <v>0</v>
      </c>
      <c r="AK32" s="8">
        <f t="shared" si="9"/>
        <v>0</v>
      </c>
      <c r="AL32" s="8">
        <f t="shared" si="9"/>
        <v>0</v>
      </c>
      <c r="AM32" s="8">
        <f t="shared" si="9"/>
        <v>0</v>
      </c>
      <c r="AN32" s="8">
        <f t="shared" si="9"/>
        <v>0</v>
      </c>
      <c r="AO32" s="8">
        <f t="shared" si="9"/>
        <v>0</v>
      </c>
      <c r="AP32" s="149">
        <f t="shared" si="9"/>
        <v>0</v>
      </c>
      <c r="AQ32" s="1063">
        <f t="shared" si="9"/>
        <v>0</v>
      </c>
      <c r="AR32" s="1063">
        <f t="shared" si="9"/>
        <v>0</v>
      </c>
      <c r="AS32" s="8">
        <f t="shared" si="9"/>
        <v>0</v>
      </c>
      <c r="AT32" s="8">
        <f t="shared" si="9"/>
        <v>0</v>
      </c>
      <c r="AU32" s="8">
        <f t="shared" si="9"/>
        <v>0</v>
      </c>
      <c r="AV32" s="8">
        <f t="shared" si="9"/>
        <v>0</v>
      </c>
      <c r="AW32" s="8">
        <f t="shared" si="9"/>
        <v>0</v>
      </c>
      <c r="AX32" s="8">
        <f t="shared" si="9"/>
        <v>0</v>
      </c>
      <c r="AY32" s="8">
        <f t="shared" si="9"/>
        <v>0</v>
      </c>
      <c r="AZ32" s="9"/>
      <c r="BC32" s="890" t="s">
        <v>351</v>
      </c>
    </row>
    <row r="33" spans="1:55" s="157" customFormat="1" ht="16.7" hidden="1" customHeight="1">
      <c r="E33" s="623">
        <v>17.100000000000001</v>
      </c>
      <c r="F33" s="714">
        <f t="shared" ca="1" si="4"/>
        <v>0</v>
      </c>
      <c r="U33" s="634" t="b">
        <f t="shared" si="5"/>
        <v>0</v>
      </c>
      <c r="Y33" s="1403"/>
      <c r="Z33" s="1403"/>
      <c r="AB33" s="445" t="str">
        <f>AB32&amp;".1"</f>
        <v>2.1.1.1</v>
      </c>
      <c r="AC33" s="447" t="s">
        <v>352</v>
      </c>
      <c r="AD33" s="111" t="s">
        <v>353</v>
      </c>
      <c r="AE33" s="10"/>
      <c r="AF33" s="449"/>
      <c r="AG33" s="1064"/>
      <c r="AH33" s="1064"/>
      <c r="AI33" s="10"/>
      <c r="AJ33" s="10"/>
      <c r="AK33" s="10"/>
      <c r="AL33" s="10"/>
      <c r="AM33" s="10"/>
      <c r="AN33" s="10"/>
      <c r="AO33" s="10"/>
      <c r="AP33" s="449"/>
      <c r="AQ33" s="1064"/>
      <c r="AR33" s="1064"/>
      <c r="AS33" s="10"/>
      <c r="AT33" s="10"/>
      <c r="AU33" s="10"/>
      <c r="AV33" s="10"/>
      <c r="AW33" s="10"/>
      <c r="AX33" s="10"/>
      <c r="AY33" s="10"/>
      <c r="AZ33" s="9"/>
      <c r="BC33" s="890" t="s">
        <v>354</v>
      </c>
    </row>
    <row r="34" spans="1:55" s="157" customFormat="1" ht="16.7" hidden="1" customHeight="1">
      <c r="E34" s="623">
        <v>17.100000000000001</v>
      </c>
      <c r="F34" s="714">
        <f t="shared" ca="1" si="4"/>
        <v>0</v>
      </c>
      <c r="U34" s="634" t="b">
        <f t="shared" si="5"/>
        <v>0</v>
      </c>
      <c r="Y34" s="1403"/>
      <c r="Z34" s="1403"/>
      <c r="AB34" s="445" t="str">
        <f>AB32&amp;".2"</f>
        <v>2.1.1.2</v>
      </c>
      <c r="AC34" s="447" t="s">
        <v>355</v>
      </c>
      <c r="AD34" s="446" t="s">
        <v>356</v>
      </c>
      <c r="AE34" s="11"/>
      <c r="AF34" s="217"/>
      <c r="AG34" s="1065"/>
      <c r="AH34" s="1065"/>
      <c r="AI34" s="11"/>
      <c r="AJ34" s="11"/>
      <c r="AK34" s="11"/>
      <c r="AL34" s="11"/>
      <c r="AM34" s="11"/>
      <c r="AN34" s="11"/>
      <c r="AO34" s="11"/>
      <c r="AP34" s="217"/>
      <c r="AQ34" s="1065"/>
      <c r="AR34" s="1065"/>
      <c r="AS34" s="11"/>
      <c r="AT34" s="11"/>
      <c r="AU34" s="11"/>
      <c r="AV34" s="11"/>
      <c r="AW34" s="11"/>
      <c r="AX34" s="11"/>
      <c r="AY34" s="11"/>
      <c r="AZ34" s="9"/>
      <c r="BC34" s="890" t="s">
        <v>357</v>
      </c>
    </row>
    <row r="35" spans="1:55" s="157" customFormat="1" ht="16.7" hidden="1" customHeight="1">
      <c r="E35" s="623">
        <v>17.100000000000001</v>
      </c>
      <c r="F35" s="714">
        <f t="shared" ca="1" si="4"/>
        <v>0</v>
      </c>
      <c r="U35" s="634" t="b">
        <f t="shared" si="5"/>
        <v>0</v>
      </c>
      <c r="Y35" s="1403"/>
      <c r="Z35" s="1403"/>
      <c r="AB35" s="444" t="s">
        <v>358</v>
      </c>
      <c r="AC35" s="436" t="s">
        <v>359</v>
      </c>
      <c r="AD35" s="385" t="s">
        <v>336</v>
      </c>
      <c r="AE35" s="8">
        <f t="shared" ref="AE35:AY35" si="10">(11*AE37+MAX(0.06*AE37*(AE36-100),0))</f>
        <v>0</v>
      </c>
      <c r="AF35" s="149">
        <f t="shared" si="10"/>
        <v>0</v>
      </c>
      <c r="AG35" s="1063">
        <f t="shared" si="10"/>
        <v>0</v>
      </c>
      <c r="AH35" s="1063">
        <f t="shared" si="10"/>
        <v>0</v>
      </c>
      <c r="AI35" s="8">
        <f t="shared" si="10"/>
        <v>0</v>
      </c>
      <c r="AJ35" s="8">
        <f t="shared" si="10"/>
        <v>0</v>
      </c>
      <c r="AK35" s="8">
        <f t="shared" si="10"/>
        <v>0</v>
      </c>
      <c r="AL35" s="8">
        <f t="shared" si="10"/>
        <v>0</v>
      </c>
      <c r="AM35" s="8">
        <f t="shared" si="10"/>
        <v>0</v>
      </c>
      <c r="AN35" s="8">
        <f t="shared" si="10"/>
        <v>0</v>
      </c>
      <c r="AO35" s="8">
        <f t="shared" si="10"/>
        <v>0</v>
      </c>
      <c r="AP35" s="149">
        <f t="shared" si="10"/>
        <v>0</v>
      </c>
      <c r="AQ35" s="1063">
        <f t="shared" si="10"/>
        <v>0</v>
      </c>
      <c r="AR35" s="1063">
        <f t="shared" si="10"/>
        <v>0</v>
      </c>
      <c r="AS35" s="8">
        <f t="shared" si="10"/>
        <v>0</v>
      </c>
      <c r="AT35" s="8">
        <f t="shared" si="10"/>
        <v>0</v>
      </c>
      <c r="AU35" s="8">
        <f t="shared" si="10"/>
        <v>0</v>
      </c>
      <c r="AV35" s="8">
        <f t="shared" si="10"/>
        <v>0</v>
      </c>
      <c r="AW35" s="8">
        <f t="shared" si="10"/>
        <v>0</v>
      </c>
      <c r="AX35" s="8">
        <f t="shared" si="10"/>
        <v>0</v>
      </c>
      <c r="AY35" s="8">
        <f t="shared" si="10"/>
        <v>0</v>
      </c>
      <c r="AZ35" s="9"/>
      <c r="BC35" s="890" t="s">
        <v>360</v>
      </c>
    </row>
    <row r="36" spans="1:55" s="157" customFormat="1" ht="16.7" hidden="1" customHeight="1">
      <c r="E36" s="623">
        <v>17.100000000000001</v>
      </c>
      <c r="F36" s="714">
        <f t="shared" ca="1" si="4"/>
        <v>0</v>
      </c>
      <c r="U36" s="634" t="b">
        <f t="shared" si="5"/>
        <v>0</v>
      </c>
      <c r="Y36" s="1403"/>
      <c r="Z36" s="1403"/>
      <c r="AB36" s="445" t="str">
        <f>AB35&amp;".1"</f>
        <v>2.1.2.1</v>
      </c>
      <c r="AC36" s="447" t="s">
        <v>352</v>
      </c>
      <c r="AD36" s="515" t="s">
        <v>353</v>
      </c>
      <c r="AE36" s="12"/>
      <c r="AF36" s="217"/>
      <c r="AG36" s="1065"/>
      <c r="AH36" s="1065"/>
      <c r="AI36" s="11"/>
      <c r="AJ36" s="11"/>
      <c r="AK36" s="11"/>
      <c r="AL36" s="11"/>
      <c r="AM36" s="11"/>
      <c r="AN36" s="11"/>
      <c r="AO36" s="11"/>
      <c r="AP36" s="217"/>
      <c r="AQ36" s="1065"/>
      <c r="AR36" s="1065"/>
      <c r="AS36" s="11"/>
      <c r="AT36" s="11"/>
      <c r="AU36" s="11"/>
      <c r="AV36" s="11"/>
      <c r="AW36" s="11"/>
      <c r="AX36" s="11"/>
      <c r="AY36" s="11"/>
      <c r="AZ36" s="9"/>
      <c r="BC36" s="890" t="s">
        <v>361</v>
      </c>
    </row>
    <row r="37" spans="1:55" s="157" customFormat="1" ht="16.7" hidden="1" customHeight="1">
      <c r="E37" s="623">
        <v>17.100000000000001</v>
      </c>
      <c r="F37" s="714">
        <f t="shared" ca="1" si="4"/>
        <v>0</v>
      </c>
      <c r="U37" s="634" t="b">
        <f t="shared" si="5"/>
        <v>0</v>
      </c>
      <c r="Y37" s="1403"/>
      <c r="Z37" s="1403"/>
      <c r="AB37" s="445" t="str">
        <f>AB35&amp;".2"</f>
        <v>2.1.2.2</v>
      </c>
      <c r="AC37" s="553" t="s">
        <v>355</v>
      </c>
      <c r="AD37" s="111" t="s">
        <v>356</v>
      </c>
      <c r="AE37" s="11"/>
      <c r="AF37" s="451"/>
      <c r="AG37" s="1065"/>
      <c r="AH37" s="1065"/>
      <c r="AI37" s="11"/>
      <c r="AJ37" s="11"/>
      <c r="AK37" s="11"/>
      <c r="AL37" s="11"/>
      <c r="AM37" s="11"/>
      <c r="AN37" s="11"/>
      <c r="AO37" s="11"/>
      <c r="AP37" s="217"/>
      <c r="AQ37" s="1065"/>
      <c r="AR37" s="1065"/>
      <c r="AS37" s="11"/>
      <c r="AT37" s="11"/>
      <c r="AU37" s="11"/>
      <c r="AV37" s="11"/>
      <c r="AW37" s="11"/>
      <c r="AX37" s="11"/>
      <c r="AY37" s="11"/>
      <c r="AZ37" s="9"/>
      <c r="BC37" s="890" t="s">
        <v>362</v>
      </c>
    </row>
    <row r="38" spans="1:55" s="157" customFormat="1" ht="16.7" hidden="1" customHeight="1">
      <c r="E38" s="623">
        <v>17.100000000000001</v>
      </c>
      <c r="F38" s="714">
        <f t="shared" ca="1" si="4"/>
        <v>0</v>
      </c>
      <c r="U38" s="634" t="b">
        <f t="shared" si="5"/>
        <v>0</v>
      </c>
      <c r="Y38" s="1403"/>
      <c r="Z38" s="1403"/>
      <c r="AB38" s="222" t="s">
        <v>363</v>
      </c>
      <c r="AC38" s="554" t="s">
        <v>364</v>
      </c>
      <c r="AD38" s="222" t="s">
        <v>336</v>
      </c>
      <c r="AE38" s="11">
        <f t="shared" ref="AE38:AY38" si="11">1.25*(11*AE40+MAX(0.06*AE40*(AE39-100),0))</f>
        <v>0</v>
      </c>
      <c r="AF38" s="557">
        <f t="shared" si="11"/>
        <v>0</v>
      </c>
      <c r="AG38" s="1063">
        <f t="shared" si="11"/>
        <v>0</v>
      </c>
      <c r="AH38" s="1063">
        <f t="shared" si="11"/>
        <v>0</v>
      </c>
      <c r="AI38" s="8">
        <f t="shared" si="11"/>
        <v>0</v>
      </c>
      <c r="AJ38" s="8">
        <f t="shared" si="11"/>
        <v>0</v>
      </c>
      <c r="AK38" s="8">
        <f t="shared" si="11"/>
        <v>0</v>
      </c>
      <c r="AL38" s="8">
        <f t="shared" si="11"/>
        <v>0</v>
      </c>
      <c r="AM38" s="8">
        <f t="shared" si="11"/>
        <v>0</v>
      </c>
      <c r="AN38" s="8">
        <f t="shared" si="11"/>
        <v>0</v>
      </c>
      <c r="AO38" s="8">
        <f t="shared" si="11"/>
        <v>0</v>
      </c>
      <c r="AP38" s="149">
        <f t="shared" si="11"/>
        <v>0</v>
      </c>
      <c r="AQ38" s="1063">
        <f t="shared" si="11"/>
        <v>0</v>
      </c>
      <c r="AR38" s="1063">
        <f t="shared" si="11"/>
        <v>0</v>
      </c>
      <c r="AS38" s="8">
        <f t="shared" si="11"/>
        <v>0</v>
      </c>
      <c r="AT38" s="8">
        <f t="shared" si="11"/>
        <v>0</v>
      </c>
      <c r="AU38" s="8">
        <f t="shared" si="11"/>
        <v>0</v>
      </c>
      <c r="AV38" s="8">
        <f t="shared" si="11"/>
        <v>0</v>
      </c>
      <c r="AW38" s="8">
        <f t="shared" si="11"/>
        <v>0</v>
      </c>
      <c r="AX38" s="8">
        <f t="shared" si="11"/>
        <v>0</v>
      </c>
      <c r="AY38" s="8">
        <f t="shared" si="11"/>
        <v>0</v>
      </c>
      <c r="AZ38" s="9"/>
      <c r="BC38" s="890" t="s">
        <v>365</v>
      </c>
    </row>
    <row r="39" spans="1:55" s="157" customFormat="1" ht="16.7" hidden="1" customHeight="1">
      <c r="E39" s="623">
        <v>17.100000000000001</v>
      </c>
      <c r="F39" s="714">
        <f t="shared" ca="1" si="4"/>
        <v>0</v>
      </c>
      <c r="U39" s="634" t="b">
        <f t="shared" si="5"/>
        <v>0</v>
      </c>
      <c r="Y39" s="1403"/>
      <c r="Z39" s="1403"/>
      <c r="AB39" s="445" t="str">
        <f>AB38&amp;".1"</f>
        <v>2.1.3.1</v>
      </c>
      <c r="AC39" s="553" t="s">
        <v>352</v>
      </c>
      <c r="AD39" s="111" t="s">
        <v>353</v>
      </c>
      <c r="AE39" s="11"/>
      <c r="AF39" s="450"/>
      <c r="AG39" s="1066"/>
      <c r="AH39" s="1066"/>
      <c r="AI39" s="13"/>
      <c r="AJ39" s="13"/>
      <c r="AK39" s="13"/>
      <c r="AL39" s="13"/>
      <c r="AM39" s="13"/>
      <c r="AN39" s="13"/>
      <c r="AO39" s="13"/>
      <c r="AP39" s="450"/>
      <c r="AQ39" s="1066"/>
      <c r="AR39" s="1066"/>
      <c r="AS39" s="13"/>
      <c r="AT39" s="13"/>
      <c r="AU39" s="13"/>
      <c r="AV39" s="13"/>
      <c r="AW39" s="13"/>
      <c r="AX39" s="13"/>
      <c r="AY39" s="13"/>
      <c r="AZ39" s="9"/>
      <c r="BC39" s="890" t="s">
        <v>366</v>
      </c>
    </row>
    <row r="40" spans="1:55" s="157" customFormat="1" ht="16.7" hidden="1" customHeight="1">
      <c r="E40" s="623">
        <v>17.100000000000001</v>
      </c>
      <c r="F40" s="714">
        <f t="shared" ca="1" si="4"/>
        <v>0</v>
      </c>
      <c r="U40" s="634" t="b">
        <f t="shared" si="5"/>
        <v>0</v>
      </c>
      <c r="Y40" s="1403"/>
      <c r="Z40" s="1403"/>
      <c r="AB40" s="445" t="str">
        <f>AB38&amp;".2"</f>
        <v>2.1.3.2</v>
      </c>
      <c r="AC40" s="553" t="s">
        <v>355</v>
      </c>
      <c r="AD40" s="111" t="s">
        <v>356</v>
      </c>
      <c r="AE40" s="11"/>
      <c r="AF40" s="451"/>
      <c r="AG40" s="1067"/>
      <c r="AH40" s="1067"/>
      <c r="AI40" s="14"/>
      <c r="AJ40" s="14"/>
      <c r="AK40" s="14"/>
      <c r="AL40" s="14"/>
      <c r="AM40" s="14"/>
      <c r="AN40" s="14"/>
      <c r="AO40" s="14"/>
      <c r="AP40" s="451"/>
      <c r="AQ40" s="1067"/>
      <c r="AR40" s="1067"/>
      <c r="AS40" s="14"/>
      <c r="AT40" s="14"/>
      <c r="AU40" s="14"/>
      <c r="AV40" s="14"/>
      <c r="AW40" s="14"/>
      <c r="AX40" s="14"/>
      <c r="AY40" s="14"/>
      <c r="AZ40" s="9"/>
      <c r="BC40" s="890" t="s">
        <v>367</v>
      </c>
    </row>
    <row r="41" spans="1:55" s="157" customFormat="1" ht="16.7" hidden="1" customHeight="1">
      <c r="E41" s="623">
        <v>17.100000000000001</v>
      </c>
      <c r="F41" s="714">
        <f t="shared" ca="1" si="4"/>
        <v>0</v>
      </c>
      <c r="H41" s="150" t="s">
        <v>334</v>
      </c>
      <c r="I41" s="150" t="str">
        <f>AC41&amp;"::"&amp;AD41</f>
        <v>Четырехтрубные::УЕ</v>
      </c>
      <c r="U41" s="634" t="b">
        <f t="shared" si="5"/>
        <v>0</v>
      </c>
      <c r="Y41" s="1403"/>
      <c r="Z41" s="1403"/>
      <c r="AB41" s="222" t="s">
        <v>368</v>
      </c>
      <c r="AC41" s="554" t="s">
        <v>369</v>
      </c>
      <c r="AD41" s="222" t="s">
        <v>336</v>
      </c>
      <c r="AE41" s="11">
        <f t="shared" ref="AE41:AY41" si="12">1.5*(11*AE43+MAX(0.06*AE43*(AE42-100),0))</f>
        <v>0</v>
      </c>
      <c r="AF41" s="557">
        <f t="shared" si="12"/>
        <v>0</v>
      </c>
      <c r="AG41" s="1063">
        <f t="shared" si="12"/>
        <v>0</v>
      </c>
      <c r="AH41" s="1063">
        <f t="shared" si="12"/>
        <v>0</v>
      </c>
      <c r="AI41" s="8">
        <f t="shared" si="12"/>
        <v>0</v>
      </c>
      <c r="AJ41" s="8">
        <f t="shared" si="12"/>
        <v>0</v>
      </c>
      <c r="AK41" s="8">
        <f t="shared" si="12"/>
        <v>0</v>
      </c>
      <c r="AL41" s="8">
        <f t="shared" si="12"/>
        <v>0</v>
      </c>
      <c r="AM41" s="8">
        <f t="shared" si="12"/>
        <v>0</v>
      </c>
      <c r="AN41" s="8">
        <f t="shared" si="12"/>
        <v>0</v>
      </c>
      <c r="AO41" s="8">
        <f t="shared" si="12"/>
        <v>0</v>
      </c>
      <c r="AP41" s="149">
        <f t="shared" si="12"/>
        <v>0</v>
      </c>
      <c r="AQ41" s="1063">
        <f t="shared" si="12"/>
        <v>0</v>
      </c>
      <c r="AR41" s="1063">
        <f t="shared" si="12"/>
        <v>0</v>
      </c>
      <c r="AS41" s="8">
        <f t="shared" si="12"/>
        <v>0</v>
      </c>
      <c r="AT41" s="8">
        <f t="shared" si="12"/>
        <v>0</v>
      </c>
      <c r="AU41" s="8">
        <f t="shared" si="12"/>
        <v>0</v>
      </c>
      <c r="AV41" s="8">
        <f t="shared" si="12"/>
        <v>0</v>
      </c>
      <c r="AW41" s="8">
        <f t="shared" si="12"/>
        <v>0</v>
      </c>
      <c r="AX41" s="8">
        <f t="shared" si="12"/>
        <v>0</v>
      </c>
      <c r="AY41" s="8">
        <f t="shared" si="12"/>
        <v>0</v>
      </c>
      <c r="AZ41" s="9"/>
      <c r="BC41" s="890" t="s">
        <v>370</v>
      </c>
    </row>
    <row r="42" spans="1:55" s="157" customFormat="1" ht="16.7" hidden="1" customHeight="1">
      <c r="E42" s="623">
        <v>17.100000000000001</v>
      </c>
      <c r="F42" s="714">
        <f t="shared" ca="1" si="4"/>
        <v>0</v>
      </c>
      <c r="U42" s="634" t="b">
        <f t="shared" si="5"/>
        <v>0</v>
      </c>
      <c r="Y42" s="1403"/>
      <c r="Z42" s="1403"/>
      <c r="AB42" s="445" t="str">
        <f>AB41&amp;".1"</f>
        <v>2.1.4.1</v>
      </c>
      <c r="AC42" s="553" t="s">
        <v>352</v>
      </c>
      <c r="AD42" s="111" t="s">
        <v>353</v>
      </c>
      <c r="AE42" s="11"/>
      <c r="AF42" s="451"/>
      <c r="AG42" s="1067"/>
      <c r="AH42" s="1067"/>
      <c r="AI42" s="14"/>
      <c r="AJ42" s="14"/>
      <c r="AK42" s="14"/>
      <c r="AL42" s="14"/>
      <c r="AM42" s="14"/>
      <c r="AN42" s="14"/>
      <c r="AO42" s="14"/>
      <c r="AP42" s="451"/>
      <c r="AQ42" s="1067"/>
      <c r="AR42" s="1067"/>
      <c r="AS42" s="14"/>
      <c r="AT42" s="14"/>
      <c r="AU42" s="14"/>
      <c r="AV42" s="14"/>
      <c r="AW42" s="14"/>
      <c r="AX42" s="14"/>
      <c r="AY42" s="14"/>
      <c r="AZ42" s="9"/>
      <c r="BC42" s="890" t="s">
        <v>371</v>
      </c>
    </row>
    <row r="43" spans="1:55" s="157" customFormat="1" ht="16.7" hidden="1" customHeight="1">
      <c r="E43" s="623">
        <v>17.100000000000001</v>
      </c>
      <c r="F43" s="714">
        <f t="shared" ca="1" si="4"/>
        <v>0</v>
      </c>
      <c r="U43" s="634" t="b">
        <f t="shared" si="5"/>
        <v>0</v>
      </c>
      <c r="Y43" s="1403"/>
      <c r="Z43" s="1403"/>
      <c r="AB43" s="445" t="str">
        <f>AB41&amp;".2"</f>
        <v>2.1.4.2</v>
      </c>
      <c r="AC43" s="553" t="s">
        <v>355</v>
      </c>
      <c r="AD43" s="111" t="s">
        <v>356</v>
      </c>
      <c r="AE43" s="11"/>
      <c r="AF43" s="451"/>
      <c r="AG43" s="1067"/>
      <c r="AH43" s="1067"/>
      <c r="AI43" s="14"/>
      <c r="AJ43" s="14"/>
      <c r="AK43" s="14"/>
      <c r="AL43" s="14"/>
      <c r="AM43" s="14"/>
      <c r="AN43" s="14"/>
      <c r="AO43" s="14"/>
      <c r="AP43" s="451"/>
      <c r="AQ43" s="1067"/>
      <c r="AR43" s="1067"/>
      <c r="AS43" s="14"/>
      <c r="AT43" s="14"/>
      <c r="AU43" s="14"/>
      <c r="AV43" s="14"/>
      <c r="AW43" s="14"/>
      <c r="AX43" s="14"/>
      <c r="AY43" s="14"/>
      <c r="AZ43" s="9"/>
      <c r="BC43" s="890" t="s">
        <v>372</v>
      </c>
    </row>
    <row r="44" spans="1:55" s="157" customFormat="1" ht="30" hidden="1" customHeight="1">
      <c r="E44" s="623">
        <v>30.8</v>
      </c>
      <c r="F44" s="714">
        <f t="shared" ca="1" si="4"/>
        <v>0</v>
      </c>
      <c r="U44" s="634" t="b">
        <f t="shared" si="5"/>
        <v>0</v>
      </c>
      <c r="Y44" s="1403"/>
      <c r="Z44" s="1403"/>
      <c r="AB44" s="440" t="s">
        <v>373</v>
      </c>
      <c r="AC44" s="555" t="s">
        <v>374</v>
      </c>
      <c r="AD44" s="111" t="s">
        <v>375</v>
      </c>
      <c r="AE44" s="11"/>
      <c r="AF44" s="451"/>
      <c r="AG44" s="1065"/>
      <c r="AH44" s="1065"/>
      <c r="AI44" s="11"/>
      <c r="AJ44" s="11"/>
      <c r="AK44" s="11"/>
      <c r="AL44" s="11"/>
      <c r="AM44" s="11"/>
      <c r="AN44" s="11"/>
      <c r="AO44" s="11"/>
      <c r="AP44" s="217"/>
      <c r="AQ44" s="1065"/>
      <c r="AR44" s="1065"/>
      <c r="AS44" s="11"/>
      <c r="AT44" s="11"/>
      <c r="AU44" s="11"/>
      <c r="AV44" s="11"/>
      <c r="AW44" s="11"/>
      <c r="AX44" s="11"/>
      <c r="AY44" s="11"/>
      <c r="AZ44" s="9"/>
      <c r="BC44" s="890" t="s">
        <v>376</v>
      </c>
    </row>
    <row r="45" spans="1:55" s="157" customFormat="1" ht="38.85" hidden="1" customHeight="1">
      <c r="E45" s="623">
        <v>39.799999999999997</v>
      </c>
      <c r="F45" s="714">
        <f t="shared" ca="1" si="4"/>
        <v>0</v>
      </c>
      <c r="U45" s="634" t="b">
        <f t="shared" si="5"/>
        <v>0</v>
      </c>
      <c r="Y45" s="1403"/>
      <c r="Z45" s="1403"/>
      <c r="AB45" s="441" t="s">
        <v>377</v>
      </c>
      <c r="AC45" s="556" t="s">
        <v>378</v>
      </c>
      <c r="AD45" s="111" t="s">
        <v>379</v>
      </c>
      <c r="AE45" s="11"/>
      <c r="AF45" s="451"/>
      <c r="AG45" s="1065"/>
      <c r="AH45" s="1065"/>
      <c r="AI45" s="11"/>
      <c r="AJ45" s="11"/>
      <c r="AK45" s="11"/>
      <c r="AL45" s="11"/>
      <c r="AM45" s="11"/>
      <c r="AN45" s="11"/>
      <c r="AO45" s="11"/>
      <c r="AP45" s="217"/>
      <c r="AQ45" s="1065"/>
      <c r="AR45" s="1065"/>
      <c r="AS45" s="11"/>
      <c r="AT45" s="11"/>
      <c r="AU45" s="11"/>
      <c r="AV45" s="11"/>
      <c r="AW45" s="11"/>
      <c r="AX45" s="11"/>
      <c r="AY45" s="11"/>
      <c r="AZ45" s="9"/>
      <c r="BC45" s="890" t="s">
        <v>380</v>
      </c>
    </row>
    <row r="46" spans="1:55" s="157" customFormat="1" ht="48.2" hidden="1" customHeight="1">
      <c r="E46" s="623">
        <v>49.5</v>
      </c>
      <c r="F46" s="714">
        <f t="shared" ca="1" si="4"/>
        <v>0</v>
      </c>
      <c r="H46" s="150" t="s">
        <v>334</v>
      </c>
      <c r="I46" s="150" t="str">
        <f>AC46&amp;"::"&amp;AD46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U46" s="634" t="b">
        <f t="shared" si="5"/>
        <v>0</v>
      </c>
      <c r="Y46" s="1403"/>
      <c r="Z46" s="1403"/>
      <c r="AB46" s="441" t="s">
        <v>381</v>
      </c>
      <c r="AC46" s="102" t="s">
        <v>382</v>
      </c>
      <c r="AD46" s="434" t="s">
        <v>341</v>
      </c>
      <c r="AE46" s="15"/>
      <c r="AF46" s="217"/>
      <c r="AG46" s="1065"/>
      <c r="AH46" s="1065"/>
      <c r="AI46" s="11"/>
      <c r="AJ46" s="11"/>
      <c r="AK46" s="11"/>
      <c r="AL46" s="11"/>
      <c r="AM46" s="11"/>
      <c r="AN46" s="11"/>
      <c r="AO46" s="11"/>
      <c r="AP46" s="217"/>
      <c r="AQ46" s="1065"/>
      <c r="AR46" s="1065"/>
      <c r="AS46" s="11"/>
      <c r="AT46" s="11"/>
      <c r="AU46" s="11"/>
      <c r="AV46" s="11"/>
      <c r="AW46" s="11"/>
      <c r="AX46" s="11"/>
      <c r="AY46" s="11"/>
      <c r="AZ46" s="9"/>
      <c r="BC46" s="890" t="s">
        <v>383</v>
      </c>
    </row>
    <row r="47" spans="1:55" s="1068" customFormat="1" ht="10.5" customHeight="1">
      <c r="A47" s="157"/>
      <c r="B47" s="157"/>
      <c r="C47" s="157"/>
      <c r="D47" s="157"/>
      <c r="E47" s="623">
        <v>11.4</v>
      </c>
      <c r="F47" s="714" t="str">
        <f>Y47</f>
        <v>1</v>
      </c>
      <c r="G47" s="157"/>
      <c r="H47" s="157"/>
      <c r="I47" s="157"/>
      <c r="J47" s="157"/>
      <c r="K47" s="157"/>
      <c r="L47" s="157"/>
      <c r="M47" s="157"/>
      <c r="N47" s="157"/>
      <c r="O47" s="157"/>
      <c r="P47" s="157"/>
      <c r="Q47" s="157"/>
      <c r="R47" s="157"/>
      <c r="S47" s="157"/>
      <c r="T47" s="157"/>
      <c r="U47" s="634" t="b">
        <f>Y47&gt;0</f>
        <v>1</v>
      </c>
      <c r="V47" s="157"/>
      <c r="W47" s="113" t="str">
        <f>'Список объектов'!$AB$30</f>
        <v>Тариф 1 (Теплоснабжение) - Тарифы на теплоноситель (Не определено)</v>
      </c>
      <c r="X47" s="157"/>
      <c r="Y47" s="1405" t="s">
        <v>247</v>
      </c>
      <c r="Z47" s="1403"/>
      <c r="AA47" s="157"/>
      <c r="AB47" s="253" t="str">
        <f>IF(ISBLANK('Список объектов'!$AB$30),"",'Список объектов'!$AB$30)</f>
        <v>Тариф 1 (Теплоснабжение) - Тарифы на теплоноситель (Не определено)</v>
      </c>
      <c r="AC47" s="248"/>
      <c r="AD47" s="443"/>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57"/>
      <c r="BB47" s="157"/>
      <c r="BC47" s="890"/>
    </row>
    <row r="48" spans="1:55" s="1069" customFormat="1" ht="16.5" customHeight="1">
      <c r="A48" s="157"/>
      <c r="B48" s="157"/>
      <c r="C48" s="157"/>
      <c r="D48" s="157"/>
      <c r="E48" s="623">
        <v>17.100000000000001</v>
      </c>
      <c r="F48" s="714" t="str">
        <f t="shared" ref="F48:F66" ca="1" si="13">OFFSET(G48,-1,-1)</f>
        <v>1</v>
      </c>
      <c r="G48" s="566" t="s">
        <v>333</v>
      </c>
      <c r="H48" s="150" t="s">
        <v>334</v>
      </c>
      <c r="I48" s="150" t="str">
        <f>AC48&amp;"::"&amp;AD48</f>
        <v>Количество условных единиц для производства::УЕ</v>
      </c>
      <c r="J48" s="157"/>
      <c r="K48" s="157"/>
      <c r="L48" s="157"/>
      <c r="M48" s="157"/>
      <c r="N48" s="157"/>
      <c r="O48" s="157"/>
      <c r="P48" s="157"/>
      <c r="Q48" s="157"/>
      <c r="R48" s="157"/>
      <c r="S48" s="157"/>
      <c r="T48" s="157"/>
      <c r="U48" s="634" t="b">
        <f t="shared" ref="U48:U66" si="14">U47</f>
        <v>1</v>
      </c>
      <c r="V48" s="157"/>
      <c r="W48" s="157"/>
      <c r="X48" s="157"/>
      <c r="Y48" s="1403"/>
      <c r="Z48" s="1403"/>
      <c r="AA48" s="157"/>
      <c r="AB48" s="398">
        <v>1</v>
      </c>
      <c r="AC48" s="458" t="s">
        <v>335</v>
      </c>
      <c r="AD48" s="385" t="s">
        <v>336</v>
      </c>
      <c r="AE48" s="1070">
        <f t="shared" ref="AE48:AY48" si="15">AE49</f>
        <v>51.28</v>
      </c>
      <c r="AF48" s="149">
        <f t="shared" si="15"/>
        <v>51.28</v>
      </c>
      <c r="AG48" s="1063">
        <f t="shared" si="15"/>
        <v>0</v>
      </c>
      <c r="AH48" s="1063">
        <f t="shared" si="15"/>
        <v>0</v>
      </c>
      <c r="AI48" s="1070">
        <f t="shared" si="15"/>
        <v>0</v>
      </c>
      <c r="AJ48" s="1070">
        <f t="shared" si="15"/>
        <v>0</v>
      </c>
      <c r="AK48" s="1070">
        <f t="shared" si="15"/>
        <v>0</v>
      </c>
      <c r="AL48" s="1070">
        <f t="shared" si="15"/>
        <v>0</v>
      </c>
      <c r="AM48" s="1070">
        <f t="shared" si="15"/>
        <v>0</v>
      </c>
      <c r="AN48" s="1070">
        <f t="shared" si="15"/>
        <v>0</v>
      </c>
      <c r="AO48" s="1070">
        <f t="shared" si="15"/>
        <v>0</v>
      </c>
      <c r="AP48" s="149">
        <f t="shared" si="15"/>
        <v>51.28</v>
      </c>
      <c r="AQ48" s="1063">
        <f t="shared" si="15"/>
        <v>0</v>
      </c>
      <c r="AR48" s="1063">
        <f t="shared" si="15"/>
        <v>0</v>
      </c>
      <c r="AS48" s="1070">
        <f t="shared" si="15"/>
        <v>0</v>
      </c>
      <c r="AT48" s="1070">
        <f t="shared" si="15"/>
        <v>0</v>
      </c>
      <c r="AU48" s="1070">
        <f t="shared" si="15"/>
        <v>0</v>
      </c>
      <c r="AV48" s="1070">
        <f t="shared" si="15"/>
        <v>0</v>
      </c>
      <c r="AW48" s="1070">
        <f t="shared" si="15"/>
        <v>0</v>
      </c>
      <c r="AX48" s="1070">
        <f t="shared" si="15"/>
        <v>0</v>
      </c>
      <c r="AY48" s="1070">
        <f t="shared" si="15"/>
        <v>0</v>
      </c>
      <c r="AZ48" s="1071"/>
      <c r="BA48" s="157"/>
      <c r="BB48" s="157"/>
      <c r="BC48" s="890" t="s">
        <v>337</v>
      </c>
    </row>
    <row r="49" spans="1:55" s="1072" customFormat="1" ht="16.5" customHeight="1">
      <c r="A49" s="157"/>
      <c r="B49" s="157"/>
      <c r="C49" s="157"/>
      <c r="D49" s="157"/>
      <c r="E49" s="623">
        <v>17.100000000000001</v>
      </c>
      <c r="F49" s="714" t="str">
        <f t="shared" ca="1" si="13"/>
        <v>1</v>
      </c>
      <c r="G49" s="566" t="s">
        <v>338</v>
      </c>
      <c r="H49" s="150" t="s">
        <v>334</v>
      </c>
      <c r="I49" s="150" t="str">
        <f>AC49&amp;"::"&amp;AD49</f>
        <v>Установленная тепловая мощность::Гкал/час</v>
      </c>
      <c r="J49" s="157"/>
      <c r="K49" s="157"/>
      <c r="L49" s="157"/>
      <c r="M49" s="157"/>
      <c r="N49" s="157"/>
      <c r="O49" s="157"/>
      <c r="P49" s="157"/>
      <c r="Q49" s="157"/>
      <c r="R49" s="157"/>
      <c r="S49" s="157"/>
      <c r="T49" s="157"/>
      <c r="U49" s="634" t="b">
        <f t="shared" si="14"/>
        <v>1</v>
      </c>
      <c r="V49" s="157"/>
      <c r="W49" s="157"/>
      <c r="X49" s="157"/>
      <c r="Y49" s="1403"/>
      <c r="Z49" s="1403"/>
      <c r="AA49" s="157"/>
      <c r="AB49" s="385" t="s">
        <v>339</v>
      </c>
      <c r="AC49" s="397" t="s">
        <v>340</v>
      </c>
      <c r="AD49" s="385" t="s">
        <v>341</v>
      </c>
      <c r="AE49" s="1070">
        <v>51.28</v>
      </c>
      <c r="AF49" s="149">
        <v>51.28</v>
      </c>
      <c r="AG49" s="1063"/>
      <c r="AH49" s="1063"/>
      <c r="AI49" s="1070"/>
      <c r="AJ49" s="1070"/>
      <c r="AK49" s="1070"/>
      <c r="AL49" s="1070"/>
      <c r="AM49" s="1070"/>
      <c r="AN49" s="1070"/>
      <c r="AO49" s="1070"/>
      <c r="AP49" s="149">
        <v>51.28</v>
      </c>
      <c r="AQ49" s="1063"/>
      <c r="AR49" s="1063"/>
      <c r="AS49" s="1070"/>
      <c r="AT49" s="1070"/>
      <c r="AU49" s="1070"/>
      <c r="AV49" s="1070"/>
      <c r="AW49" s="1070"/>
      <c r="AX49" s="1070"/>
      <c r="AY49" s="1070"/>
      <c r="AZ49" s="1071"/>
      <c r="BA49" s="157"/>
      <c r="BB49" s="157"/>
      <c r="BC49" s="890" t="s">
        <v>342</v>
      </c>
    </row>
    <row r="50" spans="1:55" s="1073" customFormat="1" ht="16.5" customHeight="1">
      <c r="A50" s="157"/>
      <c r="B50" s="157"/>
      <c r="C50" s="157"/>
      <c r="D50" s="157"/>
      <c r="E50" s="623">
        <v>17.100000000000001</v>
      </c>
      <c r="F50" s="714" t="str">
        <f t="shared" ca="1" si="13"/>
        <v>1</v>
      </c>
      <c r="G50" s="566" t="s">
        <v>333</v>
      </c>
      <c r="H50" s="157"/>
      <c r="I50" s="157"/>
      <c r="J50" s="157"/>
      <c r="K50" s="157"/>
      <c r="L50" s="157"/>
      <c r="M50" s="157"/>
      <c r="N50" s="157"/>
      <c r="O50" s="157"/>
      <c r="P50" s="157"/>
      <c r="Q50" s="157"/>
      <c r="R50" s="157"/>
      <c r="S50" s="157"/>
      <c r="T50" s="157"/>
      <c r="U50" s="634" t="b">
        <f t="shared" si="14"/>
        <v>1</v>
      </c>
      <c r="V50" s="157"/>
      <c r="W50" s="157"/>
      <c r="X50" s="157"/>
      <c r="Y50" s="1403"/>
      <c r="Z50" s="1403"/>
      <c r="AA50" s="157"/>
      <c r="AB50" s="437" t="s">
        <v>343</v>
      </c>
      <c r="AC50" s="459" t="s">
        <v>344</v>
      </c>
      <c r="AD50" s="385" t="s">
        <v>336</v>
      </c>
      <c r="AE50" s="1070">
        <f t="shared" ref="AE50:AY50" si="16">AE51+5*AE64+25*AE65+0.5*AE66</f>
        <v>0</v>
      </c>
      <c r="AF50" s="149">
        <f t="shared" si="16"/>
        <v>0</v>
      </c>
      <c r="AG50" s="1063">
        <f t="shared" si="16"/>
        <v>0</v>
      </c>
      <c r="AH50" s="1063">
        <f t="shared" si="16"/>
        <v>0</v>
      </c>
      <c r="AI50" s="1070">
        <f t="shared" si="16"/>
        <v>0</v>
      </c>
      <c r="AJ50" s="1070">
        <f t="shared" si="16"/>
        <v>0</v>
      </c>
      <c r="AK50" s="1070">
        <f t="shared" si="16"/>
        <v>0</v>
      </c>
      <c r="AL50" s="1070">
        <f t="shared" si="16"/>
        <v>0</v>
      </c>
      <c r="AM50" s="1070">
        <f t="shared" si="16"/>
        <v>0</v>
      </c>
      <c r="AN50" s="1070">
        <f t="shared" si="16"/>
        <v>0</v>
      </c>
      <c r="AO50" s="1070">
        <f t="shared" si="16"/>
        <v>0</v>
      </c>
      <c r="AP50" s="149">
        <f t="shared" si="16"/>
        <v>0</v>
      </c>
      <c r="AQ50" s="1063">
        <f t="shared" si="16"/>
        <v>0</v>
      </c>
      <c r="AR50" s="1063">
        <f t="shared" si="16"/>
        <v>0</v>
      </c>
      <c r="AS50" s="1070">
        <f t="shared" si="16"/>
        <v>0</v>
      </c>
      <c r="AT50" s="1070">
        <f t="shared" si="16"/>
        <v>0</v>
      </c>
      <c r="AU50" s="1070">
        <f t="shared" si="16"/>
        <v>0</v>
      </c>
      <c r="AV50" s="1070">
        <f t="shared" si="16"/>
        <v>0</v>
      </c>
      <c r="AW50" s="1070">
        <f t="shared" si="16"/>
        <v>0</v>
      </c>
      <c r="AX50" s="1070">
        <f t="shared" si="16"/>
        <v>0</v>
      </c>
      <c r="AY50" s="1070">
        <f t="shared" si="16"/>
        <v>0</v>
      </c>
      <c r="AZ50" s="1071"/>
      <c r="BA50" s="157"/>
      <c r="BB50" s="157"/>
      <c r="BC50" s="890" t="s">
        <v>345</v>
      </c>
    </row>
    <row r="51" spans="1:55" s="1074" customFormat="1" ht="16.5" customHeight="1">
      <c r="A51" s="157"/>
      <c r="B51" s="157"/>
      <c r="C51" s="157"/>
      <c r="D51" s="157"/>
      <c r="E51" s="623">
        <v>17.100000000000001</v>
      </c>
      <c r="F51" s="714" t="str">
        <f t="shared" ca="1" si="13"/>
        <v>1</v>
      </c>
      <c r="G51" s="157"/>
      <c r="H51" s="157"/>
      <c r="I51" s="157"/>
      <c r="J51" s="157"/>
      <c r="K51" s="157"/>
      <c r="L51" s="157"/>
      <c r="M51" s="157"/>
      <c r="N51" s="157"/>
      <c r="O51" s="157"/>
      <c r="P51" s="157"/>
      <c r="Q51" s="157"/>
      <c r="R51" s="157"/>
      <c r="S51" s="157"/>
      <c r="T51" s="157"/>
      <c r="U51" s="634" t="b">
        <f t="shared" si="14"/>
        <v>1</v>
      </c>
      <c r="V51" s="157"/>
      <c r="W51" s="157"/>
      <c r="X51" s="157"/>
      <c r="Y51" s="1403"/>
      <c r="Z51" s="1403"/>
      <c r="AA51" s="157"/>
      <c r="AB51" s="393" t="s">
        <v>346</v>
      </c>
      <c r="AC51" s="439" t="s">
        <v>347</v>
      </c>
      <c r="AD51" s="385" t="s">
        <v>336</v>
      </c>
      <c r="AE51" s="203">
        <f t="shared" ref="AE51:AY51" si="17">AE52+AE55+AE58+AE61</f>
        <v>0</v>
      </c>
      <c r="AF51" s="203">
        <f t="shared" si="17"/>
        <v>0</v>
      </c>
      <c r="AG51" s="203">
        <f t="shared" si="17"/>
        <v>0</v>
      </c>
      <c r="AH51" s="203">
        <f t="shared" si="17"/>
        <v>0</v>
      </c>
      <c r="AI51" s="203">
        <f t="shared" si="17"/>
        <v>0</v>
      </c>
      <c r="AJ51" s="203">
        <f t="shared" si="17"/>
        <v>0</v>
      </c>
      <c r="AK51" s="203">
        <f t="shared" si="17"/>
        <v>0</v>
      </c>
      <c r="AL51" s="203">
        <f t="shared" si="17"/>
        <v>0</v>
      </c>
      <c r="AM51" s="203">
        <f t="shared" si="17"/>
        <v>0</v>
      </c>
      <c r="AN51" s="203">
        <f t="shared" si="17"/>
        <v>0</v>
      </c>
      <c r="AO51" s="203">
        <f t="shared" si="17"/>
        <v>0</v>
      </c>
      <c r="AP51" s="203">
        <f t="shared" si="17"/>
        <v>0</v>
      </c>
      <c r="AQ51" s="203">
        <f t="shared" si="17"/>
        <v>0</v>
      </c>
      <c r="AR51" s="203">
        <f t="shared" si="17"/>
        <v>0</v>
      </c>
      <c r="AS51" s="203">
        <f t="shared" si="17"/>
        <v>0</v>
      </c>
      <c r="AT51" s="203">
        <f t="shared" si="17"/>
        <v>0</v>
      </c>
      <c r="AU51" s="203">
        <f t="shared" si="17"/>
        <v>0</v>
      </c>
      <c r="AV51" s="203">
        <f t="shared" si="17"/>
        <v>0</v>
      </c>
      <c r="AW51" s="203">
        <f t="shared" si="17"/>
        <v>0</v>
      </c>
      <c r="AX51" s="203">
        <f t="shared" si="17"/>
        <v>0</v>
      </c>
      <c r="AY51" s="203">
        <f t="shared" si="17"/>
        <v>0</v>
      </c>
      <c r="AZ51" s="1071"/>
      <c r="BA51" s="157"/>
      <c r="BB51" s="157"/>
      <c r="BC51" s="890" t="s">
        <v>348</v>
      </c>
    </row>
    <row r="52" spans="1:55" s="1075" customFormat="1" ht="16.5" customHeight="1">
      <c r="A52" s="157"/>
      <c r="B52" s="157"/>
      <c r="C52" s="157"/>
      <c r="D52" s="157"/>
      <c r="E52" s="623">
        <v>17.100000000000001</v>
      </c>
      <c r="F52" s="714" t="str">
        <f t="shared" ca="1" si="13"/>
        <v>1</v>
      </c>
      <c r="G52" s="157"/>
      <c r="H52" s="157"/>
      <c r="I52" s="157"/>
      <c r="J52" s="157"/>
      <c r="K52" s="157"/>
      <c r="L52" s="157"/>
      <c r="M52" s="157"/>
      <c r="N52" s="157"/>
      <c r="O52" s="157"/>
      <c r="P52" s="157"/>
      <c r="Q52" s="157"/>
      <c r="R52" s="157"/>
      <c r="S52" s="157"/>
      <c r="T52" s="157"/>
      <c r="U52" s="634" t="b">
        <f t="shared" si="14"/>
        <v>1</v>
      </c>
      <c r="V52" s="157"/>
      <c r="W52" s="157"/>
      <c r="X52" s="157"/>
      <c r="Y52" s="1403"/>
      <c r="Z52" s="1403"/>
      <c r="AA52" s="157"/>
      <c r="AB52" s="438" t="s">
        <v>349</v>
      </c>
      <c r="AC52" s="448" t="s">
        <v>350</v>
      </c>
      <c r="AD52" s="385" t="s">
        <v>336</v>
      </c>
      <c r="AE52" s="1070">
        <f t="shared" ref="AE52:AY52" si="18">0.75*(11*AE54+MAX(0.06*AE54*(AE53-100),0))</f>
        <v>0</v>
      </c>
      <c r="AF52" s="149">
        <f t="shared" si="18"/>
        <v>0</v>
      </c>
      <c r="AG52" s="1063">
        <f t="shared" si="18"/>
        <v>0</v>
      </c>
      <c r="AH52" s="1063">
        <f t="shared" si="18"/>
        <v>0</v>
      </c>
      <c r="AI52" s="1070">
        <f t="shared" si="18"/>
        <v>0</v>
      </c>
      <c r="AJ52" s="1070">
        <f t="shared" si="18"/>
        <v>0</v>
      </c>
      <c r="AK52" s="1070">
        <f t="shared" si="18"/>
        <v>0</v>
      </c>
      <c r="AL52" s="1070">
        <f t="shared" si="18"/>
        <v>0</v>
      </c>
      <c r="AM52" s="1070">
        <f t="shared" si="18"/>
        <v>0</v>
      </c>
      <c r="AN52" s="1070">
        <f t="shared" si="18"/>
        <v>0</v>
      </c>
      <c r="AO52" s="1070">
        <f t="shared" si="18"/>
        <v>0</v>
      </c>
      <c r="AP52" s="149">
        <f t="shared" si="18"/>
        <v>0</v>
      </c>
      <c r="AQ52" s="1063">
        <f t="shared" si="18"/>
        <v>0</v>
      </c>
      <c r="AR52" s="1063">
        <f t="shared" si="18"/>
        <v>0</v>
      </c>
      <c r="AS52" s="1070">
        <f t="shared" si="18"/>
        <v>0</v>
      </c>
      <c r="AT52" s="1070">
        <f t="shared" si="18"/>
        <v>0</v>
      </c>
      <c r="AU52" s="1070">
        <f t="shared" si="18"/>
        <v>0</v>
      </c>
      <c r="AV52" s="1070">
        <f t="shared" si="18"/>
        <v>0</v>
      </c>
      <c r="AW52" s="1070">
        <f t="shared" si="18"/>
        <v>0</v>
      </c>
      <c r="AX52" s="1070">
        <f t="shared" si="18"/>
        <v>0</v>
      </c>
      <c r="AY52" s="1070">
        <f t="shared" si="18"/>
        <v>0</v>
      </c>
      <c r="AZ52" s="1071"/>
      <c r="BA52" s="157"/>
      <c r="BB52" s="157"/>
      <c r="BC52" s="890" t="s">
        <v>351</v>
      </c>
    </row>
    <row r="53" spans="1:55" s="1076" customFormat="1" ht="16.5" customHeight="1">
      <c r="A53" s="157"/>
      <c r="B53" s="157"/>
      <c r="C53" s="157"/>
      <c r="D53" s="157"/>
      <c r="E53" s="623">
        <v>17.100000000000001</v>
      </c>
      <c r="F53" s="714" t="str">
        <f t="shared" ca="1" si="13"/>
        <v>1</v>
      </c>
      <c r="G53" s="157"/>
      <c r="H53" s="157"/>
      <c r="I53" s="157"/>
      <c r="J53" s="157"/>
      <c r="K53" s="157"/>
      <c r="L53" s="157"/>
      <c r="M53" s="157"/>
      <c r="N53" s="157"/>
      <c r="O53" s="157"/>
      <c r="P53" s="157"/>
      <c r="Q53" s="157"/>
      <c r="R53" s="157"/>
      <c r="S53" s="157"/>
      <c r="T53" s="157"/>
      <c r="U53" s="634" t="b">
        <f t="shared" si="14"/>
        <v>1</v>
      </c>
      <c r="V53" s="157"/>
      <c r="W53" s="157"/>
      <c r="X53" s="157"/>
      <c r="Y53" s="1403"/>
      <c r="Z53" s="1403"/>
      <c r="AA53" s="157"/>
      <c r="AB53" s="445" t="str">
        <f>AB52&amp;".1"</f>
        <v>2.1.1.1</v>
      </c>
      <c r="AC53" s="447" t="s">
        <v>352</v>
      </c>
      <c r="AD53" s="111" t="s">
        <v>353</v>
      </c>
      <c r="AE53" s="1077"/>
      <c r="AF53" s="449"/>
      <c r="AG53" s="1064"/>
      <c r="AH53" s="1064"/>
      <c r="AI53" s="1077"/>
      <c r="AJ53" s="1077"/>
      <c r="AK53" s="1077"/>
      <c r="AL53" s="1077"/>
      <c r="AM53" s="1077"/>
      <c r="AN53" s="1077"/>
      <c r="AO53" s="1077"/>
      <c r="AP53" s="449"/>
      <c r="AQ53" s="1064"/>
      <c r="AR53" s="1064"/>
      <c r="AS53" s="1077"/>
      <c r="AT53" s="1077"/>
      <c r="AU53" s="1077"/>
      <c r="AV53" s="1077"/>
      <c r="AW53" s="1077"/>
      <c r="AX53" s="1077"/>
      <c r="AY53" s="1077"/>
      <c r="AZ53" s="1071"/>
      <c r="BA53" s="157"/>
      <c r="BB53" s="157"/>
      <c r="BC53" s="890" t="s">
        <v>354</v>
      </c>
    </row>
    <row r="54" spans="1:55" s="1078" customFormat="1" ht="16.5" customHeight="1">
      <c r="A54" s="157"/>
      <c r="B54" s="157"/>
      <c r="C54" s="157"/>
      <c r="D54" s="157"/>
      <c r="E54" s="623">
        <v>17.100000000000001</v>
      </c>
      <c r="F54" s="714" t="str">
        <f t="shared" ca="1" si="13"/>
        <v>1</v>
      </c>
      <c r="G54" s="157"/>
      <c r="H54" s="157"/>
      <c r="I54" s="157"/>
      <c r="J54" s="157"/>
      <c r="K54" s="157"/>
      <c r="L54" s="157"/>
      <c r="M54" s="157"/>
      <c r="N54" s="157"/>
      <c r="O54" s="157"/>
      <c r="P54" s="157"/>
      <c r="Q54" s="157"/>
      <c r="R54" s="157"/>
      <c r="S54" s="157"/>
      <c r="T54" s="157"/>
      <c r="U54" s="634" t="b">
        <f t="shared" si="14"/>
        <v>1</v>
      </c>
      <c r="V54" s="157"/>
      <c r="W54" s="157"/>
      <c r="X54" s="157"/>
      <c r="Y54" s="1403"/>
      <c r="Z54" s="1403"/>
      <c r="AA54" s="157"/>
      <c r="AB54" s="445" t="str">
        <f>AB52&amp;".2"</f>
        <v>2.1.1.2</v>
      </c>
      <c r="AC54" s="447" t="s">
        <v>355</v>
      </c>
      <c r="AD54" s="446" t="s">
        <v>356</v>
      </c>
      <c r="AE54" s="1079"/>
      <c r="AF54" s="217"/>
      <c r="AG54" s="1065"/>
      <c r="AH54" s="1065"/>
      <c r="AI54" s="1079"/>
      <c r="AJ54" s="1079"/>
      <c r="AK54" s="1079"/>
      <c r="AL54" s="1079"/>
      <c r="AM54" s="1079"/>
      <c r="AN54" s="1079"/>
      <c r="AO54" s="1079"/>
      <c r="AP54" s="217"/>
      <c r="AQ54" s="1065"/>
      <c r="AR54" s="1065"/>
      <c r="AS54" s="1079"/>
      <c r="AT54" s="1079"/>
      <c r="AU54" s="1079"/>
      <c r="AV54" s="1079"/>
      <c r="AW54" s="1079"/>
      <c r="AX54" s="1079"/>
      <c r="AY54" s="1079"/>
      <c r="AZ54" s="1071"/>
      <c r="BA54" s="157"/>
      <c r="BB54" s="157"/>
      <c r="BC54" s="890" t="s">
        <v>357</v>
      </c>
    </row>
    <row r="55" spans="1:55" s="1080" customFormat="1" ht="16.5" customHeight="1">
      <c r="A55" s="157"/>
      <c r="B55" s="157"/>
      <c r="C55" s="157"/>
      <c r="D55" s="157"/>
      <c r="E55" s="623">
        <v>17.100000000000001</v>
      </c>
      <c r="F55" s="714" t="str">
        <f t="shared" ca="1" si="13"/>
        <v>1</v>
      </c>
      <c r="G55" s="157"/>
      <c r="H55" s="157"/>
      <c r="I55" s="157"/>
      <c r="J55" s="157"/>
      <c r="K55" s="157"/>
      <c r="L55" s="157"/>
      <c r="M55" s="157"/>
      <c r="N55" s="157"/>
      <c r="O55" s="157"/>
      <c r="P55" s="157"/>
      <c r="Q55" s="157"/>
      <c r="R55" s="157"/>
      <c r="S55" s="157"/>
      <c r="T55" s="157"/>
      <c r="U55" s="634" t="b">
        <f t="shared" si="14"/>
        <v>1</v>
      </c>
      <c r="V55" s="157"/>
      <c r="W55" s="157"/>
      <c r="X55" s="157"/>
      <c r="Y55" s="1403"/>
      <c r="Z55" s="1403"/>
      <c r="AA55" s="157"/>
      <c r="AB55" s="444" t="s">
        <v>358</v>
      </c>
      <c r="AC55" s="436" t="s">
        <v>359</v>
      </c>
      <c r="AD55" s="385" t="s">
        <v>336</v>
      </c>
      <c r="AE55" s="1070">
        <f t="shared" ref="AE55:AY55" si="19">(11*AE57+MAX(0.06*AE57*(AE56-100),0))</f>
        <v>0</v>
      </c>
      <c r="AF55" s="149">
        <f t="shared" si="19"/>
        <v>0</v>
      </c>
      <c r="AG55" s="1063">
        <f t="shared" si="19"/>
        <v>0</v>
      </c>
      <c r="AH55" s="1063">
        <f t="shared" si="19"/>
        <v>0</v>
      </c>
      <c r="AI55" s="1070">
        <f t="shared" si="19"/>
        <v>0</v>
      </c>
      <c r="AJ55" s="1070">
        <f t="shared" si="19"/>
        <v>0</v>
      </c>
      <c r="AK55" s="1070">
        <f t="shared" si="19"/>
        <v>0</v>
      </c>
      <c r="AL55" s="1070">
        <f t="shared" si="19"/>
        <v>0</v>
      </c>
      <c r="AM55" s="1070">
        <f t="shared" si="19"/>
        <v>0</v>
      </c>
      <c r="AN55" s="1070">
        <f t="shared" si="19"/>
        <v>0</v>
      </c>
      <c r="AO55" s="1070">
        <f t="shared" si="19"/>
        <v>0</v>
      </c>
      <c r="AP55" s="149">
        <f t="shared" si="19"/>
        <v>0</v>
      </c>
      <c r="AQ55" s="1063">
        <f t="shared" si="19"/>
        <v>0</v>
      </c>
      <c r="AR55" s="1063">
        <f t="shared" si="19"/>
        <v>0</v>
      </c>
      <c r="AS55" s="1070">
        <f t="shared" si="19"/>
        <v>0</v>
      </c>
      <c r="AT55" s="1070">
        <f t="shared" si="19"/>
        <v>0</v>
      </c>
      <c r="AU55" s="1070">
        <f t="shared" si="19"/>
        <v>0</v>
      </c>
      <c r="AV55" s="1070">
        <f t="shared" si="19"/>
        <v>0</v>
      </c>
      <c r="AW55" s="1070">
        <f t="shared" si="19"/>
        <v>0</v>
      </c>
      <c r="AX55" s="1070">
        <f t="shared" si="19"/>
        <v>0</v>
      </c>
      <c r="AY55" s="1070">
        <f t="shared" si="19"/>
        <v>0</v>
      </c>
      <c r="AZ55" s="1071"/>
      <c r="BA55" s="157"/>
      <c r="BB55" s="157"/>
      <c r="BC55" s="890" t="s">
        <v>360</v>
      </c>
    </row>
    <row r="56" spans="1:55" s="1081" customFormat="1" ht="16.5" customHeight="1">
      <c r="A56" s="157"/>
      <c r="B56" s="157"/>
      <c r="C56" s="157"/>
      <c r="D56" s="157"/>
      <c r="E56" s="623">
        <v>17.100000000000001</v>
      </c>
      <c r="F56" s="714" t="str">
        <f t="shared" ca="1" si="13"/>
        <v>1</v>
      </c>
      <c r="G56" s="157"/>
      <c r="H56" s="157"/>
      <c r="I56" s="157"/>
      <c r="J56" s="157"/>
      <c r="K56" s="157"/>
      <c r="L56" s="157"/>
      <c r="M56" s="157"/>
      <c r="N56" s="157"/>
      <c r="O56" s="157"/>
      <c r="P56" s="157"/>
      <c r="Q56" s="157"/>
      <c r="R56" s="157"/>
      <c r="S56" s="157"/>
      <c r="T56" s="157"/>
      <c r="U56" s="634" t="b">
        <f t="shared" si="14"/>
        <v>1</v>
      </c>
      <c r="V56" s="157"/>
      <c r="W56" s="157"/>
      <c r="X56" s="157"/>
      <c r="Y56" s="1403"/>
      <c r="Z56" s="1403"/>
      <c r="AA56" s="157"/>
      <c r="AB56" s="445" t="str">
        <f>AB55&amp;".1"</f>
        <v>2.1.2.1</v>
      </c>
      <c r="AC56" s="447" t="s">
        <v>352</v>
      </c>
      <c r="AD56" s="515" t="s">
        <v>353</v>
      </c>
      <c r="AE56" s="1082"/>
      <c r="AF56" s="217"/>
      <c r="AG56" s="1065"/>
      <c r="AH56" s="1065"/>
      <c r="AI56" s="1079"/>
      <c r="AJ56" s="1079"/>
      <c r="AK56" s="1079"/>
      <c r="AL56" s="1079"/>
      <c r="AM56" s="1079"/>
      <c r="AN56" s="1079"/>
      <c r="AO56" s="1079"/>
      <c r="AP56" s="217"/>
      <c r="AQ56" s="1065"/>
      <c r="AR56" s="1065"/>
      <c r="AS56" s="1079"/>
      <c r="AT56" s="1079"/>
      <c r="AU56" s="1079"/>
      <c r="AV56" s="1079"/>
      <c r="AW56" s="1079"/>
      <c r="AX56" s="1079"/>
      <c r="AY56" s="1079"/>
      <c r="AZ56" s="1071"/>
      <c r="BA56" s="157"/>
      <c r="BB56" s="157"/>
      <c r="BC56" s="890" t="s">
        <v>361</v>
      </c>
    </row>
    <row r="57" spans="1:55" s="1083" customFormat="1" ht="16.5" customHeight="1">
      <c r="A57" s="157"/>
      <c r="B57" s="157"/>
      <c r="C57" s="157"/>
      <c r="D57" s="157"/>
      <c r="E57" s="623">
        <v>17.100000000000001</v>
      </c>
      <c r="F57" s="714" t="str">
        <f t="shared" ca="1" si="13"/>
        <v>1</v>
      </c>
      <c r="G57" s="157"/>
      <c r="H57" s="157"/>
      <c r="I57" s="157"/>
      <c r="J57" s="157"/>
      <c r="K57" s="157"/>
      <c r="L57" s="157"/>
      <c r="M57" s="157"/>
      <c r="N57" s="157"/>
      <c r="O57" s="157"/>
      <c r="P57" s="157"/>
      <c r="Q57" s="157"/>
      <c r="R57" s="157"/>
      <c r="S57" s="157"/>
      <c r="T57" s="157"/>
      <c r="U57" s="634" t="b">
        <f t="shared" si="14"/>
        <v>1</v>
      </c>
      <c r="V57" s="157"/>
      <c r="W57" s="157"/>
      <c r="X57" s="157"/>
      <c r="Y57" s="1403"/>
      <c r="Z57" s="1403"/>
      <c r="AA57" s="157"/>
      <c r="AB57" s="445" t="str">
        <f>AB55&amp;".2"</f>
        <v>2.1.2.2</v>
      </c>
      <c r="AC57" s="553" t="s">
        <v>355</v>
      </c>
      <c r="AD57" s="111" t="s">
        <v>356</v>
      </c>
      <c r="AE57" s="1079"/>
      <c r="AF57" s="451"/>
      <c r="AG57" s="1065"/>
      <c r="AH57" s="1065"/>
      <c r="AI57" s="1079"/>
      <c r="AJ57" s="1079"/>
      <c r="AK57" s="1079"/>
      <c r="AL57" s="1079"/>
      <c r="AM57" s="1079"/>
      <c r="AN57" s="1079"/>
      <c r="AO57" s="1079"/>
      <c r="AP57" s="217"/>
      <c r="AQ57" s="1065"/>
      <c r="AR57" s="1065"/>
      <c r="AS57" s="1079"/>
      <c r="AT57" s="1079"/>
      <c r="AU57" s="1079"/>
      <c r="AV57" s="1079"/>
      <c r="AW57" s="1079"/>
      <c r="AX57" s="1079"/>
      <c r="AY57" s="1079"/>
      <c r="AZ57" s="1071"/>
      <c r="BA57" s="157"/>
      <c r="BB57" s="157"/>
      <c r="BC57" s="890" t="s">
        <v>362</v>
      </c>
    </row>
    <row r="58" spans="1:55" s="1084" customFormat="1" ht="16.5" customHeight="1">
      <c r="A58" s="157"/>
      <c r="B58" s="157"/>
      <c r="C58" s="157"/>
      <c r="D58" s="157"/>
      <c r="E58" s="623">
        <v>17.100000000000001</v>
      </c>
      <c r="F58" s="714" t="str">
        <f t="shared" ca="1" si="13"/>
        <v>1</v>
      </c>
      <c r="G58" s="157"/>
      <c r="H58" s="157"/>
      <c r="I58" s="157"/>
      <c r="J58" s="157"/>
      <c r="K58" s="157"/>
      <c r="L58" s="157"/>
      <c r="M58" s="157"/>
      <c r="N58" s="157"/>
      <c r="O58" s="157"/>
      <c r="P58" s="157"/>
      <c r="Q58" s="157"/>
      <c r="R58" s="157"/>
      <c r="S58" s="157"/>
      <c r="T58" s="157"/>
      <c r="U58" s="634" t="b">
        <f t="shared" si="14"/>
        <v>1</v>
      </c>
      <c r="V58" s="157"/>
      <c r="W58" s="157"/>
      <c r="X58" s="157"/>
      <c r="Y58" s="1403"/>
      <c r="Z58" s="1403"/>
      <c r="AA58" s="157"/>
      <c r="AB58" s="222" t="s">
        <v>363</v>
      </c>
      <c r="AC58" s="554" t="s">
        <v>364</v>
      </c>
      <c r="AD58" s="222" t="s">
        <v>336</v>
      </c>
      <c r="AE58" s="1079">
        <f t="shared" ref="AE58:AY58" si="20">1.25*(11*AE60+MAX(0.06*AE60*(AE59-100),0))</f>
        <v>0</v>
      </c>
      <c r="AF58" s="557">
        <f t="shared" si="20"/>
        <v>0</v>
      </c>
      <c r="AG58" s="1063">
        <f t="shared" si="20"/>
        <v>0</v>
      </c>
      <c r="AH58" s="1063">
        <f t="shared" si="20"/>
        <v>0</v>
      </c>
      <c r="AI58" s="1070">
        <f t="shared" si="20"/>
        <v>0</v>
      </c>
      <c r="AJ58" s="1070">
        <f t="shared" si="20"/>
        <v>0</v>
      </c>
      <c r="AK58" s="1070">
        <f t="shared" si="20"/>
        <v>0</v>
      </c>
      <c r="AL58" s="1070">
        <f t="shared" si="20"/>
        <v>0</v>
      </c>
      <c r="AM58" s="1070">
        <f t="shared" si="20"/>
        <v>0</v>
      </c>
      <c r="AN58" s="1070">
        <f t="shared" si="20"/>
        <v>0</v>
      </c>
      <c r="AO58" s="1070">
        <f t="shared" si="20"/>
        <v>0</v>
      </c>
      <c r="AP58" s="149">
        <f t="shared" si="20"/>
        <v>0</v>
      </c>
      <c r="AQ58" s="1063">
        <f t="shared" si="20"/>
        <v>0</v>
      </c>
      <c r="AR58" s="1063">
        <f t="shared" si="20"/>
        <v>0</v>
      </c>
      <c r="AS58" s="1070">
        <f t="shared" si="20"/>
        <v>0</v>
      </c>
      <c r="AT58" s="1070">
        <f t="shared" si="20"/>
        <v>0</v>
      </c>
      <c r="AU58" s="1070">
        <f t="shared" si="20"/>
        <v>0</v>
      </c>
      <c r="AV58" s="1070">
        <f t="shared" si="20"/>
        <v>0</v>
      </c>
      <c r="AW58" s="1070">
        <f t="shared" si="20"/>
        <v>0</v>
      </c>
      <c r="AX58" s="1070">
        <f t="shared" si="20"/>
        <v>0</v>
      </c>
      <c r="AY58" s="1070">
        <f t="shared" si="20"/>
        <v>0</v>
      </c>
      <c r="AZ58" s="1071"/>
      <c r="BA58" s="157"/>
      <c r="BB58" s="157"/>
      <c r="BC58" s="890" t="s">
        <v>365</v>
      </c>
    </row>
    <row r="59" spans="1:55" s="1085" customFormat="1" ht="16.5" customHeight="1">
      <c r="A59" s="157"/>
      <c r="B59" s="157"/>
      <c r="C59" s="157"/>
      <c r="D59" s="157"/>
      <c r="E59" s="623">
        <v>17.100000000000001</v>
      </c>
      <c r="F59" s="714" t="str">
        <f t="shared" ca="1" si="13"/>
        <v>1</v>
      </c>
      <c r="G59" s="157"/>
      <c r="H59" s="157"/>
      <c r="I59" s="157"/>
      <c r="J59" s="157"/>
      <c r="K59" s="157"/>
      <c r="L59" s="157"/>
      <c r="M59" s="157"/>
      <c r="N59" s="157"/>
      <c r="O59" s="157"/>
      <c r="P59" s="157"/>
      <c r="Q59" s="157"/>
      <c r="R59" s="157"/>
      <c r="S59" s="157"/>
      <c r="T59" s="157"/>
      <c r="U59" s="634" t="b">
        <f t="shared" si="14"/>
        <v>1</v>
      </c>
      <c r="V59" s="157"/>
      <c r="W59" s="157"/>
      <c r="X59" s="157"/>
      <c r="Y59" s="1403"/>
      <c r="Z59" s="1403"/>
      <c r="AA59" s="157"/>
      <c r="AB59" s="445" t="str">
        <f>AB58&amp;".1"</f>
        <v>2.1.3.1</v>
      </c>
      <c r="AC59" s="553" t="s">
        <v>352</v>
      </c>
      <c r="AD59" s="111" t="s">
        <v>353</v>
      </c>
      <c r="AE59" s="1079"/>
      <c r="AF59" s="450"/>
      <c r="AG59" s="1066"/>
      <c r="AH59" s="1066"/>
      <c r="AI59" s="1086"/>
      <c r="AJ59" s="1086"/>
      <c r="AK59" s="1086"/>
      <c r="AL59" s="1086"/>
      <c r="AM59" s="1086"/>
      <c r="AN59" s="1086"/>
      <c r="AO59" s="1086"/>
      <c r="AP59" s="450"/>
      <c r="AQ59" s="1066"/>
      <c r="AR59" s="1066"/>
      <c r="AS59" s="1086"/>
      <c r="AT59" s="1086"/>
      <c r="AU59" s="1086"/>
      <c r="AV59" s="1086"/>
      <c r="AW59" s="1086"/>
      <c r="AX59" s="1086"/>
      <c r="AY59" s="1086"/>
      <c r="AZ59" s="1071"/>
      <c r="BA59" s="157"/>
      <c r="BB59" s="157"/>
      <c r="BC59" s="890" t="s">
        <v>366</v>
      </c>
    </row>
    <row r="60" spans="1:55" s="1087" customFormat="1" ht="16.5" customHeight="1">
      <c r="A60" s="157"/>
      <c r="B60" s="157"/>
      <c r="C60" s="157"/>
      <c r="D60" s="157"/>
      <c r="E60" s="623">
        <v>17.100000000000001</v>
      </c>
      <c r="F60" s="714" t="str">
        <f t="shared" ca="1" si="13"/>
        <v>1</v>
      </c>
      <c r="G60" s="157"/>
      <c r="H60" s="157"/>
      <c r="I60" s="157"/>
      <c r="J60" s="157"/>
      <c r="K60" s="157"/>
      <c r="L60" s="157"/>
      <c r="M60" s="157"/>
      <c r="N60" s="157"/>
      <c r="O60" s="157"/>
      <c r="P60" s="157"/>
      <c r="Q60" s="157"/>
      <c r="R60" s="157"/>
      <c r="S60" s="157"/>
      <c r="T60" s="157"/>
      <c r="U60" s="634" t="b">
        <f t="shared" si="14"/>
        <v>1</v>
      </c>
      <c r="V60" s="157"/>
      <c r="W60" s="157"/>
      <c r="X60" s="157"/>
      <c r="Y60" s="1403"/>
      <c r="Z60" s="1403"/>
      <c r="AA60" s="157"/>
      <c r="AB60" s="445" t="str">
        <f>AB58&amp;".2"</f>
        <v>2.1.3.2</v>
      </c>
      <c r="AC60" s="553" t="s">
        <v>355</v>
      </c>
      <c r="AD60" s="111" t="s">
        <v>356</v>
      </c>
      <c r="AE60" s="1079"/>
      <c r="AF60" s="451"/>
      <c r="AG60" s="1067"/>
      <c r="AH60" s="1067"/>
      <c r="AI60" s="1088"/>
      <c r="AJ60" s="1088"/>
      <c r="AK60" s="1088"/>
      <c r="AL60" s="1088"/>
      <c r="AM60" s="1088"/>
      <c r="AN60" s="1088"/>
      <c r="AO60" s="1088"/>
      <c r="AP60" s="451"/>
      <c r="AQ60" s="1067"/>
      <c r="AR60" s="1067"/>
      <c r="AS60" s="1088"/>
      <c r="AT60" s="1088"/>
      <c r="AU60" s="1088"/>
      <c r="AV60" s="1088"/>
      <c r="AW60" s="1088"/>
      <c r="AX60" s="1088"/>
      <c r="AY60" s="1088"/>
      <c r="AZ60" s="1071"/>
      <c r="BA60" s="157"/>
      <c r="BB60" s="157"/>
      <c r="BC60" s="890" t="s">
        <v>367</v>
      </c>
    </row>
    <row r="61" spans="1:55" s="1089" customFormat="1" ht="16.5" customHeight="1">
      <c r="A61" s="157"/>
      <c r="B61" s="157"/>
      <c r="C61" s="157"/>
      <c r="D61" s="157"/>
      <c r="E61" s="623">
        <v>17.100000000000001</v>
      </c>
      <c r="F61" s="714" t="str">
        <f t="shared" ca="1" si="13"/>
        <v>1</v>
      </c>
      <c r="G61" s="157"/>
      <c r="H61" s="150" t="s">
        <v>334</v>
      </c>
      <c r="I61" s="150" t="str">
        <f>AC61&amp;"::"&amp;AD61</f>
        <v>Четырехтрубные::УЕ</v>
      </c>
      <c r="J61" s="157"/>
      <c r="K61" s="157"/>
      <c r="L61" s="157"/>
      <c r="M61" s="157"/>
      <c r="N61" s="157"/>
      <c r="O61" s="157"/>
      <c r="P61" s="157"/>
      <c r="Q61" s="157"/>
      <c r="R61" s="157"/>
      <c r="S61" s="157"/>
      <c r="T61" s="157"/>
      <c r="U61" s="634" t="b">
        <f t="shared" si="14"/>
        <v>1</v>
      </c>
      <c r="V61" s="157"/>
      <c r="W61" s="157"/>
      <c r="X61" s="157"/>
      <c r="Y61" s="1403"/>
      <c r="Z61" s="1403"/>
      <c r="AA61" s="157"/>
      <c r="AB61" s="222" t="s">
        <v>368</v>
      </c>
      <c r="AC61" s="554" t="s">
        <v>369</v>
      </c>
      <c r="AD61" s="222" t="s">
        <v>336</v>
      </c>
      <c r="AE61" s="1079">
        <f t="shared" ref="AE61:AY61" si="21">1.5*(11*AE63+MAX(0.06*AE63*(AE62-100),0))</f>
        <v>0</v>
      </c>
      <c r="AF61" s="557">
        <f t="shared" si="21"/>
        <v>0</v>
      </c>
      <c r="AG61" s="1063">
        <f t="shared" si="21"/>
        <v>0</v>
      </c>
      <c r="AH61" s="1063">
        <f t="shared" si="21"/>
        <v>0</v>
      </c>
      <c r="AI61" s="1070">
        <f t="shared" si="21"/>
        <v>0</v>
      </c>
      <c r="AJ61" s="1070">
        <f t="shared" si="21"/>
        <v>0</v>
      </c>
      <c r="AK61" s="1070">
        <f t="shared" si="21"/>
        <v>0</v>
      </c>
      <c r="AL61" s="1070">
        <f t="shared" si="21"/>
        <v>0</v>
      </c>
      <c r="AM61" s="1070">
        <f t="shared" si="21"/>
        <v>0</v>
      </c>
      <c r="AN61" s="1070">
        <f t="shared" si="21"/>
        <v>0</v>
      </c>
      <c r="AO61" s="1070">
        <f t="shared" si="21"/>
        <v>0</v>
      </c>
      <c r="AP61" s="149">
        <f t="shared" si="21"/>
        <v>0</v>
      </c>
      <c r="AQ61" s="1063">
        <f t="shared" si="21"/>
        <v>0</v>
      </c>
      <c r="AR61" s="1063">
        <f t="shared" si="21"/>
        <v>0</v>
      </c>
      <c r="AS61" s="1070">
        <f t="shared" si="21"/>
        <v>0</v>
      </c>
      <c r="AT61" s="1070">
        <f t="shared" si="21"/>
        <v>0</v>
      </c>
      <c r="AU61" s="1070">
        <f t="shared" si="21"/>
        <v>0</v>
      </c>
      <c r="AV61" s="1070">
        <f t="shared" si="21"/>
        <v>0</v>
      </c>
      <c r="AW61" s="1070">
        <f t="shared" si="21"/>
        <v>0</v>
      </c>
      <c r="AX61" s="1070">
        <f t="shared" si="21"/>
        <v>0</v>
      </c>
      <c r="AY61" s="1070">
        <f t="shared" si="21"/>
        <v>0</v>
      </c>
      <c r="AZ61" s="1071"/>
      <c r="BA61" s="157"/>
      <c r="BB61" s="157"/>
      <c r="BC61" s="890" t="s">
        <v>370</v>
      </c>
    </row>
    <row r="62" spans="1:55" s="1090" customFormat="1" ht="16.5" customHeight="1">
      <c r="A62" s="157"/>
      <c r="B62" s="157"/>
      <c r="C62" s="157"/>
      <c r="D62" s="157"/>
      <c r="E62" s="623">
        <v>17.100000000000001</v>
      </c>
      <c r="F62" s="714" t="str">
        <f t="shared" ca="1" si="13"/>
        <v>1</v>
      </c>
      <c r="G62" s="157"/>
      <c r="H62" s="157"/>
      <c r="I62" s="157"/>
      <c r="J62" s="157"/>
      <c r="K62" s="157"/>
      <c r="L62" s="157"/>
      <c r="M62" s="157"/>
      <c r="N62" s="157"/>
      <c r="O62" s="157"/>
      <c r="P62" s="157"/>
      <c r="Q62" s="157"/>
      <c r="R62" s="157"/>
      <c r="S62" s="157"/>
      <c r="T62" s="157"/>
      <c r="U62" s="634" t="b">
        <f t="shared" si="14"/>
        <v>1</v>
      </c>
      <c r="V62" s="157"/>
      <c r="W62" s="157"/>
      <c r="X62" s="157"/>
      <c r="Y62" s="1403"/>
      <c r="Z62" s="1403"/>
      <c r="AA62" s="157"/>
      <c r="AB62" s="445" t="str">
        <f>AB61&amp;".1"</f>
        <v>2.1.4.1</v>
      </c>
      <c r="AC62" s="553" t="s">
        <v>352</v>
      </c>
      <c r="AD62" s="111" t="s">
        <v>353</v>
      </c>
      <c r="AE62" s="1079"/>
      <c r="AF62" s="451"/>
      <c r="AG62" s="1067"/>
      <c r="AH62" s="1067"/>
      <c r="AI62" s="1088"/>
      <c r="AJ62" s="1088"/>
      <c r="AK62" s="1088"/>
      <c r="AL62" s="1088"/>
      <c r="AM62" s="1088"/>
      <c r="AN62" s="1088"/>
      <c r="AO62" s="1088"/>
      <c r="AP62" s="451"/>
      <c r="AQ62" s="1067"/>
      <c r="AR62" s="1067"/>
      <c r="AS62" s="1088"/>
      <c r="AT62" s="1088"/>
      <c r="AU62" s="1088"/>
      <c r="AV62" s="1088"/>
      <c r="AW62" s="1088"/>
      <c r="AX62" s="1088"/>
      <c r="AY62" s="1088"/>
      <c r="AZ62" s="1071"/>
      <c r="BA62" s="157"/>
      <c r="BB62" s="157"/>
      <c r="BC62" s="890" t="s">
        <v>371</v>
      </c>
    </row>
    <row r="63" spans="1:55" s="1091" customFormat="1" ht="16.5" customHeight="1">
      <c r="A63" s="157"/>
      <c r="B63" s="157"/>
      <c r="C63" s="157"/>
      <c r="D63" s="157"/>
      <c r="E63" s="623">
        <v>17.100000000000001</v>
      </c>
      <c r="F63" s="714" t="str">
        <f t="shared" ca="1" si="13"/>
        <v>1</v>
      </c>
      <c r="G63" s="157"/>
      <c r="H63" s="157"/>
      <c r="I63" s="157"/>
      <c r="J63" s="157"/>
      <c r="K63" s="157"/>
      <c r="L63" s="157"/>
      <c r="M63" s="157"/>
      <c r="N63" s="157"/>
      <c r="O63" s="157"/>
      <c r="P63" s="157"/>
      <c r="Q63" s="157"/>
      <c r="R63" s="157"/>
      <c r="S63" s="157"/>
      <c r="T63" s="157"/>
      <c r="U63" s="634" t="b">
        <f t="shared" si="14"/>
        <v>1</v>
      </c>
      <c r="V63" s="157"/>
      <c r="W63" s="157"/>
      <c r="X63" s="157"/>
      <c r="Y63" s="1403"/>
      <c r="Z63" s="1403"/>
      <c r="AA63" s="157"/>
      <c r="AB63" s="445" t="str">
        <f>AB61&amp;".2"</f>
        <v>2.1.4.2</v>
      </c>
      <c r="AC63" s="553" t="s">
        <v>355</v>
      </c>
      <c r="AD63" s="111" t="s">
        <v>356</v>
      </c>
      <c r="AE63" s="1079"/>
      <c r="AF63" s="451"/>
      <c r="AG63" s="1067"/>
      <c r="AH63" s="1067"/>
      <c r="AI63" s="1088"/>
      <c r="AJ63" s="1088"/>
      <c r="AK63" s="1088"/>
      <c r="AL63" s="1088"/>
      <c r="AM63" s="1088"/>
      <c r="AN63" s="1088"/>
      <c r="AO63" s="1088"/>
      <c r="AP63" s="451"/>
      <c r="AQ63" s="1067"/>
      <c r="AR63" s="1067"/>
      <c r="AS63" s="1088"/>
      <c r="AT63" s="1088"/>
      <c r="AU63" s="1088"/>
      <c r="AV63" s="1088"/>
      <c r="AW63" s="1088"/>
      <c r="AX63" s="1088"/>
      <c r="AY63" s="1088"/>
      <c r="AZ63" s="1071"/>
      <c r="BA63" s="157"/>
      <c r="BB63" s="157"/>
      <c r="BC63" s="890" t="s">
        <v>372</v>
      </c>
    </row>
    <row r="64" spans="1:55" s="1092" customFormat="1" ht="30" customHeight="1">
      <c r="A64" s="157"/>
      <c r="B64" s="157"/>
      <c r="C64" s="157"/>
      <c r="D64" s="157"/>
      <c r="E64" s="623">
        <v>30.8</v>
      </c>
      <c r="F64" s="714" t="str">
        <f t="shared" ca="1" si="13"/>
        <v>1</v>
      </c>
      <c r="G64" s="157"/>
      <c r="H64" s="157"/>
      <c r="I64" s="157"/>
      <c r="J64" s="157"/>
      <c r="K64" s="157"/>
      <c r="L64" s="157"/>
      <c r="M64" s="157"/>
      <c r="N64" s="157"/>
      <c r="O64" s="157"/>
      <c r="P64" s="157"/>
      <c r="Q64" s="157"/>
      <c r="R64" s="157"/>
      <c r="S64" s="157"/>
      <c r="T64" s="157"/>
      <c r="U64" s="634" t="b">
        <f t="shared" si="14"/>
        <v>1</v>
      </c>
      <c r="V64" s="157"/>
      <c r="W64" s="157"/>
      <c r="X64" s="157"/>
      <c r="Y64" s="1403"/>
      <c r="Z64" s="1403"/>
      <c r="AA64" s="157"/>
      <c r="AB64" s="440" t="s">
        <v>373</v>
      </c>
      <c r="AC64" s="555" t="s">
        <v>374</v>
      </c>
      <c r="AD64" s="111" t="s">
        <v>375</v>
      </c>
      <c r="AE64" s="1079"/>
      <c r="AF64" s="451"/>
      <c r="AG64" s="1065"/>
      <c r="AH64" s="1065"/>
      <c r="AI64" s="1079"/>
      <c r="AJ64" s="1079"/>
      <c r="AK64" s="1079"/>
      <c r="AL64" s="1079"/>
      <c r="AM64" s="1079"/>
      <c r="AN64" s="1079"/>
      <c r="AO64" s="1079"/>
      <c r="AP64" s="217"/>
      <c r="AQ64" s="1065"/>
      <c r="AR64" s="1065"/>
      <c r="AS64" s="1079"/>
      <c r="AT64" s="1079"/>
      <c r="AU64" s="1079"/>
      <c r="AV64" s="1079"/>
      <c r="AW64" s="1079"/>
      <c r="AX64" s="1079"/>
      <c r="AY64" s="1079"/>
      <c r="AZ64" s="1071"/>
      <c r="BA64" s="157"/>
      <c r="BB64" s="157"/>
      <c r="BC64" s="890" t="s">
        <v>376</v>
      </c>
    </row>
    <row r="65" spans="1:55" s="1093" customFormat="1" ht="38.25" customHeight="1">
      <c r="A65" s="157"/>
      <c r="B65" s="157"/>
      <c r="C65" s="157"/>
      <c r="D65" s="157"/>
      <c r="E65" s="623">
        <v>39.799999999999997</v>
      </c>
      <c r="F65" s="714" t="str">
        <f t="shared" ca="1" si="13"/>
        <v>1</v>
      </c>
      <c r="G65" s="157"/>
      <c r="H65" s="157"/>
      <c r="I65" s="157"/>
      <c r="J65" s="157"/>
      <c r="K65" s="157"/>
      <c r="L65" s="157"/>
      <c r="M65" s="157"/>
      <c r="N65" s="157"/>
      <c r="O65" s="157"/>
      <c r="P65" s="157"/>
      <c r="Q65" s="157"/>
      <c r="R65" s="157"/>
      <c r="S65" s="157"/>
      <c r="T65" s="157"/>
      <c r="U65" s="634" t="b">
        <f t="shared" si="14"/>
        <v>1</v>
      </c>
      <c r="V65" s="157"/>
      <c r="W65" s="157"/>
      <c r="X65" s="157"/>
      <c r="Y65" s="1403"/>
      <c r="Z65" s="1403"/>
      <c r="AA65" s="157"/>
      <c r="AB65" s="441" t="s">
        <v>377</v>
      </c>
      <c r="AC65" s="556" t="s">
        <v>378</v>
      </c>
      <c r="AD65" s="111" t="s">
        <v>379</v>
      </c>
      <c r="AE65" s="1079"/>
      <c r="AF65" s="451"/>
      <c r="AG65" s="1065"/>
      <c r="AH65" s="1065"/>
      <c r="AI65" s="1079"/>
      <c r="AJ65" s="1079"/>
      <c r="AK65" s="1079"/>
      <c r="AL65" s="1079"/>
      <c r="AM65" s="1079"/>
      <c r="AN65" s="1079"/>
      <c r="AO65" s="1079"/>
      <c r="AP65" s="217"/>
      <c r="AQ65" s="1065"/>
      <c r="AR65" s="1065"/>
      <c r="AS65" s="1079"/>
      <c r="AT65" s="1079"/>
      <c r="AU65" s="1079"/>
      <c r="AV65" s="1079"/>
      <c r="AW65" s="1079"/>
      <c r="AX65" s="1079"/>
      <c r="AY65" s="1079"/>
      <c r="AZ65" s="1071"/>
      <c r="BA65" s="157"/>
      <c r="BB65" s="157"/>
      <c r="BC65" s="890" t="s">
        <v>380</v>
      </c>
    </row>
    <row r="66" spans="1:55" s="1094" customFormat="1" ht="48" customHeight="1">
      <c r="A66" s="157"/>
      <c r="B66" s="157"/>
      <c r="C66" s="157"/>
      <c r="D66" s="157"/>
      <c r="E66" s="623">
        <v>49.5</v>
      </c>
      <c r="F66" s="714" t="str">
        <f t="shared" ca="1" si="13"/>
        <v>1</v>
      </c>
      <c r="G66" s="157"/>
      <c r="H66" s="150" t="s">
        <v>334</v>
      </c>
      <c r="I66" s="150" t="str">
        <f>AC66&amp;"::"&amp;AD66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J66" s="157"/>
      <c r="K66" s="157"/>
      <c r="L66" s="157"/>
      <c r="M66" s="157"/>
      <c r="N66" s="157"/>
      <c r="O66" s="157"/>
      <c r="P66" s="157"/>
      <c r="Q66" s="157"/>
      <c r="R66" s="157"/>
      <c r="S66" s="157"/>
      <c r="T66" s="157"/>
      <c r="U66" s="634" t="b">
        <f t="shared" si="14"/>
        <v>1</v>
      </c>
      <c r="V66" s="157"/>
      <c r="W66" s="157"/>
      <c r="X66" s="157"/>
      <c r="Y66" s="1403"/>
      <c r="Z66" s="1403"/>
      <c r="AA66" s="157"/>
      <c r="AB66" s="441" t="s">
        <v>381</v>
      </c>
      <c r="AC66" s="102" t="s">
        <v>382</v>
      </c>
      <c r="AD66" s="434" t="s">
        <v>341</v>
      </c>
      <c r="AE66" s="1095"/>
      <c r="AF66" s="217"/>
      <c r="AG66" s="1065"/>
      <c r="AH66" s="1065"/>
      <c r="AI66" s="1079"/>
      <c r="AJ66" s="1079"/>
      <c r="AK66" s="1079"/>
      <c r="AL66" s="1079"/>
      <c r="AM66" s="1079"/>
      <c r="AN66" s="1079"/>
      <c r="AO66" s="1079"/>
      <c r="AP66" s="217"/>
      <c r="AQ66" s="1065"/>
      <c r="AR66" s="1065"/>
      <c r="AS66" s="1079"/>
      <c r="AT66" s="1079"/>
      <c r="AU66" s="1079"/>
      <c r="AV66" s="1079"/>
      <c r="AW66" s="1079"/>
      <c r="AX66" s="1079"/>
      <c r="AY66" s="1079"/>
      <c r="AZ66" s="1071"/>
      <c r="BA66" s="157"/>
      <c r="BB66" s="157"/>
      <c r="BC66" s="890" t="s">
        <v>383</v>
      </c>
    </row>
    <row r="67" spans="1:55" s="157" customFormat="1" ht="11.1" customHeight="1">
      <c r="A67" s="988"/>
      <c r="B67" s="614"/>
      <c r="C67" s="113"/>
      <c r="D67" s="113"/>
      <c r="E67" s="623">
        <v>11.4</v>
      </c>
      <c r="F67" s="714"/>
      <c r="G67" s="150"/>
      <c r="H67" s="150"/>
      <c r="I67" s="150"/>
      <c r="J67" s="150"/>
      <c r="K67" s="150"/>
      <c r="L67" s="150"/>
      <c r="M67" s="150"/>
      <c r="N67" s="150"/>
      <c r="O67" s="150"/>
      <c r="P67" s="150"/>
      <c r="Q67" s="150"/>
      <c r="R67" s="150"/>
      <c r="S67" s="150"/>
      <c r="T67" s="150"/>
      <c r="U67" s="113"/>
      <c r="V67" s="113" t="s">
        <v>172</v>
      </c>
      <c r="W67" s="109" t="s">
        <v>384</v>
      </c>
      <c r="X67" s="113"/>
      <c r="Y67" s="113"/>
      <c r="Z67" s="113"/>
      <c r="AB67" s="131"/>
      <c r="AC67" s="131"/>
      <c r="AD67" s="131"/>
      <c r="AE67" s="137"/>
      <c r="AF67" s="131"/>
      <c r="AG67" s="131"/>
      <c r="AH67" s="131"/>
      <c r="AI67" s="131"/>
      <c r="AJ67" s="131"/>
      <c r="AK67" s="131"/>
      <c r="AL67" s="131"/>
      <c r="AM67" s="131"/>
      <c r="AN67" s="131"/>
      <c r="AO67" s="131"/>
      <c r="AP67" s="131"/>
      <c r="AQ67" s="131"/>
      <c r="AR67" s="131"/>
      <c r="AS67" s="131"/>
      <c r="AT67" s="131"/>
      <c r="AU67" s="131"/>
      <c r="AV67" s="131"/>
      <c r="AW67" s="131"/>
      <c r="AX67" s="131"/>
      <c r="AY67" s="131"/>
      <c r="AZ67" s="137"/>
      <c r="BA67" s="138"/>
      <c r="BC67" s="890"/>
    </row>
  </sheetData>
  <sheetProtection formatColumns="0" formatRows="0" insertRows="0" deleteColumns="0" deleteRows="0" sort="0" autoFilter="0"/>
  <mergeCells count="10">
    <mergeCell ref="Z47:Z66"/>
    <mergeCell ref="Y47:Y66"/>
    <mergeCell ref="Z27:Z46"/>
    <mergeCell ref="Y27:Y46"/>
    <mergeCell ref="AB22:AZ22"/>
    <mergeCell ref="AE23:AF23"/>
    <mergeCell ref="AZ24:AZ25"/>
    <mergeCell ref="AB24:AB25"/>
    <mergeCell ref="AC24:AC25"/>
    <mergeCell ref="AD24:AD25"/>
  </mergeCells>
  <dataValidations count="1">
    <dataValidation type="whole" allowBlank="1" showErrorMessage="1" errorTitle="Ошибка" error="Допускается ввод только неотрицательных целых чисел!" sqref="AE30:AY32 AE41:AY41 AE38:AY38 AE35:AY35 AE50 AF50 AG50 AH50 AI50 AJ50 AK50 AL50 AM50 AN50 AO50 AP50 AQ50 AR50 AS50 AT50 AU50 AV50 AW50 AX50 AY50 AE51 AF51 AG51 AH51 AI51 AJ51 AK51 AL51 AM51 AN51 AO51 AP51 AQ51 AR51 AS51 AT51 AU51 AV51 AW51 AX51 AY51 AE52 AF52 AG52 AH52 AI52 AJ52 AK52 AL52 AM52 AN52 AO52 AP52 AQ52 AR52 AS52 AT52 AU52 AV52 AW52 AX52 AY52 AE55 AF55 AG55 AH55 AI55 AJ55 AK55 AL55 AM55 AN55 AO55 AP55 AQ55 AR55 AS55 AT55 AU55 AV55 AW55 AX55 AY55 AE58 AF58 AG58 AH58 AI58 AJ58 AK58 AL58 AM58 AN58 AO58 AP58 AQ58 AR58 AS58 AT58 AU58 AV58 AW58 AX58 AY58 AE61 AF61 AG61 AH61 AI61 AJ61 AK61 AL61 AM61 AN61 AO61 AP61 AQ61 AR61 AS61 AT61 AU61 AV61 AW61 AX61 AY61">
      <formula1>0</formula1>
      <formula2>9.99999999999999E+23</formula2>
    </dataValidation>
  </dataValidations>
  <pageMargins left="0.35" right="0.35" top="0.4" bottom="0.4" header="0.51" footer="0.51"/>
  <pageSetup paperSize="9" scale="32" fitToHeight="0"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outlinePr summaryBelow="0" summaryRight="0"/>
    <pageSetUpPr fitToPage="1"/>
  </sheetPr>
  <dimension ref="A1:BE83"/>
  <sheetViews>
    <sheetView showGridLines="0" workbookViewId="0">
      <pane xSplit="30" ySplit="25" topLeftCell="AE26" activePane="bottomRight" state="frozen"/>
      <selection pane="topRight" activeCell="AE1" sqref="AE1"/>
      <selection pane="bottomLeft" activeCell="A26" sqref="A26"/>
      <selection pane="bottomRight" activeCell="AY81" sqref="AY81"/>
    </sheetView>
  </sheetViews>
  <sheetFormatPr defaultColWidth="9.140625" defaultRowHeight="11.25" customHeight="1"/>
  <cols>
    <col min="1" max="1" width="3.5703125" style="988" hidden="1" customWidth="1"/>
    <col min="2" max="2" width="8.5703125" style="718" hidden="1" customWidth="1"/>
    <col min="3" max="4" width="3.5703125" style="1012" hidden="1" customWidth="1"/>
    <col min="5" max="5" width="8.42578125" style="717" hidden="1" customWidth="1"/>
    <col min="6" max="16" width="3.5703125" style="1012" hidden="1" customWidth="1"/>
    <col min="17" max="18" width="3.5703125" style="714" hidden="1" customWidth="1"/>
    <col min="19" max="19" width="5.85546875" style="1012" hidden="1" customWidth="1"/>
    <col min="20" max="20" width="3.5703125" style="1012" hidden="1" customWidth="1"/>
    <col min="21" max="21" width="6.7109375" style="1012" hidden="1" customWidth="1"/>
    <col min="22" max="22" width="6" style="1012" hidden="1" customWidth="1"/>
    <col min="23" max="23" width="6.28515625" style="1012" hidden="1" customWidth="1"/>
    <col min="24" max="24" width="6.42578125" style="1012" hidden="1" customWidth="1"/>
    <col min="25" max="25" width="5.85546875" style="1012" hidden="1" customWidth="1"/>
    <col min="26" max="26" width="5.42578125" style="1012" hidden="1" customWidth="1"/>
    <col min="27" max="27" width="3" style="157" customWidth="1"/>
    <col min="28" max="28" width="6.140625" style="726" customWidth="1"/>
    <col min="29" max="29" width="52" style="148" customWidth="1"/>
    <col min="30" max="30" width="13.5703125" style="157" customWidth="1"/>
    <col min="31" max="31" width="15.140625" style="157" customWidth="1"/>
    <col min="32" max="40" width="15.140625" style="157" hidden="1" customWidth="1"/>
    <col min="41" max="41" width="15.140625" style="157" customWidth="1"/>
    <col min="42" max="50" width="15.140625" style="157" hidden="1" customWidth="1"/>
    <col min="51" max="51" width="3" style="157" customWidth="1"/>
    <col min="52" max="52" width="9.140625" style="157" hidden="1"/>
    <col min="53" max="55" width="9.140625" style="926" hidden="1"/>
    <col min="56" max="57" width="9.140625" style="894" hidden="1"/>
  </cols>
  <sheetData>
    <row r="1" spans="1:57" s="1012" customFormat="1" ht="12" hidden="1" customHeight="1">
      <c r="A1" s="988"/>
      <c r="B1" s="614"/>
      <c r="E1" s="614"/>
      <c r="F1" s="634" t="s">
        <v>77</v>
      </c>
      <c r="Q1" s="714"/>
      <c r="R1" s="714"/>
      <c r="U1" s="634" t="s">
        <v>78</v>
      </c>
      <c r="V1" s="634" t="s">
        <v>83</v>
      </c>
      <c r="W1" s="634" t="s">
        <v>79</v>
      </c>
      <c r="X1" s="634" t="s">
        <v>80</v>
      </c>
      <c r="Y1" s="634" t="s">
        <v>81</v>
      </c>
      <c r="Z1" s="634" t="s">
        <v>85</v>
      </c>
      <c r="AA1" s="634" t="s">
        <v>82</v>
      </c>
      <c r="AB1" s="634" t="s">
        <v>274</v>
      </c>
      <c r="AC1" s="634" t="s">
        <v>84</v>
      </c>
      <c r="BA1" s="890" t="s">
        <v>275</v>
      </c>
      <c r="BB1" s="890" t="s">
        <v>276</v>
      </c>
      <c r="BC1" s="890" t="s">
        <v>277</v>
      </c>
      <c r="BD1" s="894" t="s">
        <v>280</v>
      </c>
      <c r="BE1" s="894" t="s">
        <v>281</v>
      </c>
    </row>
    <row r="2" spans="1:57" s="718" customFormat="1" ht="12" hidden="1" customHeight="1">
      <c r="A2" s="990"/>
      <c r="B2" s="703" t="s">
        <v>15</v>
      </c>
      <c r="AC2" s="618"/>
      <c r="AF2" s="635" t="b">
        <f t="shared" ref="AF2:AX2" si="0">AF6&lt;=last_year_vis</f>
        <v>0</v>
      </c>
      <c r="AG2" s="635" t="b">
        <f t="shared" si="0"/>
        <v>0</v>
      </c>
      <c r="AH2" s="635" t="b">
        <f t="shared" si="0"/>
        <v>0</v>
      </c>
      <c r="AI2" s="635" t="b">
        <f t="shared" si="0"/>
        <v>0</v>
      </c>
      <c r="AJ2" s="635" t="b">
        <f t="shared" si="0"/>
        <v>0</v>
      </c>
      <c r="AK2" s="635" t="b">
        <f t="shared" si="0"/>
        <v>0</v>
      </c>
      <c r="AL2" s="635" t="b">
        <f t="shared" si="0"/>
        <v>0</v>
      </c>
      <c r="AM2" s="635" t="b">
        <f t="shared" si="0"/>
        <v>0</v>
      </c>
      <c r="AN2" s="635" t="b">
        <f t="shared" si="0"/>
        <v>0</v>
      </c>
      <c r="AO2" s="635" t="b">
        <f t="shared" si="0"/>
        <v>1</v>
      </c>
      <c r="AP2" s="635" t="b">
        <f t="shared" si="0"/>
        <v>0</v>
      </c>
      <c r="AQ2" s="635" t="b">
        <f t="shared" si="0"/>
        <v>0</v>
      </c>
      <c r="AR2" s="635" t="b">
        <f t="shared" si="0"/>
        <v>0</v>
      </c>
      <c r="AS2" s="635" t="b">
        <f t="shared" si="0"/>
        <v>0</v>
      </c>
      <c r="AT2" s="635" t="b">
        <f t="shared" si="0"/>
        <v>0</v>
      </c>
      <c r="AU2" s="635" t="b">
        <f t="shared" si="0"/>
        <v>0</v>
      </c>
      <c r="AV2" s="635" t="b">
        <f t="shared" si="0"/>
        <v>0</v>
      </c>
      <c r="AW2" s="635" t="b">
        <f t="shared" si="0"/>
        <v>0</v>
      </c>
      <c r="AX2" s="635" t="b">
        <f t="shared" si="0"/>
        <v>0</v>
      </c>
      <c r="BA2" s="889"/>
      <c r="BB2" s="889"/>
      <c r="BC2" s="889"/>
      <c r="BD2" s="895"/>
      <c r="BE2" s="895"/>
    </row>
    <row r="3" spans="1:57" s="1012" customFormat="1" ht="12" hidden="1" customHeight="1">
      <c r="A3" s="988"/>
      <c r="B3" s="614"/>
      <c r="E3" s="614"/>
      <c r="Q3" s="714"/>
      <c r="R3" s="714"/>
      <c r="AB3" s="116"/>
      <c r="AC3" s="109"/>
      <c r="BA3" s="890"/>
      <c r="BB3" s="890"/>
      <c r="BC3" s="890"/>
      <c r="BD3" s="894"/>
      <c r="BE3" s="894"/>
    </row>
    <row r="4" spans="1:57" s="1012" customFormat="1" ht="12" hidden="1" customHeight="1">
      <c r="A4" s="988"/>
      <c r="B4" s="614"/>
      <c r="E4" s="614"/>
      <c r="Q4" s="714"/>
      <c r="R4" s="714"/>
      <c r="AB4" s="116"/>
      <c r="AC4" s="109"/>
      <c r="BA4" s="890"/>
      <c r="BB4" s="890"/>
      <c r="BC4" s="890"/>
      <c r="BD4" s="894"/>
      <c r="BE4" s="894"/>
    </row>
    <row r="5" spans="1:57" s="717" customFormat="1" ht="12" hidden="1" customHeight="1">
      <c r="A5" s="990"/>
      <c r="B5" s="614"/>
      <c r="C5" s="614"/>
      <c r="D5" s="614"/>
      <c r="E5" s="623" t="s">
        <v>16</v>
      </c>
      <c r="AA5" s="629">
        <v>3</v>
      </c>
      <c r="AB5" s="623">
        <v>6.13</v>
      </c>
      <c r="AC5" s="629">
        <v>52</v>
      </c>
      <c r="AD5" s="623">
        <v>13.63</v>
      </c>
      <c r="AE5" s="623">
        <v>15.13</v>
      </c>
      <c r="AF5" s="623">
        <v>15.13</v>
      </c>
      <c r="AG5" s="623">
        <v>15.13</v>
      </c>
      <c r="AH5" s="623">
        <v>15.13</v>
      </c>
      <c r="AI5" s="623">
        <v>15.13</v>
      </c>
      <c r="AJ5" s="623">
        <v>15.13</v>
      </c>
      <c r="AK5" s="623">
        <v>15.13</v>
      </c>
      <c r="AL5" s="623">
        <v>15.13</v>
      </c>
      <c r="AM5" s="623">
        <v>15.13</v>
      </c>
      <c r="AN5" s="623">
        <v>15.13</v>
      </c>
      <c r="AO5" s="623">
        <v>15.13</v>
      </c>
      <c r="AP5" s="623">
        <v>15.13</v>
      </c>
      <c r="AQ5" s="623">
        <v>15.13</v>
      </c>
      <c r="AR5" s="623">
        <v>15.13</v>
      </c>
      <c r="AS5" s="623">
        <v>15.13</v>
      </c>
      <c r="AT5" s="623">
        <v>15.13</v>
      </c>
      <c r="AU5" s="623">
        <v>15.13</v>
      </c>
      <c r="AV5" s="623">
        <v>15.13</v>
      </c>
      <c r="AW5" s="623">
        <v>15.13</v>
      </c>
      <c r="AX5" s="623">
        <v>15.13</v>
      </c>
      <c r="AY5" s="623">
        <v>3</v>
      </c>
      <c r="BA5" s="889"/>
      <c r="BB5" s="889"/>
      <c r="BC5" s="889"/>
      <c r="BD5" s="895"/>
      <c r="BE5" s="895"/>
    </row>
    <row r="6" spans="1:57" s="1012" customFormat="1" ht="12" hidden="1" customHeight="1">
      <c r="A6" s="988"/>
      <c r="B6" s="614"/>
      <c r="E6" s="623"/>
      <c r="Q6" s="714"/>
      <c r="R6" s="714"/>
      <c r="AB6" s="116"/>
      <c r="AC6" s="109"/>
      <c r="AE6" s="113">
        <f>god</f>
        <v>2026</v>
      </c>
      <c r="AF6" s="113">
        <f>god+1</f>
        <v>2027</v>
      </c>
      <c r="AG6" s="113">
        <f>god+2</f>
        <v>2028</v>
      </c>
      <c r="AH6" s="113">
        <f>god+3</f>
        <v>2029</v>
      </c>
      <c r="AI6" s="113">
        <f>god+4</f>
        <v>2030</v>
      </c>
      <c r="AJ6" s="113">
        <f>god+5</f>
        <v>2031</v>
      </c>
      <c r="AK6" s="113">
        <f>god+6</f>
        <v>2032</v>
      </c>
      <c r="AL6" s="113">
        <f>god+7</f>
        <v>2033</v>
      </c>
      <c r="AM6" s="113">
        <f>god+8</f>
        <v>2034</v>
      </c>
      <c r="AN6" s="113">
        <f>god+9</f>
        <v>2035</v>
      </c>
      <c r="AO6" s="113">
        <f>god</f>
        <v>2026</v>
      </c>
      <c r="AP6" s="113">
        <f>god+1</f>
        <v>2027</v>
      </c>
      <c r="AQ6" s="113">
        <f>god+2</f>
        <v>2028</v>
      </c>
      <c r="AR6" s="113">
        <f>god+3</f>
        <v>2029</v>
      </c>
      <c r="AS6" s="113">
        <f>god+4</f>
        <v>2030</v>
      </c>
      <c r="AT6" s="113">
        <f>god+5</f>
        <v>2031</v>
      </c>
      <c r="AU6" s="113">
        <f>god+6</f>
        <v>2032</v>
      </c>
      <c r="AV6" s="113">
        <f>god+7</f>
        <v>2033</v>
      </c>
      <c r="AW6" s="113">
        <f>god+8</f>
        <v>2034</v>
      </c>
      <c r="AX6" s="113">
        <f>god+9</f>
        <v>2035</v>
      </c>
      <c r="BA6" s="890"/>
      <c r="BB6" s="890"/>
      <c r="BC6" s="890"/>
      <c r="BD6" s="894"/>
      <c r="BE6" s="894"/>
    </row>
    <row r="7" spans="1:57" s="394" customFormat="1" ht="12" hidden="1" customHeight="1">
      <c r="A7" s="988"/>
      <c r="B7" s="614"/>
      <c r="C7" s="113"/>
      <c r="D7" s="113"/>
      <c r="E7" s="623"/>
      <c r="G7" s="113"/>
      <c r="H7" s="113"/>
      <c r="I7" s="113"/>
      <c r="J7" s="113"/>
      <c r="K7" s="113"/>
      <c r="L7" s="113"/>
      <c r="M7" s="113"/>
      <c r="N7" s="113"/>
      <c r="O7" s="113"/>
      <c r="P7" s="113"/>
      <c r="Q7" s="714"/>
      <c r="R7" s="714"/>
      <c r="S7" s="113"/>
      <c r="T7" s="113"/>
      <c r="AB7" s="151"/>
      <c r="AC7" s="152"/>
      <c r="AE7" s="150" t="str">
        <f t="shared" ref="AE7:AX7" si="1">AE25</f>
        <v>Предложение организации</v>
      </c>
      <c r="AF7" s="150" t="str">
        <f t="shared" si="1"/>
        <v>Предложение организации</v>
      </c>
      <c r="AG7" s="150" t="str">
        <f t="shared" si="1"/>
        <v>Предложение организации</v>
      </c>
      <c r="AH7" s="150" t="str">
        <f t="shared" si="1"/>
        <v>Предложение организации</v>
      </c>
      <c r="AI7" s="150" t="str">
        <f t="shared" si="1"/>
        <v>Предложение организации</v>
      </c>
      <c r="AJ7" s="150" t="str">
        <f t="shared" si="1"/>
        <v>Предложение организации</v>
      </c>
      <c r="AK7" s="150" t="str">
        <f t="shared" si="1"/>
        <v>Предложение организации</v>
      </c>
      <c r="AL7" s="150" t="str">
        <f t="shared" si="1"/>
        <v>Предложение организации</v>
      </c>
      <c r="AM7" s="150" t="str">
        <f t="shared" si="1"/>
        <v>Предложение организации</v>
      </c>
      <c r="AN7" s="150" t="str">
        <f t="shared" si="1"/>
        <v>Предложение организации</v>
      </c>
      <c r="AO7" s="150" t="str">
        <f t="shared" si="1"/>
        <v>Принято органом регулирования</v>
      </c>
      <c r="AP7" s="150" t="str">
        <f t="shared" si="1"/>
        <v>Принято органом регулирования</v>
      </c>
      <c r="AQ7" s="150" t="str">
        <f t="shared" si="1"/>
        <v>Принято органом регулирования</v>
      </c>
      <c r="AR7" s="150" t="str">
        <f t="shared" si="1"/>
        <v>Принято органом регулирования</v>
      </c>
      <c r="AS7" s="150" t="str">
        <f t="shared" si="1"/>
        <v>Принято органом регулирования</v>
      </c>
      <c r="AT7" s="150" t="str">
        <f t="shared" si="1"/>
        <v>Принято органом регулирования</v>
      </c>
      <c r="AU7" s="150" t="str">
        <f t="shared" si="1"/>
        <v>Принято органом регулирования</v>
      </c>
      <c r="AV7" s="150" t="str">
        <f t="shared" si="1"/>
        <v>Принято органом регулирования</v>
      </c>
      <c r="AW7" s="150" t="str">
        <f t="shared" si="1"/>
        <v>Принято органом регулирования</v>
      </c>
      <c r="AX7" s="150" t="str">
        <f t="shared" si="1"/>
        <v>Принято органом регулирования</v>
      </c>
      <c r="BA7" s="890"/>
      <c r="BB7" s="890"/>
      <c r="BC7" s="890"/>
      <c r="BD7" s="894"/>
      <c r="BE7" s="894"/>
    </row>
    <row r="8" spans="1:57" s="394" customFormat="1" ht="12" hidden="1" customHeight="1">
      <c r="A8" s="988"/>
      <c r="B8" s="614"/>
      <c r="C8" s="113"/>
      <c r="D8" s="113"/>
      <c r="E8" s="623"/>
      <c r="G8" s="113"/>
      <c r="H8" s="113"/>
      <c r="I8" s="113"/>
      <c r="J8" s="113"/>
      <c r="K8" s="113"/>
      <c r="L8" s="113"/>
      <c r="M8" s="113"/>
      <c r="N8" s="113"/>
      <c r="O8" s="113"/>
      <c r="P8" s="113"/>
      <c r="Q8" s="714"/>
      <c r="R8" s="714"/>
      <c r="S8" s="113"/>
      <c r="T8" s="113"/>
      <c r="AB8" s="151"/>
      <c r="AC8" s="152"/>
      <c r="AE8" s="150" t="str">
        <f t="shared" ref="AE8:AX8" si="2">AE6&amp;AE7</f>
        <v>2026Предложение организации</v>
      </c>
      <c r="AF8" s="150" t="str">
        <f t="shared" si="2"/>
        <v>2027Предложение организации</v>
      </c>
      <c r="AG8" s="150" t="str">
        <f t="shared" si="2"/>
        <v>2028Предложение организации</v>
      </c>
      <c r="AH8" s="150" t="str">
        <f t="shared" si="2"/>
        <v>2029Предложение организации</v>
      </c>
      <c r="AI8" s="150" t="str">
        <f t="shared" si="2"/>
        <v>2030Предложение организации</v>
      </c>
      <c r="AJ8" s="150" t="str">
        <f t="shared" si="2"/>
        <v>2031Предложение организации</v>
      </c>
      <c r="AK8" s="150" t="str">
        <f t="shared" si="2"/>
        <v>2032Предложение организации</v>
      </c>
      <c r="AL8" s="150" t="str">
        <f t="shared" si="2"/>
        <v>2033Предложение организации</v>
      </c>
      <c r="AM8" s="150" t="str">
        <f t="shared" si="2"/>
        <v>2034Предложение организации</v>
      </c>
      <c r="AN8" s="150" t="str">
        <f t="shared" si="2"/>
        <v>2035Предложение организации</v>
      </c>
      <c r="AO8" s="150" t="str">
        <f t="shared" si="2"/>
        <v>2026Принято органом регулирования</v>
      </c>
      <c r="AP8" s="150" t="str">
        <f t="shared" si="2"/>
        <v>2027Принято органом регулирования</v>
      </c>
      <c r="AQ8" s="150" t="str">
        <f t="shared" si="2"/>
        <v>2028Принято органом регулирования</v>
      </c>
      <c r="AR8" s="150" t="str">
        <f t="shared" si="2"/>
        <v>2029Принято органом регулирования</v>
      </c>
      <c r="AS8" s="150" t="str">
        <f t="shared" si="2"/>
        <v>2030Принято органом регулирования</v>
      </c>
      <c r="AT8" s="150" t="str">
        <f t="shared" si="2"/>
        <v>2031Принято органом регулирования</v>
      </c>
      <c r="AU8" s="150" t="str">
        <f t="shared" si="2"/>
        <v>2032Принято органом регулирования</v>
      </c>
      <c r="AV8" s="150" t="str">
        <f t="shared" si="2"/>
        <v>2033Принято органом регулирования</v>
      </c>
      <c r="AW8" s="150" t="str">
        <f t="shared" si="2"/>
        <v>2034Принято органом регулирования</v>
      </c>
      <c r="AX8" s="150" t="str">
        <f t="shared" si="2"/>
        <v>2035Принято органом регулирования</v>
      </c>
      <c r="BA8" s="890"/>
      <c r="BB8" s="890"/>
      <c r="BC8" s="890"/>
      <c r="BD8" s="894"/>
      <c r="BE8" s="894"/>
    </row>
    <row r="9" spans="1:57" s="928" customFormat="1" ht="12" hidden="1" customHeight="1">
      <c r="A9" s="890" t="s">
        <v>327</v>
      </c>
      <c r="B9" s="878"/>
      <c r="E9" s="878"/>
      <c r="Q9" s="892"/>
      <c r="R9" s="892"/>
      <c r="AB9" s="879"/>
      <c r="AE9" s="891">
        <f>god</f>
        <v>2026</v>
      </c>
      <c r="AF9" s="891">
        <f>god+1</f>
        <v>2027</v>
      </c>
      <c r="AG9" s="891">
        <f>god+2</f>
        <v>2028</v>
      </c>
      <c r="AH9" s="891">
        <f>god+3</f>
        <v>2029</v>
      </c>
      <c r="AI9" s="891">
        <f>god+4</f>
        <v>2030</v>
      </c>
      <c r="AJ9" s="891">
        <f>god+5</f>
        <v>2031</v>
      </c>
      <c r="AK9" s="891">
        <f>god+6</f>
        <v>2032</v>
      </c>
      <c r="AL9" s="891">
        <f>god+7</f>
        <v>2033</v>
      </c>
      <c r="AM9" s="891">
        <f>god+8</f>
        <v>2034</v>
      </c>
      <c r="AN9" s="891">
        <f>god+9</f>
        <v>2035</v>
      </c>
      <c r="AO9" s="891">
        <f>god</f>
        <v>2026</v>
      </c>
      <c r="AP9" s="891">
        <f>god+1</f>
        <v>2027</v>
      </c>
      <c r="AQ9" s="891">
        <f>god+2</f>
        <v>2028</v>
      </c>
      <c r="AR9" s="891">
        <f>god+3</f>
        <v>2029</v>
      </c>
      <c r="AS9" s="891">
        <f>god+4</f>
        <v>2030</v>
      </c>
      <c r="AT9" s="891">
        <f>god+5</f>
        <v>2031</v>
      </c>
      <c r="AU9" s="891">
        <f>god+6</f>
        <v>2032</v>
      </c>
      <c r="AV9" s="891">
        <f>god+7</f>
        <v>2033</v>
      </c>
      <c r="AW9" s="891">
        <f>god+8</f>
        <v>2034</v>
      </c>
      <c r="AX9" s="891">
        <f>god+9</f>
        <v>2035</v>
      </c>
      <c r="BA9" s="890"/>
      <c r="BB9" s="890"/>
      <c r="BC9" s="890"/>
      <c r="BD9" s="890"/>
      <c r="BE9" s="890"/>
    </row>
    <row r="10" spans="1:57" s="928" customFormat="1" ht="12" hidden="1" customHeight="1">
      <c r="A10" s="890" t="s">
        <v>328</v>
      </c>
      <c r="B10" s="878"/>
      <c r="E10" s="878"/>
      <c r="Q10" s="892"/>
      <c r="R10" s="892"/>
      <c r="AB10" s="879"/>
      <c r="AE10" s="891" t="str">
        <f t="shared" ref="AE10:AX10" si="3">AE25</f>
        <v>Предложение организации</v>
      </c>
      <c r="AF10" s="891" t="str">
        <f t="shared" si="3"/>
        <v>Предложение организации</v>
      </c>
      <c r="AG10" s="891" t="str">
        <f t="shared" si="3"/>
        <v>Предложение организации</v>
      </c>
      <c r="AH10" s="891" t="str">
        <f t="shared" si="3"/>
        <v>Предложение организации</v>
      </c>
      <c r="AI10" s="891" t="str">
        <f t="shared" si="3"/>
        <v>Предложение организации</v>
      </c>
      <c r="AJ10" s="891" t="str">
        <f t="shared" si="3"/>
        <v>Предложение организации</v>
      </c>
      <c r="AK10" s="891" t="str">
        <f t="shared" si="3"/>
        <v>Предложение организации</v>
      </c>
      <c r="AL10" s="891" t="str">
        <f t="shared" si="3"/>
        <v>Предложение организации</v>
      </c>
      <c r="AM10" s="891" t="str">
        <f t="shared" si="3"/>
        <v>Предложение организации</v>
      </c>
      <c r="AN10" s="891" t="str">
        <f t="shared" si="3"/>
        <v>Предложение организации</v>
      </c>
      <c r="AO10" s="891" t="str">
        <f t="shared" si="3"/>
        <v>Принято органом регулирования</v>
      </c>
      <c r="AP10" s="891" t="str">
        <f t="shared" si="3"/>
        <v>Принято органом регулирования</v>
      </c>
      <c r="AQ10" s="891" t="str">
        <f t="shared" si="3"/>
        <v>Принято органом регулирования</v>
      </c>
      <c r="AR10" s="891" t="str">
        <f t="shared" si="3"/>
        <v>Принято органом регулирования</v>
      </c>
      <c r="AS10" s="891" t="str">
        <f t="shared" si="3"/>
        <v>Принято органом регулирования</v>
      </c>
      <c r="AT10" s="891" t="str">
        <f t="shared" si="3"/>
        <v>Принято органом регулирования</v>
      </c>
      <c r="AU10" s="891" t="str">
        <f t="shared" si="3"/>
        <v>Принято органом регулирования</v>
      </c>
      <c r="AV10" s="891" t="str">
        <f t="shared" si="3"/>
        <v>Принято органом регулирования</v>
      </c>
      <c r="AW10" s="891" t="str">
        <f t="shared" si="3"/>
        <v>Принято органом регулирования</v>
      </c>
      <c r="AX10" s="891" t="str">
        <f t="shared" si="3"/>
        <v>Принято органом регулирования</v>
      </c>
      <c r="BA10" s="890"/>
      <c r="BB10" s="890"/>
      <c r="BC10" s="890"/>
      <c r="BD10" s="890"/>
      <c r="BE10" s="890"/>
    </row>
    <row r="11" spans="1:57" s="928" customFormat="1" ht="12" hidden="1" customHeight="1">
      <c r="A11" s="890" t="s">
        <v>286</v>
      </c>
      <c r="B11" s="878"/>
      <c r="E11" s="878"/>
      <c r="Q11" s="892"/>
      <c r="R11" s="892"/>
      <c r="AB11" s="879"/>
      <c r="AC11" s="893" t="s">
        <v>277</v>
      </c>
      <c r="BA11" s="890"/>
      <c r="BB11" s="890"/>
      <c r="BC11" s="890"/>
      <c r="BD11" s="890"/>
      <c r="BE11" s="890"/>
    </row>
    <row r="12" spans="1:57" s="1012" customFormat="1" ht="12" hidden="1" customHeight="1">
      <c r="A12" s="988"/>
      <c r="B12" s="614"/>
      <c r="E12" s="623"/>
      <c r="Q12" s="714"/>
      <c r="R12" s="714"/>
      <c r="AB12" s="116"/>
      <c r="AC12" s="109"/>
      <c r="BA12" s="890"/>
      <c r="BB12" s="890"/>
      <c r="BC12" s="890"/>
      <c r="BD12" s="894"/>
      <c r="BE12" s="894"/>
    </row>
    <row r="13" spans="1:57" s="1012" customFormat="1" ht="12" hidden="1" customHeight="1">
      <c r="A13" s="988"/>
      <c r="B13" s="614"/>
      <c r="E13" s="623"/>
      <c r="Q13" s="714"/>
      <c r="R13" s="714"/>
      <c r="AB13" s="116"/>
      <c r="AC13" s="109"/>
      <c r="BA13" s="890"/>
      <c r="BB13" s="890"/>
      <c r="BC13" s="890"/>
      <c r="BD13" s="894"/>
      <c r="BE13" s="894"/>
    </row>
    <row r="14" spans="1:57" s="1012" customFormat="1" ht="12" hidden="1" customHeight="1">
      <c r="A14" s="988"/>
      <c r="B14" s="614"/>
      <c r="E14" s="623"/>
      <c r="Q14" s="714"/>
      <c r="R14" s="714"/>
      <c r="AB14" s="116"/>
      <c r="AC14" s="109"/>
      <c r="BA14" s="890"/>
      <c r="BB14" s="890"/>
      <c r="BC14" s="890"/>
      <c r="BD14" s="894"/>
      <c r="BE14" s="894"/>
    </row>
    <row r="15" spans="1:57" s="1012" customFormat="1" ht="12" hidden="1" customHeight="1">
      <c r="A15" s="988"/>
      <c r="B15" s="614"/>
      <c r="E15" s="623"/>
      <c r="Q15" s="714"/>
      <c r="R15" s="714"/>
      <c r="AB15" s="116"/>
      <c r="AC15" s="109"/>
      <c r="BA15" s="890"/>
      <c r="BB15" s="890"/>
      <c r="BC15" s="890"/>
      <c r="BD15" s="894"/>
      <c r="BE15" s="894"/>
    </row>
    <row r="16" spans="1:57" s="1012" customFormat="1" ht="12" hidden="1" customHeight="1">
      <c r="A16" s="988"/>
      <c r="B16" s="614"/>
      <c r="E16" s="623"/>
      <c r="Q16" s="714"/>
      <c r="R16" s="714"/>
      <c r="AB16" s="116"/>
      <c r="AC16" s="109"/>
      <c r="BA16" s="890"/>
      <c r="BB16" s="890"/>
      <c r="BC16" s="890"/>
      <c r="BD16" s="894"/>
      <c r="BE16" s="894"/>
    </row>
    <row r="17" spans="1:57" s="1012" customFormat="1" ht="12" hidden="1" customHeight="1">
      <c r="A17" s="988"/>
      <c r="B17" s="614"/>
      <c r="E17" s="623"/>
      <c r="Q17" s="714"/>
      <c r="R17" s="714"/>
      <c r="AB17" s="116"/>
      <c r="AC17" s="109"/>
      <c r="BA17" s="890"/>
      <c r="BB17" s="890"/>
      <c r="BC17" s="890"/>
      <c r="BD17" s="894"/>
      <c r="BE17" s="894"/>
    </row>
    <row r="18" spans="1:57" s="1012" customFormat="1" ht="12" hidden="1" customHeight="1">
      <c r="A18" s="997" t="s">
        <v>385</v>
      </c>
      <c r="B18" s="614"/>
      <c r="E18" s="623"/>
      <c r="Q18" s="714"/>
      <c r="R18" s="714"/>
      <c r="AB18" s="116"/>
      <c r="AC18" s="109" t="s">
        <v>386</v>
      </c>
      <c r="BA18" s="890"/>
      <c r="BB18" s="890"/>
      <c r="BC18" s="890"/>
      <c r="BD18" s="894"/>
      <c r="BE18" s="894"/>
    </row>
    <row r="19" spans="1:57" s="1012" customFormat="1" ht="12" hidden="1" customHeight="1">
      <c r="A19" s="988"/>
      <c r="B19" s="614"/>
      <c r="E19" s="623"/>
      <c r="Q19" s="714"/>
      <c r="R19" s="714"/>
      <c r="AB19" s="116"/>
      <c r="AC19" s="109"/>
      <c r="BA19" s="890"/>
      <c r="BB19" s="890"/>
      <c r="BC19" s="890"/>
      <c r="BD19" s="894"/>
      <c r="BE19" s="894"/>
    </row>
    <row r="20" spans="1:57" s="1012" customFormat="1" ht="12" hidden="1" customHeight="1">
      <c r="A20" s="988"/>
      <c r="B20" s="614"/>
      <c r="E20" s="623"/>
      <c r="Q20" s="714"/>
      <c r="R20" s="714"/>
      <c r="AB20" s="116"/>
      <c r="AC20" s="109"/>
      <c r="BA20" s="890"/>
      <c r="BB20" s="890"/>
      <c r="BC20" s="890"/>
      <c r="BD20" s="894"/>
      <c r="BE20" s="894"/>
    </row>
    <row r="21" spans="1:57" ht="14.65" customHeight="1">
      <c r="E21" s="623">
        <v>15</v>
      </c>
      <c r="AA21" s="646"/>
      <c r="AC21" s="315" t="str">
        <f>tpl_title</f>
        <v>Кемеровская область / 2026 / АО "СУЭК-Кузбасс" (ИНН:4212024138, КПП:421201001) / ДПР: 2024-2028</v>
      </c>
      <c r="AD21" s="731"/>
    </row>
    <row r="22" spans="1:57" ht="21.95" customHeight="1">
      <c r="E22" s="623">
        <v>22.5</v>
      </c>
      <c r="AB22" s="304" t="s">
        <v>29</v>
      </c>
      <c r="AC22" s="204"/>
      <c r="AD22" s="204"/>
      <c r="AE22" s="205"/>
      <c r="AF22" s="205"/>
      <c r="AG22" s="205"/>
      <c r="AH22" s="205"/>
      <c r="AI22" s="205"/>
      <c r="AJ22" s="205"/>
      <c r="AK22" s="205"/>
      <c r="AL22" s="205"/>
      <c r="AM22" s="205"/>
      <c r="AN22" s="205"/>
      <c r="AO22" s="205"/>
      <c r="AP22" s="205"/>
      <c r="AQ22" s="205"/>
      <c r="AR22" s="205"/>
      <c r="AS22" s="205"/>
      <c r="AT22" s="205"/>
      <c r="AU22" s="205"/>
      <c r="AV22" s="205"/>
      <c r="AW22" s="205"/>
      <c r="AX22" s="205"/>
    </row>
    <row r="23" spans="1:57" s="158" customFormat="1" ht="11.1" customHeight="1">
      <c r="A23" s="988"/>
      <c r="B23" s="614"/>
      <c r="C23" s="113"/>
      <c r="D23" s="113"/>
      <c r="E23" s="623">
        <v>11.4</v>
      </c>
      <c r="F23" s="113"/>
      <c r="G23" s="113"/>
      <c r="H23" s="113"/>
      <c r="I23" s="113"/>
      <c r="J23" s="113"/>
      <c r="K23" s="113"/>
      <c r="L23" s="113"/>
      <c r="M23" s="113"/>
      <c r="N23" s="113"/>
      <c r="O23" s="113"/>
      <c r="P23" s="113"/>
      <c r="Q23" s="714"/>
      <c r="R23" s="714"/>
      <c r="S23" s="113"/>
      <c r="T23" s="113"/>
      <c r="U23" s="113"/>
      <c r="V23" s="113"/>
      <c r="W23" s="113"/>
      <c r="X23" s="113"/>
      <c r="Y23" s="113"/>
      <c r="Z23" s="113"/>
      <c r="AA23" s="711"/>
      <c r="AB23" s="139"/>
      <c r="AC23" s="140"/>
      <c r="AD23" s="141"/>
      <c r="BA23" s="890"/>
      <c r="BB23" s="890"/>
      <c r="BC23" s="890"/>
      <c r="BD23" s="894"/>
      <c r="BE23" s="894"/>
    </row>
    <row r="24" spans="1:57" ht="14.65" customHeight="1">
      <c r="E24" s="623">
        <v>15</v>
      </c>
      <c r="AB24" s="1409" t="s">
        <v>288</v>
      </c>
      <c r="AC24" s="1409" t="s">
        <v>386</v>
      </c>
      <c r="AD24" s="1411" t="s">
        <v>331</v>
      </c>
      <c r="AE24" s="1003" t="str">
        <f>god&amp;" год"</f>
        <v>2026 год</v>
      </c>
      <c r="AF24" s="1004" t="str">
        <f>god+1&amp;" год"</f>
        <v>2027 год</v>
      </c>
      <c r="AG24" s="1003" t="str">
        <f>god+2&amp;" год"</f>
        <v>2028 год</v>
      </c>
      <c r="AH24" s="1003" t="str">
        <f>god+3&amp;" год"</f>
        <v>2029 год</v>
      </c>
      <c r="AI24" s="1003" t="str">
        <f>god+4&amp;" год"</f>
        <v>2030 год</v>
      </c>
      <c r="AJ24" s="1003" t="str">
        <f>god+5&amp;" год"</f>
        <v>2031 год</v>
      </c>
      <c r="AK24" s="1003" t="str">
        <f>god+6&amp;" год"</f>
        <v>2032 год</v>
      </c>
      <c r="AL24" s="1003" t="str">
        <f>god+7&amp;" год"</f>
        <v>2033 год</v>
      </c>
      <c r="AM24" s="1003" t="str">
        <f>god+8&amp;" год"</f>
        <v>2034 год</v>
      </c>
      <c r="AN24" s="1003" t="str">
        <f>god+9&amp;" год"</f>
        <v>2035 год</v>
      </c>
      <c r="AO24" s="107" t="str">
        <f>god&amp;" год"</f>
        <v>2026 год</v>
      </c>
      <c r="AP24" s="107" t="str">
        <f>god+1&amp;" год"</f>
        <v>2027 год</v>
      </c>
      <c r="AQ24" s="107" t="str">
        <f>god+2&amp;" год"</f>
        <v>2028 год</v>
      </c>
      <c r="AR24" s="107" t="str">
        <f>god+3&amp;" год"</f>
        <v>2029 год</v>
      </c>
      <c r="AS24" s="107" t="str">
        <f>god+4&amp;" год"</f>
        <v>2030 год</v>
      </c>
      <c r="AT24" s="107" t="str">
        <f>god+5&amp;" год"</f>
        <v>2031 год</v>
      </c>
      <c r="AU24" s="107" t="str">
        <f>god+6&amp;" год"</f>
        <v>2032 год</v>
      </c>
      <c r="AV24" s="107" t="str">
        <f>god+7&amp;" год"</f>
        <v>2033 год</v>
      </c>
      <c r="AW24" s="107" t="str">
        <f>god+8&amp;" год"</f>
        <v>2034 год</v>
      </c>
      <c r="AX24" s="107" t="str">
        <f>god+9&amp;" год"</f>
        <v>2035 год</v>
      </c>
    </row>
    <row r="25" spans="1:57" ht="67.349999999999994" customHeight="1">
      <c r="E25" s="623">
        <v>69</v>
      </c>
      <c r="AB25" s="1410"/>
      <c r="AC25" s="1409"/>
      <c r="AD25" s="1411"/>
      <c r="AE25" s="1003" t="s">
        <v>305</v>
      </c>
      <c r="AF25" s="1004" t="s">
        <v>305</v>
      </c>
      <c r="AG25" s="1003" t="s">
        <v>305</v>
      </c>
      <c r="AH25" s="1003" t="s">
        <v>305</v>
      </c>
      <c r="AI25" s="1003" t="s">
        <v>305</v>
      </c>
      <c r="AJ25" s="1003" t="s">
        <v>305</v>
      </c>
      <c r="AK25" s="1003" t="s">
        <v>305</v>
      </c>
      <c r="AL25" s="1003" t="s">
        <v>305</v>
      </c>
      <c r="AM25" s="1003" t="s">
        <v>305</v>
      </c>
      <c r="AN25" s="1003" t="s">
        <v>305</v>
      </c>
      <c r="AO25" s="107" t="s">
        <v>304</v>
      </c>
      <c r="AP25" s="107" t="s">
        <v>304</v>
      </c>
      <c r="AQ25" s="107" t="s">
        <v>304</v>
      </c>
      <c r="AR25" s="107" t="s">
        <v>304</v>
      </c>
      <c r="AS25" s="107" t="s">
        <v>304</v>
      </c>
      <c r="AT25" s="107" t="s">
        <v>304</v>
      </c>
      <c r="AU25" s="107" t="s">
        <v>304</v>
      </c>
      <c r="AV25" s="107" t="s">
        <v>304</v>
      </c>
      <c r="AW25" s="107" t="s">
        <v>304</v>
      </c>
      <c r="AX25" s="107" t="s">
        <v>304</v>
      </c>
    </row>
    <row r="26" spans="1:57" ht="23.45" customHeight="1">
      <c r="E26" s="623">
        <v>24</v>
      </c>
      <c r="AB26" s="96"/>
      <c r="AC26" s="659" t="s">
        <v>387</v>
      </c>
      <c r="AD26" s="146" t="s">
        <v>388</v>
      </c>
      <c r="AE26" s="971">
        <v>1.2</v>
      </c>
      <c r="AF26" s="1096"/>
      <c r="AG26" s="1096"/>
      <c r="AH26" s="1096"/>
      <c r="AI26" s="1096"/>
      <c r="AJ26" s="1096"/>
      <c r="AK26" s="1096"/>
      <c r="AL26" s="1096"/>
      <c r="AM26" s="1096"/>
      <c r="AN26" s="1096"/>
      <c r="AO26" s="971">
        <v>1.22</v>
      </c>
      <c r="AP26" s="1096"/>
      <c r="AQ26" s="1096"/>
      <c r="AR26" s="1096"/>
      <c r="AS26" s="1096"/>
      <c r="AT26" s="1096"/>
      <c r="AU26" s="1096"/>
      <c r="AV26" s="1096"/>
      <c r="AW26" s="1096"/>
      <c r="AX26" s="1096"/>
    </row>
    <row r="27" spans="1:57" ht="23.25" hidden="1" customHeight="1">
      <c r="E27" s="623">
        <v>0</v>
      </c>
      <c r="AB27" s="291"/>
      <c r="AC27" s="291"/>
      <c r="AD27" s="291"/>
      <c r="AE27" s="109"/>
      <c r="AF27" s="109"/>
      <c r="AG27" s="109"/>
      <c r="AH27" s="109"/>
      <c r="AI27" s="109"/>
      <c r="AJ27" s="109"/>
      <c r="AK27" s="109"/>
      <c r="AL27" s="109"/>
      <c r="AM27" s="109"/>
      <c r="AN27" s="109"/>
      <c r="AO27" s="109"/>
      <c r="AP27" s="109"/>
      <c r="AQ27" s="109"/>
      <c r="AR27" s="109"/>
      <c r="AS27" s="109"/>
      <c r="AT27" s="109"/>
      <c r="AU27" s="109"/>
      <c r="AV27" s="109"/>
      <c r="AW27" s="109"/>
      <c r="AX27" s="109"/>
    </row>
    <row r="28" spans="1:57" s="152" customFormat="1" ht="11.1" hidden="1" customHeight="1">
      <c r="E28" s="629">
        <v>11.4</v>
      </c>
      <c r="F28" s="714">
        <f>Y28</f>
        <v>0</v>
      </c>
      <c r="U28" s="715" t="b">
        <f>F28&gt;0</f>
        <v>0</v>
      </c>
      <c r="W28" s="109" t="s">
        <v>228</v>
      </c>
      <c r="Y28" s="1400">
        <v>0</v>
      </c>
      <c r="Z28" s="1412"/>
      <c r="AB28" s="200" t="str">
        <f>INDEX('Общие сведения'!$AG$169:$AG$202,MATCH($F28,'Общие сведения'!$Z$169:$Z$202,0))</f>
        <v>Тариф 0 (Теплоснабжение) - Тарифы на теплоноситель</v>
      </c>
      <c r="AC28" s="197"/>
      <c r="AD28" s="191"/>
      <c r="AE28" s="191"/>
      <c r="AF28" s="191"/>
      <c r="AG28" s="191"/>
      <c r="AH28" s="191"/>
      <c r="AI28" s="191"/>
      <c r="AJ28" s="191"/>
      <c r="AK28" s="191"/>
      <c r="AL28" s="191"/>
      <c r="AM28" s="191"/>
      <c r="AN28" s="191"/>
      <c r="AO28" s="191"/>
      <c r="AP28" s="191"/>
      <c r="AQ28" s="191"/>
      <c r="AR28" s="191"/>
      <c r="AS28" s="191"/>
      <c r="AT28" s="191"/>
      <c r="AU28" s="191"/>
      <c r="AV28" s="191"/>
      <c r="AW28" s="191"/>
      <c r="AX28" s="191"/>
      <c r="BA28" s="890"/>
      <c r="BB28" s="896"/>
      <c r="BC28" s="896"/>
      <c r="BD28" s="897"/>
      <c r="BE28" s="897"/>
    </row>
    <row r="29" spans="1:57" ht="11.1" hidden="1" customHeight="1">
      <c r="E29" s="623">
        <v>11.4</v>
      </c>
      <c r="F29" s="714">
        <f t="shared" ref="F29:F54" ca="1" si="4">OFFSET(G29,-1,-1)</f>
        <v>0</v>
      </c>
      <c r="U29" s="715" t="b">
        <f ca="1">F29&gt;0</f>
        <v>0</v>
      </c>
      <c r="Y29" s="1405"/>
      <c r="Z29" s="1405"/>
      <c r="AB29" s="268"/>
      <c r="AC29" s="269" t="s">
        <v>389</v>
      </c>
      <c r="AD29" s="270"/>
      <c r="AE29" s="296"/>
      <c r="AF29" s="296"/>
      <c r="AG29" s="296"/>
      <c r="AH29" s="296"/>
      <c r="AI29" s="296"/>
      <c r="AJ29" s="296"/>
      <c r="AK29" s="296"/>
      <c r="AL29" s="296"/>
      <c r="AM29" s="296"/>
      <c r="AN29" s="296"/>
      <c r="AO29" s="296"/>
      <c r="AP29" s="296"/>
      <c r="AQ29" s="296"/>
      <c r="AR29" s="296"/>
      <c r="AS29" s="296"/>
      <c r="AT29" s="296"/>
      <c r="AU29" s="296"/>
      <c r="AV29" s="296"/>
      <c r="AW29" s="296"/>
      <c r="AX29" s="296"/>
    </row>
    <row r="30" spans="1:57" ht="16.7" hidden="1" customHeight="1">
      <c r="E30" s="623">
        <v>17.100000000000001</v>
      </c>
      <c r="F30" s="714">
        <f t="shared" ca="1" si="4"/>
        <v>0</v>
      </c>
      <c r="G30" s="714" t="s">
        <v>390</v>
      </c>
      <c r="H30" s="113" t="s">
        <v>391</v>
      </c>
      <c r="U30" s="803" t="b">
        <f ca="1">AND(F30&gt;0,method_reg&lt;&gt;"Метод экономически обоснованных расходов")</f>
        <v>0</v>
      </c>
      <c r="Y30" s="1405"/>
      <c r="Z30" s="1405"/>
      <c r="AB30" s="143">
        <v>1</v>
      </c>
      <c r="AC30" s="144" t="s">
        <v>392</v>
      </c>
      <c r="AD30" s="146" t="s">
        <v>388</v>
      </c>
      <c r="AE30" s="16">
        <v>1</v>
      </c>
      <c r="AF30" s="1097">
        <v>1</v>
      </c>
      <c r="AG30" s="1097">
        <v>1</v>
      </c>
      <c r="AH30" s="16">
        <v>1</v>
      </c>
      <c r="AI30" s="16">
        <v>1</v>
      </c>
      <c r="AJ30" s="16">
        <v>1</v>
      </c>
      <c r="AK30" s="16">
        <v>1</v>
      </c>
      <c r="AL30" s="16">
        <v>1</v>
      </c>
      <c r="AM30" s="16">
        <v>1</v>
      </c>
      <c r="AN30" s="16">
        <v>1</v>
      </c>
      <c r="AO30" s="669">
        <v>1</v>
      </c>
      <c r="AP30" s="1097">
        <v>1</v>
      </c>
      <c r="AQ30" s="1097">
        <v>1</v>
      </c>
      <c r="AR30" s="16">
        <v>1</v>
      </c>
      <c r="AS30" s="16">
        <v>1</v>
      </c>
      <c r="AT30" s="16">
        <v>1</v>
      </c>
      <c r="AU30" s="16">
        <v>1</v>
      </c>
      <c r="AV30" s="16">
        <v>1</v>
      </c>
      <c r="AW30" s="16">
        <v>1</v>
      </c>
      <c r="AX30" s="16">
        <v>1</v>
      </c>
      <c r="BA30" s="890" t="s">
        <v>393</v>
      </c>
    </row>
    <row r="31" spans="1:57" ht="29.25" hidden="1" customHeight="1">
      <c r="E31" s="623">
        <v>30</v>
      </c>
      <c r="F31" s="714">
        <f t="shared" ca="1" si="4"/>
        <v>0</v>
      </c>
      <c r="H31" s="113" t="s">
        <v>394</v>
      </c>
      <c r="U31" s="803" t="b">
        <f ca="1">AND(F31&gt;0,method_reg&lt;&gt;"Метод экономически обоснованных расходов")</f>
        <v>0</v>
      </c>
      <c r="Y31" s="1405"/>
      <c r="Z31" s="1405"/>
      <c r="AB31" s="662" t="s">
        <v>343</v>
      </c>
      <c r="AC31" s="663" t="s">
        <v>395</v>
      </c>
      <c r="AD31" s="664"/>
      <c r="AE31" s="17"/>
      <c r="AF31" s="17"/>
      <c r="AG31" s="17"/>
      <c r="AH31" s="17"/>
      <c r="AI31" s="17"/>
      <c r="AJ31" s="17"/>
      <c r="AK31" s="17"/>
      <c r="AL31" s="17"/>
      <c r="AM31" s="17"/>
      <c r="AN31" s="17"/>
      <c r="AO31" s="17"/>
      <c r="AP31" s="17"/>
      <c r="AQ31" s="17"/>
      <c r="AR31" s="17"/>
      <c r="AS31" s="17"/>
      <c r="AT31" s="17"/>
      <c r="AU31" s="17"/>
      <c r="AV31" s="17"/>
      <c r="AW31" s="17"/>
      <c r="AX31" s="17"/>
    </row>
    <row r="32" spans="1:57" ht="17.25" hidden="1" customHeight="1">
      <c r="E32" s="623">
        <v>0</v>
      </c>
      <c r="F32" s="714">
        <f t="shared" ca="1" si="4"/>
        <v>0</v>
      </c>
      <c r="U32" s="803" t="b">
        <f ca="1">AND(F32&gt;0,method_reg&lt;&gt;"Метод экономически обоснованных расходов")</f>
        <v>0</v>
      </c>
      <c r="Y32" s="1405"/>
      <c r="Z32" s="1405"/>
      <c r="AB32" s="665"/>
      <c r="AC32" s="663"/>
      <c r="AD32" s="664"/>
      <c r="AE32" s="17"/>
      <c r="AF32" s="17"/>
      <c r="AG32" s="17"/>
      <c r="AH32" s="17"/>
      <c r="AI32" s="17"/>
      <c r="AJ32" s="17"/>
      <c r="AK32" s="17"/>
      <c r="AL32" s="17"/>
      <c r="AM32" s="17"/>
      <c r="AN32" s="17"/>
      <c r="AO32" s="17"/>
      <c r="AP32" s="17"/>
      <c r="AQ32" s="17"/>
      <c r="AR32" s="17"/>
      <c r="AS32" s="17"/>
      <c r="AT32" s="17"/>
      <c r="AU32" s="17"/>
      <c r="AV32" s="17"/>
      <c r="AW32" s="17"/>
      <c r="AX32" s="17"/>
    </row>
    <row r="33" spans="5:57" ht="16.7" hidden="1" customHeight="1">
      <c r="E33" s="623">
        <v>17.100000000000001</v>
      </c>
      <c r="F33" s="714">
        <f t="shared" ca="1" si="4"/>
        <v>0</v>
      </c>
      <c r="U33" s="803" t="b">
        <f ca="1">AND(F33&gt;0,AB33&lt;&gt;"2.0",method_reg&lt;&gt;"Метод экономически обоснованных расходов")</f>
        <v>0</v>
      </c>
      <c r="X33" s="113" t="s">
        <v>170</v>
      </c>
      <c r="Y33" s="1405"/>
      <c r="Z33" s="1405"/>
      <c r="AA33" s="709" t="s">
        <v>157</v>
      </c>
      <c r="AB33" s="691" t="s">
        <v>396</v>
      </c>
      <c r="AC33" s="18"/>
      <c r="AD33" s="692" t="s">
        <v>388</v>
      </c>
      <c r="AE33" s="19"/>
      <c r="AF33" s="1098"/>
      <c r="AG33" s="1098"/>
      <c r="AH33" s="19"/>
      <c r="AI33" s="19"/>
      <c r="AJ33" s="19"/>
      <c r="AK33" s="19"/>
      <c r="AL33" s="19"/>
      <c r="AM33" s="19"/>
      <c r="AN33" s="19"/>
      <c r="AO33" s="972"/>
      <c r="AP33" s="1098"/>
      <c r="AQ33" s="1098"/>
      <c r="AR33" s="19"/>
      <c r="AS33" s="19"/>
      <c r="AT33" s="19"/>
      <c r="AU33" s="19"/>
      <c r="AV33" s="19"/>
      <c r="AW33" s="19"/>
      <c r="AX33" s="19"/>
      <c r="BA33" s="890" t="s">
        <v>397</v>
      </c>
      <c r="BB33" s="890" t="s">
        <v>398</v>
      </c>
      <c r="BC33" s="890">
        <f>AC33</f>
        <v>0</v>
      </c>
      <c r="BE33" s="894" t="b">
        <v>1</v>
      </c>
    </row>
    <row r="34" spans="5:57" ht="16.7" hidden="1" customHeight="1">
      <c r="E34" s="623">
        <v>17.100000000000001</v>
      </c>
      <c r="F34" s="714">
        <f t="shared" ca="1" si="4"/>
        <v>0</v>
      </c>
      <c r="U34" s="803" t="b">
        <f ca="1">AND(F34&gt;0,method_reg&lt;&gt;"Метод экономически обоснованных расходов")</f>
        <v>0</v>
      </c>
      <c r="X34" s="756" t="s">
        <v>399</v>
      </c>
      <c r="Y34" s="1405"/>
      <c r="Z34" s="1405"/>
      <c r="AB34" s="236"/>
      <c r="AC34" s="562" t="s">
        <v>172</v>
      </c>
      <c r="AD34" s="237"/>
      <c r="AE34" s="237"/>
      <c r="AF34" s="237"/>
      <c r="AG34" s="237"/>
      <c r="AH34" s="237"/>
      <c r="AI34" s="237"/>
      <c r="AJ34" s="237"/>
      <c r="AK34" s="237"/>
      <c r="AL34" s="237"/>
      <c r="AM34" s="237"/>
      <c r="AN34" s="237"/>
      <c r="AO34" s="237"/>
      <c r="AP34" s="237"/>
      <c r="AQ34" s="237"/>
      <c r="AR34" s="237"/>
      <c r="AS34" s="237"/>
      <c r="AT34" s="237"/>
      <c r="AU34" s="237"/>
      <c r="AV34" s="237"/>
      <c r="AW34" s="237"/>
      <c r="AX34" s="238"/>
      <c r="BD34" s="894" t="s">
        <v>398</v>
      </c>
    </row>
    <row r="35" spans="5:57" ht="16.7" hidden="1" customHeight="1">
      <c r="E35" s="623">
        <v>17.100000000000001</v>
      </c>
      <c r="F35" s="714">
        <f t="shared" ca="1" si="4"/>
        <v>0</v>
      </c>
      <c r="G35" s="714" t="s">
        <v>400</v>
      </c>
      <c r="H35" s="113" t="s">
        <v>401</v>
      </c>
      <c r="U35" s="715" t="b">
        <f t="shared" ref="U35:U47" ca="1" si="5">F35&gt;0</f>
        <v>0</v>
      </c>
      <c r="Y35" s="1405"/>
      <c r="Z35" s="1405"/>
      <c r="AB35" s="693">
        <v>3</v>
      </c>
      <c r="AC35" s="694" t="s">
        <v>402</v>
      </c>
      <c r="AD35" s="695" t="s">
        <v>388</v>
      </c>
      <c r="AE35" s="20"/>
      <c r="AF35" s="1096"/>
      <c r="AG35" s="1096"/>
      <c r="AH35" s="20"/>
      <c r="AI35" s="20"/>
      <c r="AJ35" s="20"/>
      <c r="AK35" s="20"/>
      <c r="AL35" s="20"/>
      <c r="AM35" s="20"/>
      <c r="AN35" s="20"/>
      <c r="AO35" s="971"/>
      <c r="AP35" s="1096"/>
      <c r="AQ35" s="1096"/>
      <c r="AR35" s="20"/>
      <c r="AS35" s="20"/>
      <c r="AT35" s="20"/>
      <c r="AU35" s="20"/>
      <c r="AV35" s="20"/>
      <c r="AW35" s="20"/>
      <c r="AX35" s="20"/>
      <c r="BA35" s="890" t="s">
        <v>403</v>
      </c>
    </row>
    <row r="36" spans="5:57" ht="16.7" hidden="1" customHeight="1">
      <c r="E36" s="623">
        <v>17.100000000000001</v>
      </c>
      <c r="F36" s="714">
        <f t="shared" ca="1" si="4"/>
        <v>0</v>
      </c>
      <c r="H36" s="113" t="s">
        <v>404</v>
      </c>
      <c r="U36" s="715" t="b">
        <f t="shared" ca="1" si="5"/>
        <v>0</v>
      </c>
      <c r="Y36" s="1405"/>
      <c r="Z36" s="1405"/>
      <c r="AB36" s="660">
        <v>4</v>
      </c>
      <c r="AC36" s="666" t="s">
        <v>405</v>
      </c>
      <c r="AD36" s="667" t="s">
        <v>388</v>
      </c>
      <c r="AE36" s="16"/>
      <c r="AF36" s="1097"/>
      <c r="AG36" s="1097"/>
      <c r="AH36" s="16"/>
      <c r="AI36" s="16"/>
      <c r="AJ36" s="16"/>
      <c r="AK36" s="16"/>
      <c r="AL36" s="16"/>
      <c r="AM36" s="16"/>
      <c r="AN36" s="16"/>
      <c r="AO36" s="669"/>
      <c r="AP36" s="1097"/>
      <c r="AQ36" s="1097"/>
      <c r="AR36" s="16"/>
      <c r="AS36" s="16"/>
      <c r="AT36" s="16"/>
      <c r="AU36" s="16"/>
      <c r="AV36" s="16"/>
      <c r="AW36" s="16"/>
      <c r="AX36" s="16"/>
      <c r="BA36" s="890" t="s">
        <v>406</v>
      </c>
    </row>
    <row r="37" spans="5:57" ht="29.25" hidden="1" customHeight="1">
      <c r="E37" s="623">
        <v>30</v>
      </c>
      <c r="F37" s="714">
        <f t="shared" ca="1" si="4"/>
        <v>0</v>
      </c>
      <c r="H37" s="113" t="s">
        <v>407</v>
      </c>
      <c r="U37" s="715" t="b">
        <f t="shared" ca="1" si="5"/>
        <v>0</v>
      </c>
      <c r="Y37" s="1405"/>
      <c r="Z37" s="1405"/>
      <c r="AB37" s="660">
        <v>5</v>
      </c>
      <c r="AC37" s="668" t="s">
        <v>408</v>
      </c>
      <c r="AD37" s="667" t="s">
        <v>388</v>
      </c>
      <c r="AE37" s="16"/>
      <c r="AF37" s="1097"/>
      <c r="AG37" s="1097"/>
      <c r="AH37" s="16"/>
      <c r="AI37" s="16"/>
      <c r="AJ37" s="16"/>
      <c r="AK37" s="16"/>
      <c r="AL37" s="16"/>
      <c r="AM37" s="16"/>
      <c r="AN37" s="16"/>
      <c r="AO37" s="669"/>
      <c r="AP37" s="1097"/>
      <c r="AQ37" s="1097"/>
      <c r="AR37" s="16"/>
      <c r="AS37" s="16"/>
      <c r="AT37" s="16"/>
      <c r="AU37" s="16"/>
      <c r="AV37" s="16"/>
      <c r="AW37" s="16"/>
      <c r="AX37" s="16"/>
      <c r="BA37" s="890" t="s">
        <v>409</v>
      </c>
    </row>
    <row r="38" spans="5:57" ht="16.7" hidden="1" customHeight="1">
      <c r="E38" s="623">
        <v>17.100000000000001</v>
      </c>
      <c r="F38" s="714">
        <f t="shared" ca="1" si="4"/>
        <v>0</v>
      </c>
      <c r="H38" s="113" t="s">
        <v>410</v>
      </c>
      <c r="U38" s="715" t="b">
        <f t="shared" ca="1" si="5"/>
        <v>0</v>
      </c>
      <c r="Y38" s="1405"/>
      <c r="Z38" s="1405"/>
      <c r="AB38" s="660">
        <v>6</v>
      </c>
      <c r="AC38" s="668" t="s">
        <v>411</v>
      </c>
      <c r="AD38" s="667" t="s">
        <v>388</v>
      </c>
      <c r="AE38" s="16"/>
      <c r="AF38" s="1097"/>
      <c r="AG38" s="1097"/>
      <c r="AH38" s="16"/>
      <c r="AI38" s="16"/>
      <c r="AJ38" s="16"/>
      <c r="AK38" s="16"/>
      <c r="AL38" s="16"/>
      <c r="AM38" s="16"/>
      <c r="AN38" s="16"/>
      <c r="AO38" s="669"/>
      <c r="AP38" s="1097"/>
      <c r="AQ38" s="1097"/>
      <c r="AR38" s="16"/>
      <c r="AS38" s="16"/>
      <c r="AT38" s="16"/>
      <c r="AU38" s="16"/>
      <c r="AV38" s="16"/>
      <c r="AW38" s="16"/>
      <c r="AX38" s="16"/>
      <c r="BA38" s="890" t="s">
        <v>412</v>
      </c>
    </row>
    <row r="39" spans="5:57" ht="16.7" hidden="1" customHeight="1">
      <c r="E39" s="623">
        <v>17.100000000000001</v>
      </c>
      <c r="F39" s="714">
        <f t="shared" ca="1" si="4"/>
        <v>0</v>
      </c>
      <c r="H39" s="113" t="s">
        <v>413</v>
      </c>
      <c r="U39" s="715" t="b">
        <f t="shared" ca="1" si="5"/>
        <v>0</v>
      </c>
      <c r="Y39" s="1405"/>
      <c r="Z39" s="1405"/>
      <c r="AB39" s="660">
        <v>7</v>
      </c>
      <c r="AC39" s="668" t="s">
        <v>414</v>
      </c>
      <c r="AD39" s="667" t="s">
        <v>388</v>
      </c>
      <c r="AE39" s="16"/>
      <c r="AF39" s="1097"/>
      <c r="AG39" s="1097"/>
      <c r="AH39" s="16"/>
      <c r="AI39" s="16"/>
      <c r="AJ39" s="16"/>
      <c r="AK39" s="16"/>
      <c r="AL39" s="16"/>
      <c r="AM39" s="16"/>
      <c r="AN39" s="16"/>
      <c r="AO39" s="669"/>
      <c r="AP39" s="1097"/>
      <c r="AQ39" s="1097"/>
      <c r="AR39" s="16"/>
      <c r="AS39" s="16"/>
      <c r="AT39" s="16"/>
      <c r="AU39" s="16"/>
      <c r="AV39" s="16"/>
      <c r="AW39" s="16"/>
      <c r="AX39" s="16"/>
      <c r="BA39" s="890" t="s">
        <v>415</v>
      </c>
    </row>
    <row r="40" spans="5:57" ht="16.7" hidden="1" customHeight="1">
      <c r="E40" s="623">
        <v>17.100000000000001</v>
      </c>
      <c r="F40" s="714">
        <f t="shared" ca="1" si="4"/>
        <v>0</v>
      </c>
      <c r="H40" s="113" t="s">
        <v>416</v>
      </c>
      <c r="U40" s="715" t="b">
        <f t="shared" ca="1" si="5"/>
        <v>0</v>
      </c>
      <c r="Y40" s="1405"/>
      <c r="Z40" s="1405"/>
      <c r="AB40" s="660">
        <v>8</v>
      </c>
      <c r="AC40" s="668" t="s">
        <v>417</v>
      </c>
      <c r="AD40" s="667" t="s">
        <v>388</v>
      </c>
      <c r="AE40" s="16"/>
      <c r="AF40" s="1097"/>
      <c r="AG40" s="1097"/>
      <c r="AH40" s="16"/>
      <c r="AI40" s="16"/>
      <c r="AJ40" s="16"/>
      <c r="AK40" s="16"/>
      <c r="AL40" s="16"/>
      <c r="AM40" s="16"/>
      <c r="AN40" s="16"/>
      <c r="AO40" s="669"/>
      <c r="AP40" s="1097"/>
      <c r="AQ40" s="1097"/>
      <c r="AR40" s="16"/>
      <c r="AS40" s="16"/>
      <c r="AT40" s="16"/>
      <c r="AU40" s="16"/>
      <c r="AV40" s="16"/>
      <c r="AW40" s="16"/>
      <c r="AX40" s="16"/>
      <c r="BA40" s="890" t="s">
        <v>418</v>
      </c>
    </row>
    <row r="41" spans="5:57" ht="16.7" hidden="1" customHeight="1">
      <c r="E41" s="623">
        <v>17.100000000000001</v>
      </c>
      <c r="F41" s="714">
        <f t="shared" ca="1" si="4"/>
        <v>0</v>
      </c>
      <c r="H41" s="113" t="s">
        <v>419</v>
      </c>
      <c r="U41" s="715" t="b">
        <f t="shared" ca="1" si="5"/>
        <v>0</v>
      </c>
      <c r="Y41" s="1405"/>
      <c r="Z41" s="1405"/>
      <c r="AB41" s="660">
        <v>9</v>
      </c>
      <c r="AC41" s="668" t="s">
        <v>420</v>
      </c>
      <c r="AD41" s="110" t="s">
        <v>421</v>
      </c>
      <c r="AE41" s="16">
        <f>7900</f>
        <v>7900</v>
      </c>
      <c r="AF41" s="1097">
        <f>7900</f>
        <v>7900</v>
      </c>
      <c r="AG41" s="1097">
        <f>7900</f>
        <v>7900</v>
      </c>
      <c r="AH41" s="16">
        <f>7900</f>
        <v>7900</v>
      </c>
      <c r="AI41" s="16">
        <f>7900</f>
        <v>7900</v>
      </c>
      <c r="AJ41" s="16">
        <f>7900</f>
        <v>7900</v>
      </c>
      <c r="AK41" s="16">
        <f>7900</f>
        <v>7900</v>
      </c>
      <c r="AL41" s="16">
        <f>7900</f>
        <v>7900</v>
      </c>
      <c r="AM41" s="16">
        <f>7900</f>
        <v>7900</v>
      </c>
      <c r="AN41" s="16">
        <f>7900</f>
        <v>7900</v>
      </c>
      <c r="AO41" s="669">
        <f>7900</f>
        <v>7900</v>
      </c>
      <c r="AP41" s="1097">
        <f>7900</f>
        <v>7900</v>
      </c>
      <c r="AQ41" s="1097">
        <f>7900</f>
        <v>7900</v>
      </c>
      <c r="AR41" s="16">
        <f>7900</f>
        <v>7900</v>
      </c>
      <c r="AS41" s="16">
        <f>7900</f>
        <v>7900</v>
      </c>
      <c r="AT41" s="16">
        <f>7900</f>
        <v>7900</v>
      </c>
      <c r="AU41" s="16">
        <f>7900</f>
        <v>7900</v>
      </c>
      <c r="AV41" s="16">
        <f>7900</f>
        <v>7900</v>
      </c>
      <c r="AW41" s="16">
        <f>7900</f>
        <v>7900</v>
      </c>
      <c r="AX41" s="16">
        <f>7900</f>
        <v>7900</v>
      </c>
      <c r="BA41" s="890" t="s">
        <v>422</v>
      </c>
    </row>
    <row r="42" spans="5:57" ht="16.7" hidden="1" customHeight="1">
      <c r="E42" s="623">
        <v>17.100000000000001</v>
      </c>
      <c r="F42" s="714">
        <f t="shared" ca="1" si="4"/>
        <v>0</v>
      </c>
      <c r="H42" s="113" t="s">
        <v>423</v>
      </c>
      <c r="U42" s="715" t="b">
        <f t="shared" ca="1" si="5"/>
        <v>0</v>
      </c>
      <c r="Y42" s="1405"/>
      <c r="Z42" s="1405"/>
      <c r="AB42" s="660">
        <v>10</v>
      </c>
      <c r="AC42" s="668" t="s">
        <v>424</v>
      </c>
      <c r="AD42" s="110" t="s">
        <v>425</v>
      </c>
      <c r="AE42" s="16"/>
      <c r="AF42" s="1097"/>
      <c r="AG42" s="1097"/>
      <c r="AH42" s="16"/>
      <c r="AI42" s="16"/>
      <c r="AJ42" s="16"/>
      <c r="AK42" s="16"/>
      <c r="AL42" s="16"/>
      <c r="AM42" s="16"/>
      <c r="AN42" s="16"/>
      <c r="AO42" s="669"/>
      <c r="AP42" s="1097"/>
      <c r="AQ42" s="1097"/>
      <c r="AR42" s="16"/>
      <c r="AS42" s="16"/>
      <c r="AT42" s="16"/>
      <c r="AU42" s="16"/>
      <c r="AV42" s="16"/>
      <c r="AW42" s="16"/>
      <c r="AX42" s="16"/>
      <c r="BA42" s="890" t="s">
        <v>426</v>
      </c>
    </row>
    <row r="43" spans="5:57" ht="16.7" hidden="1" customHeight="1">
      <c r="E43" s="623">
        <v>17.100000000000001</v>
      </c>
      <c r="F43" s="714">
        <f t="shared" ca="1" si="4"/>
        <v>0</v>
      </c>
      <c r="H43" s="113" t="s">
        <v>427</v>
      </c>
      <c r="U43" s="715" t="b">
        <f t="shared" ca="1" si="5"/>
        <v>0</v>
      </c>
      <c r="Y43" s="1405"/>
      <c r="Z43" s="1405"/>
      <c r="AB43" s="660">
        <v>11</v>
      </c>
      <c r="AC43" s="668" t="s">
        <v>428</v>
      </c>
      <c r="AD43" s="110" t="s">
        <v>429</v>
      </c>
      <c r="AE43" s="16">
        <f>7000</f>
        <v>7000</v>
      </c>
      <c r="AF43" s="1097">
        <f>7000</f>
        <v>7000</v>
      </c>
      <c r="AG43" s="1097">
        <f>7000</f>
        <v>7000</v>
      </c>
      <c r="AH43" s="16">
        <f>7000</f>
        <v>7000</v>
      </c>
      <c r="AI43" s="16">
        <f>7000</f>
        <v>7000</v>
      </c>
      <c r="AJ43" s="16">
        <f>7000</f>
        <v>7000</v>
      </c>
      <c r="AK43" s="16">
        <f>7000</f>
        <v>7000</v>
      </c>
      <c r="AL43" s="16">
        <f>7000</f>
        <v>7000</v>
      </c>
      <c r="AM43" s="16">
        <f>7000</f>
        <v>7000</v>
      </c>
      <c r="AN43" s="16">
        <f>7000</f>
        <v>7000</v>
      </c>
      <c r="AO43" s="669">
        <f>7000</f>
        <v>7000</v>
      </c>
      <c r="AP43" s="1097">
        <f>7000</f>
        <v>7000</v>
      </c>
      <c r="AQ43" s="1097">
        <f>7000</f>
        <v>7000</v>
      </c>
      <c r="AR43" s="16">
        <f>7000</f>
        <v>7000</v>
      </c>
      <c r="AS43" s="16">
        <f>7000</f>
        <v>7000</v>
      </c>
      <c r="AT43" s="16">
        <f>7000</f>
        <v>7000</v>
      </c>
      <c r="AU43" s="16">
        <f>7000</f>
        <v>7000</v>
      </c>
      <c r="AV43" s="16">
        <f>7000</f>
        <v>7000</v>
      </c>
      <c r="AW43" s="16">
        <f>7000</f>
        <v>7000</v>
      </c>
      <c r="AX43" s="16">
        <f>7000</f>
        <v>7000</v>
      </c>
      <c r="BA43" s="890" t="s">
        <v>430</v>
      </c>
    </row>
    <row r="44" spans="5:57" ht="16.7" hidden="1" customHeight="1">
      <c r="E44" s="623">
        <v>17.100000000000001</v>
      </c>
      <c r="F44" s="714">
        <f t="shared" ca="1" si="4"/>
        <v>0</v>
      </c>
      <c r="H44" s="113" t="s">
        <v>431</v>
      </c>
      <c r="U44" s="715" t="b">
        <f t="shared" ca="1" si="5"/>
        <v>0</v>
      </c>
      <c r="Y44" s="1405"/>
      <c r="Z44" s="1405"/>
      <c r="AB44" s="660">
        <v>12</v>
      </c>
      <c r="AC44" s="668" t="s">
        <v>432</v>
      </c>
      <c r="AD44" s="667" t="s">
        <v>388</v>
      </c>
      <c r="AE44" s="16"/>
      <c r="AF44" s="1097"/>
      <c r="AG44" s="1097"/>
      <c r="AH44" s="16"/>
      <c r="AI44" s="16"/>
      <c r="AJ44" s="16"/>
      <c r="AK44" s="16"/>
      <c r="AL44" s="16"/>
      <c r="AM44" s="16"/>
      <c r="AN44" s="16"/>
      <c r="AO44" s="669"/>
      <c r="AP44" s="1097"/>
      <c r="AQ44" s="1097"/>
      <c r="AR44" s="16"/>
      <c r="AS44" s="16"/>
      <c r="AT44" s="16"/>
      <c r="AU44" s="16"/>
      <c r="AV44" s="16"/>
      <c r="AW44" s="16"/>
      <c r="AX44" s="16"/>
      <c r="BA44" s="890" t="s">
        <v>433</v>
      </c>
    </row>
    <row r="45" spans="5:57" ht="16.7" hidden="1" customHeight="1">
      <c r="E45" s="623">
        <v>17.100000000000001</v>
      </c>
      <c r="F45" s="714">
        <f t="shared" ca="1" si="4"/>
        <v>0</v>
      </c>
      <c r="H45" s="113" t="s">
        <v>434</v>
      </c>
      <c r="U45" s="715" t="b">
        <f t="shared" ca="1" si="5"/>
        <v>0</v>
      </c>
      <c r="Y45" s="1405"/>
      <c r="Z45" s="1405"/>
      <c r="AB45" s="660">
        <v>13</v>
      </c>
      <c r="AC45" s="668" t="s">
        <v>435</v>
      </c>
      <c r="AD45" s="667" t="s">
        <v>388</v>
      </c>
      <c r="AE45" s="16"/>
      <c r="AF45" s="1097"/>
      <c r="AG45" s="1097"/>
      <c r="AH45" s="16"/>
      <c r="AI45" s="16"/>
      <c r="AJ45" s="16"/>
      <c r="AK45" s="16"/>
      <c r="AL45" s="16"/>
      <c r="AM45" s="16"/>
      <c r="AN45" s="16"/>
      <c r="AO45" s="669"/>
      <c r="AP45" s="1097"/>
      <c r="AQ45" s="1097"/>
      <c r="AR45" s="16"/>
      <c r="AS45" s="16"/>
      <c r="AT45" s="16"/>
      <c r="AU45" s="16"/>
      <c r="AV45" s="16"/>
      <c r="AW45" s="16"/>
      <c r="AX45" s="16"/>
      <c r="BA45" s="890" t="s">
        <v>436</v>
      </c>
    </row>
    <row r="46" spans="5:57" ht="16.7" hidden="1" customHeight="1">
      <c r="E46" s="623">
        <v>17.100000000000001</v>
      </c>
      <c r="F46" s="714">
        <f t="shared" ca="1" si="4"/>
        <v>0</v>
      </c>
      <c r="H46" s="113" t="s">
        <v>437</v>
      </c>
      <c r="U46" s="715" t="b">
        <f t="shared" ca="1" si="5"/>
        <v>0</v>
      </c>
      <c r="Y46" s="1405"/>
      <c r="Z46" s="1405"/>
      <c r="AB46" s="660">
        <v>14</v>
      </c>
      <c r="AC46" s="668" t="s">
        <v>438</v>
      </c>
      <c r="AD46" s="667" t="s">
        <v>388</v>
      </c>
      <c r="AE46" s="16"/>
      <c r="AF46" s="1097"/>
      <c r="AG46" s="1097"/>
      <c r="AH46" s="16"/>
      <c r="AI46" s="16"/>
      <c r="AJ46" s="16"/>
      <c r="AK46" s="16"/>
      <c r="AL46" s="16"/>
      <c r="AM46" s="16"/>
      <c r="AN46" s="16"/>
      <c r="AO46" s="669"/>
      <c r="AP46" s="1097"/>
      <c r="AQ46" s="1097"/>
      <c r="AR46" s="16"/>
      <c r="AS46" s="16"/>
      <c r="AT46" s="16"/>
      <c r="AU46" s="16"/>
      <c r="AV46" s="16"/>
      <c r="AW46" s="16"/>
      <c r="AX46" s="16"/>
      <c r="BA46" s="890" t="s">
        <v>439</v>
      </c>
    </row>
    <row r="47" spans="5:57" ht="16.7" hidden="1" customHeight="1">
      <c r="E47" s="623">
        <v>17.100000000000001</v>
      </c>
      <c r="F47" s="714">
        <f t="shared" ca="1" si="4"/>
        <v>0</v>
      </c>
      <c r="H47" s="113" t="s">
        <v>440</v>
      </c>
      <c r="U47" s="715" t="b">
        <f t="shared" ca="1" si="5"/>
        <v>0</v>
      </c>
      <c r="Y47" s="1405"/>
      <c r="Z47" s="1405"/>
      <c r="AB47" s="660">
        <v>15</v>
      </c>
      <c r="AC47" s="668" t="s">
        <v>441</v>
      </c>
      <c r="AD47" s="667" t="s">
        <v>388</v>
      </c>
      <c r="AE47" s="16"/>
      <c r="AF47" s="1097"/>
      <c r="AG47" s="1097"/>
      <c r="AH47" s="16"/>
      <c r="AI47" s="16"/>
      <c r="AJ47" s="16"/>
      <c r="AK47" s="16"/>
      <c r="AL47" s="16"/>
      <c r="AM47" s="16"/>
      <c r="AN47" s="16"/>
      <c r="AO47" s="669"/>
      <c r="AP47" s="1097"/>
      <c r="AQ47" s="1097"/>
      <c r="AR47" s="16"/>
      <c r="AS47" s="16"/>
      <c r="AT47" s="16"/>
      <c r="AU47" s="16"/>
      <c r="AV47" s="16"/>
      <c r="AW47" s="16"/>
      <c r="AX47" s="16"/>
      <c r="BA47" s="890" t="s">
        <v>442</v>
      </c>
    </row>
    <row r="48" spans="5:57" ht="16.7" hidden="1" customHeight="1">
      <c r="E48" s="623">
        <v>17.100000000000001</v>
      </c>
      <c r="F48" s="714">
        <f t="shared" ca="1" si="4"/>
        <v>0</v>
      </c>
      <c r="G48" s="714" t="s">
        <v>443</v>
      </c>
      <c r="H48" s="113" t="s">
        <v>444</v>
      </c>
      <c r="U48" s="803" t="b">
        <f ca="1">AND(F48&gt;0,method_reg&lt;&gt;"Метод экономически обоснованных расходов")</f>
        <v>0</v>
      </c>
      <c r="Y48" s="1405"/>
      <c r="Z48" s="1405"/>
      <c r="AB48" s="660">
        <v>16</v>
      </c>
      <c r="AC48" s="670" t="s">
        <v>445</v>
      </c>
      <c r="AD48" s="146"/>
      <c r="AE48" s="16"/>
      <c r="AF48" s="1097"/>
      <c r="AG48" s="1097"/>
      <c r="AH48" s="16"/>
      <c r="AI48" s="16"/>
      <c r="AJ48" s="16"/>
      <c r="AK48" s="16"/>
      <c r="AL48" s="16"/>
      <c r="AM48" s="16"/>
      <c r="AN48" s="16"/>
      <c r="AO48" s="669"/>
      <c r="AP48" s="1097"/>
      <c r="AQ48" s="1097"/>
      <c r="AR48" s="16"/>
      <c r="AS48" s="16"/>
      <c r="AT48" s="16"/>
      <c r="AU48" s="16"/>
      <c r="AV48" s="16"/>
      <c r="AW48" s="16"/>
      <c r="AX48" s="16"/>
      <c r="BA48" s="890" t="s">
        <v>446</v>
      </c>
    </row>
    <row r="49" spans="1:57" ht="29.25" hidden="1" customHeight="1">
      <c r="E49" s="623">
        <v>30</v>
      </c>
      <c r="F49" s="714">
        <f t="shared" ca="1" si="4"/>
        <v>0</v>
      </c>
      <c r="G49" s="714" t="s">
        <v>447</v>
      </c>
      <c r="H49" s="113" t="s">
        <v>448</v>
      </c>
      <c r="U49" s="803" t="b">
        <f ca="1">AND(F49&gt;0,method_reg&lt;&gt;"Метод экономически обоснованных расходов")</f>
        <v>0</v>
      </c>
      <c r="Y49" s="1405"/>
      <c r="Z49" s="1405"/>
      <c r="AB49" s="660">
        <v>17</v>
      </c>
      <c r="AC49" s="147" t="s">
        <v>449</v>
      </c>
      <c r="AD49" s="661"/>
      <c r="AE49" s="16">
        <f t="shared" ref="AE49:AX49" si="6">0.75</f>
        <v>0.75</v>
      </c>
      <c r="AF49" s="1097">
        <f t="shared" si="6"/>
        <v>0.75</v>
      </c>
      <c r="AG49" s="1097">
        <f t="shared" si="6"/>
        <v>0.75</v>
      </c>
      <c r="AH49" s="16">
        <f t="shared" si="6"/>
        <v>0.75</v>
      </c>
      <c r="AI49" s="16">
        <f t="shared" si="6"/>
        <v>0.75</v>
      </c>
      <c r="AJ49" s="16">
        <f t="shared" si="6"/>
        <v>0.75</v>
      </c>
      <c r="AK49" s="16">
        <f t="shared" si="6"/>
        <v>0.75</v>
      </c>
      <c r="AL49" s="16">
        <f t="shared" si="6"/>
        <v>0.75</v>
      </c>
      <c r="AM49" s="16">
        <f t="shared" si="6"/>
        <v>0.75</v>
      </c>
      <c r="AN49" s="16">
        <f t="shared" si="6"/>
        <v>0.75</v>
      </c>
      <c r="AO49" s="669">
        <f t="shared" si="6"/>
        <v>0.75</v>
      </c>
      <c r="AP49" s="1097">
        <f t="shared" si="6"/>
        <v>0.75</v>
      </c>
      <c r="AQ49" s="1097">
        <f t="shared" si="6"/>
        <v>0.75</v>
      </c>
      <c r="AR49" s="16">
        <f t="shared" si="6"/>
        <v>0.75</v>
      </c>
      <c r="AS49" s="16">
        <f t="shared" si="6"/>
        <v>0.75</v>
      </c>
      <c r="AT49" s="16">
        <f t="shared" si="6"/>
        <v>0.75</v>
      </c>
      <c r="AU49" s="16">
        <f t="shared" si="6"/>
        <v>0.75</v>
      </c>
      <c r="AV49" s="16">
        <f t="shared" si="6"/>
        <v>0.75</v>
      </c>
      <c r="AW49" s="16">
        <f t="shared" si="6"/>
        <v>0.75</v>
      </c>
      <c r="AX49" s="16">
        <f t="shared" si="6"/>
        <v>0.75</v>
      </c>
      <c r="BA49" s="890" t="s">
        <v>450</v>
      </c>
    </row>
    <row r="50" spans="1:57" ht="16.7" hidden="1" customHeight="1">
      <c r="E50" s="623">
        <v>17.100000000000001</v>
      </c>
      <c r="F50" s="714">
        <f t="shared" ca="1" si="4"/>
        <v>0</v>
      </c>
      <c r="U50" s="715" t="b">
        <f t="shared" ref="U50:U56" ca="1" si="7">F50&gt;0</f>
        <v>0</v>
      </c>
      <c r="Y50" s="1405"/>
      <c r="Z50" s="1405"/>
      <c r="AB50" s="797" t="s">
        <v>451</v>
      </c>
      <c r="AC50" s="269" t="s">
        <v>452</v>
      </c>
      <c r="AD50" s="270"/>
      <c r="AE50" s="272"/>
      <c r="AF50" s="272"/>
      <c r="AG50" s="272"/>
      <c r="AH50" s="272"/>
      <c r="AI50" s="272"/>
      <c r="AJ50" s="272"/>
      <c r="AK50" s="272"/>
      <c r="AL50" s="272"/>
      <c r="AM50" s="272"/>
      <c r="AN50" s="272"/>
      <c r="AO50" s="272"/>
      <c r="AP50" s="272"/>
      <c r="AQ50" s="272"/>
      <c r="AR50" s="272"/>
      <c r="AS50" s="272"/>
      <c r="AT50" s="272"/>
      <c r="AU50" s="272"/>
      <c r="AV50" s="272"/>
      <c r="AW50" s="272"/>
      <c r="AX50" s="272"/>
    </row>
    <row r="51" spans="1:57" ht="16.7" hidden="1" customHeight="1">
      <c r="E51" s="623">
        <v>17.100000000000001</v>
      </c>
      <c r="F51" s="714">
        <f t="shared" ca="1" si="4"/>
        <v>0</v>
      </c>
      <c r="G51" s="714" t="s">
        <v>453</v>
      </c>
      <c r="H51" s="113" t="s">
        <v>454</v>
      </c>
      <c r="U51" s="715" t="b">
        <f t="shared" ca="1" si="7"/>
        <v>0</v>
      </c>
      <c r="Y51" s="1405"/>
      <c r="Z51" s="1405"/>
      <c r="AB51" s="385" t="s">
        <v>455</v>
      </c>
      <c r="AC51" s="145" t="s">
        <v>456</v>
      </c>
      <c r="AD51" s="146" t="s">
        <v>388</v>
      </c>
      <c r="AE51" s="16"/>
      <c r="AF51" s="1097"/>
      <c r="AG51" s="1097"/>
      <c r="AH51" s="16"/>
      <c r="AI51" s="16"/>
      <c r="AJ51" s="16"/>
      <c r="AK51" s="16"/>
      <c r="AL51" s="16"/>
      <c r="AM51" s="16"/>
      <c r="AN51" s="16"/>
      <c r="AO51" s="669"/>
      <c r="AP51" s="1097"/>
      <c r="AQ51" s="1097"/>
      <c r="AR51" s="16"/>
      <c r="AS51" s="16"/>
      <c r="AT51" s="16"/>
      <c r="AU51" s="16"/>
      <c r="AV51" s="16"/>
      <c r="AW51" s="16"/>
      <c r="AX51" s="16"/>
      <c r="BA51" s="890" t="s">
        <v>457</v>
      </c>
    </row>
    <row r="52" spans="1:57" ht="16.7" hidden="1" customHeight="1">
      <c r="E52" s="623">
        <v>17.100000000000001</v>
      </c>
      <c r="F52" s="714">
        <f t="shared" ca="1" si="4"/>
        <v>0</v>
      </c>
      <c r="H52" s="113" t="s">
        <v>458</v>
      </c>
      <c r="U52" s="715" t="b">
        <f t="shared" ca="1" si="7"/>
        <v>0</v>
      </c>
      <c r="Y52" s="1405"/>
      <c r="Z52" s="1405"/>
      <c r="AB52" s="385" t="s">
        <v>459</v>
      </c>
      <c r="AC52" s="147" t="s">
        <v>460</v>
      </c>
      <c r="AD52" s="146" t="s">
        <v>388</v>
      </c>
      <c r="AE52" s="16"/>
      <c r="AF52" s="1097"/>
      <c r="AG52" s="1097"/>
      <c r="AH52" s="16"/>
      <c r="AI52" s="16"/>
      <c r="AJ52" s="16"/>
      <c r="AK52" s="16"/>
      <c r="AL52" s="16"/>
      <c r="AM52" s="16"/>
      <c r="AN52" s="16"/>
      <c r="AO52" s="669"/>
      <c r="AP52" s="1097"/>
      <c r="AQ52" s="1097"/>
      <c r="AR52" s="16"/>
      <c r="AS52" s="16"/>
      <c r="AT52" s="16"/>
      <c r="AU52" s="16"/>
      <c r="AV52" s="16"/>
      <c r="AW52" s="16"/>
      <c r="AX52" s="16"/>
      <c r="BA52" s="890" t="s">
        <v>461</v>
      </c>
    </row>
    <row r="53" spans="1:57" ht="16.7" hidden="1" customHeight="1">
      <c r="E53" s="623">
        <v>17.100000000000001</v>
      </c>
      <c r="F53" s="714">
        <f t="shared" ca="1" si="4"/>
        <v>0</v>
      </c>
      <c r="H53" s="113" t="s">
        <v>462</v>
      </c>
      <c r="U53" s="715" t="b">
        <f t="shared" ca="1" si="7"/>
        <v>0</v>
      </c>
      <c r="Y53" s="1405"/>
      <c r="Z53" s="1405"/>
      <c r="AB53" s="385" t="s">
        <v>463</v>
      </c>
      <c r="AC53" s="147" t="s">
        <v>464</v>
      </c>
      <c r="AD53" s="146" t="s">
        <v>388</v>
      </c>
      <c r="AE53" s="16"/>
      <c r="AF53" s="1097"/>
      <c r="AG53" s="1097"/>
      <c r="AH53" s="16"/>
      <c r="AI53" s="16"/>
      <c r="AJ53" s="16"/>
      <c r="AK53" s="16"/>
      <c r="AL53" s="16"/>
      <c r="AM53" s="16"/>
      <c r="AN53" s="16"/>
      <c r="AO53" s="669"/>
      <c r="AP53" s="1097"/>
      <c r="AQ53" s="1097"/>
      <c r="AR53" s="16"/>
      <c r="AS53" s="16"/>
      <c r="AT53" s="16"/>
      <c r="AU53" s="16"/>
      <c r="AV53" s="16"/>
      <c r="AW53" s="16"/>
      <c r="AX53" s="16"/>
      <c r="BA53" s="890" t="s">
        <v>465</v>
      </c>
    </row>
    <row r="54" spans="1:57" ht="16.7" hidden="1" customHeight="1">
      <c r="E54" s="623">
        <v>17.100000000000001</v>
      </c>
      <c r="F54" s="714">
        <f t="shared" ca="1" si="4"/>
        <v>0</v>
      </c>
      <c r="H54" s="113" t="s">
        <v>466</v>
      </c>
      <c r="U54" s="715" t="b">
        <f t="shared" ca="1" si="7"/>
        <v>0</v>
      </c>
      <c r="Y54" s="1405"/>
      <c r="Z54" s="1405"/>
      <c r="AB54" s="385" t="s">
        <v>467</v>
      </c>
      <c r="AC54" s="147" t="s">
        <v>468</v>
      </c>
      <c r="AD54" s="146" t="s">
        <v>388</v>
      </c>
      <c r="AE54" s="16"/>
      <c r="AF54" s="1097"/>
      <c r="AG54" s="1097"/>
      <c r="AH54" s="16"/>
      <c r="AI54" s="16"/>
      <c r="AJ54" s="16"/>
      <c r="AK54" s="16"/>
      <c r="AL54" s="16"/>
      <c r="AM54" s="16"/>
      <c r="AN54" s="16"/>
      <c r="AO54" s="669"/>
      <c r="AP54" s="1097"/>
      <c r="AQ54" s="1097"/>
      <c r="AR54" s="16"/>
      <c r="AS54" s="16"/>
      <c r="AT54" s="16"/>
      <c r="AU54" s="16"/>
      <c r="AV54" s="16"/>
      <c r="AW54" s="16"/>
      <c r="AX54" s="16"/>
      <c r="BA54" s="890" t="s">
        <v>469</v>
      </c>
    </row>
    <row r="55" spans="1:57" s="751" customFormat="1" ht="10.5" customHeight="1">
      <c r="A55" s="152"/>
      <c r="B55" s="152"/>
      <c r="C55" s="152"/>
      <c r="D55" s="152"/>
      <c r="E55" s="629">
        <v>11.4</v>
      </c>
      <c r="F55" s="714" t="str">
        <f>Y55</f>
        <v>1</v>
      </c>
      <c r="G55" s="152"/>
      <c r="H55" s="152"/>
      <c r="I55" s="152"/>
      <c r="J55" s="152"/>
      <c r="K55" s="152"/>
      <c r="L55" s="152"/>
      <c r="M55" s="152"/>
      <c r="N55" s="152"/>
      <c r="O55" s="152"/>
      <c r="P55" s="152"/>
      <c r="Q55" s="152"/>
      <c r="R55" s="152"/>
      <c r="S55" s="152"/>
      <c r="T55" s="152"/>
      <c r="U55" s="715" t="b">
        <f t="shared" si="7"/>
        <v>1</v>
      </c>
      <c r="V55" s="152"/>
      <c r="W55" s="109" t="str">
        <f>'Расчет УЕ'!$AB$47</f>
        <v>Тариф 1 (Теплоснабжение) - Тарифы на теплоноситель (Не определено)</v>
      </c>
      <c r="X55" s="152"/>
      <c r="Y55" s="1400" t="s">
        <v>247</v>
      </c>
      <c r="Z55" s="1412"/>
      <c r="AA55" s="152"/>
      <c r="AB55" s="200" t="str">
        <f>IF(ISBLANK('Расчет УЕ'!$AB$47),"",'Расчет УЕ'!$AB$47)</f>
        <v>Тариф 1 (Теплоснабжение) - Тарифы на теплоноситель (Не определено)</v>
      </c>
      <c r="AC55" s="197"/>
      <c r="AD55" s="191"/>
      <c r="AE55" s="191"/>
      <c r="AF55" s="191"/>
      <c r="AG55" s="191"/>
      <c r="AH55" s="191"/>
      <c r="AI55" s="191"/>
      <c r="AJ55" s="191"/>
      <c r="AK55" s="191"/>
      <c r="AL55" s="191"/>
      <c r="AM55" s="191"/>
      <c r="AN55" s="191"/>
      <c r="AO55" s="191"/>
      <c r="AP55" s="191"/>
      <c r="AQ55" s="191"/>
      <c r="AR55" s="191"/>
      <c r="AS55" s="191"/>
      <c r="AT55" s="191"/>
      <c r="AU55" s="191"/>
      <c r="AV55" s="191"/>
      <c r="AW55" s="191"/>
      <c r="AX55" s="191"/>
      <c r="AY55" s="152"/>
      <c r="AZ55" s="152"/>
      <c r="BA55" s="890"/>
      <c r="BB55" s="896"/>
      <c r="BC55" s="896"/>
      <c r="BD55" s="897"/>
      <c r="BE55" s="897"/>
    </row>
    <row r="56" spans="1:57" s="1057" customFormat="1" ht="10.5" customHeight="1">
      <c r="A56" s="988"/>
      <c r="B56" s="718"/>
      <c r="C56" s="1012"/>
      <c r="D56" s="1012"/>
      <c r="E56" s="623">
        <v>11.4</v>
      </c>
      <c r="F56" s="714" t="str">
        <f t="shared" ref="F56:F81" ca="1" si="8">OFFSET(G56,-1,-1)</f>
        <v>1</v>
      </c>
      <c r="G56" s="1012"/>
      <c r="H56" s="1012"/>
      <c r="I56" s="1012"/>
      <c r="J56" s="1012"/>
      <c r="K56" s="1012"/>
      <c r="L56" s="1012"/>
      <c r="M56" s="1012"/>
      <c r="N56" s="1012"/>
      <c r="O56" s="1012"/>
      <c r="P56" s="1012"/>
      <c r="Q56" s="714"/>
      <c r="R56" s="714"/>
      <c r="S56" s="1012"/>
      <c r="T56" s="1012"/>
      <c r="U56" s="715" t="b">
        <f t="shared" ca="1" si="7"/>
        <v>1</v>
      </c>
      <c r="V56" s="1012"/>
      <c r="W56" s="1012"/>
      <c r="X56" s="1012"/>
      <c r="Y56" s="1405"/>
      <c r="Z56" s="1405"/>
      <c r="AA56" s="157"/>
      <c r="AB56" s="268"/>
      <c r="AC56" s="269" t="s">
        <v>389</v>
      </c>
      <c r="AD56" s="270"/>
      <c r="AE56" s="296"/>
      <c r="AF56" s="296"/>
      <c r="AG56" s="296"/>
      <c r="AH56" s="296"/>
      <c r="AI56" s="296"/>
      <c r="AJ56" s="296"/>
      <c r="AK56" s="296"/>
      <c r="AL56" s="296"/>
      <c r="AM56" s="296"/>
      <c r="AN56" s="296"/>
      <c r="AO56" s="296"/>
      <c r="AP56" s="296"/>
      <c r="AQ56" s="296"/>
      <c r="AR56" s="296"/>
      <c r="AS56" s="296"/>
      <c r="AT56" s="296"/>
      <c r="AU56" s="296"/>
      <c r="AV56" s="296"/>
      <c r="AW56" s="296"/>
      <c r="AX56" s="296"/>
      <c r="AY56" s="157"/>
      <c r="AZ56" s="157"/>
      <c r="BA56" s="926"/>
      <c r="BB56" s="926"/>
      <c r="BC56" s="926"/>
      <c r="BD56" s="894"/>
      <c r="BE56" s="894"/>
    </row>
    <row r="57" spans="1:57" s="1057" customFormat="1" ht="16.5" customHeight="1">
      <c r="A57" s="988"/>
      <c r="B57" s="718"/>
      <c r="C57" s="1012"/>
      <c r="D57" s="1012"/>
      <c r="E57" s="623">
        <v>17.100000000000001</v>
      </c>
      <c r="F57" s="714" t="str">
        <f t="shared" ca="1" si="8"/>
        <v>1</v>
      </c>
      <c r="G57" s="714" t="s">
        <v>390</v>
      </c>
      <c r="H57" s="113" t="s">
        <v>391</v>
      </c>
      <c r="I57" s="1012"/>
      <c r="J57" s="1012"/>
      <c r="K57" s="1012"/>
      <c r="L57" s="1012"/>
      <c r="M57" s="1012"/>
      <c r="N57" s="1012"/>
      <c r="O57" s="1012"/>
      <c r="P57" s="1012"/>
      <c r="Q57" s="714"/>
      <c r="R57" s="714"/>
      <c r="S57" s="1012"/>
      <c r="T57" s="1012"/>
      <c r="U57" s="803" t="b">
        <f ca="1">AND(F57&gt;0,method_reg&lt;&gt;"Метод экономически обоснованных расходов")</f>
        <v>1</v>
      </c>
      <c r="V57" s="1012"/>
      <c r="W57" s="1012"/>
      <c r="X57" s="1012"/>
      <c r="Y57" s="1405"/>
      <c r="Z57" s="1405"/>
      <c r="AA57" s="157"/>
      <c r="AB57" s="143">
        <v>1</v>
      </c>
      <c r="AC57" s="144" t="s">
        <v>392</v>
      </c>
      <c r="AD57" s="146" t="s">
        <v>388</v>
      </c>
      <c r="AE57" s="1099">
        <v>1</v>
      </c>
      <c r="AF57" s="1097">
        <v>1</v>
      </c>
      <c r="AG57" s="1097">
        <v>1</v>
      </c>
      <c r="AH57" s="1099">
        <v>1</v>
      </c>
      <c r="AI57" s="1099">
        <v>1</v>
      </c>
      <c r="AJ57" s="1099">
        <v>1</v>
      </c>
      <c r="AK57" s="1099">
        <v>1</v>
      </c>
      <c r="AL57" s="1099">
        <v>1</v>
      </c>
      <c r="AM57" s="1099">
        <v>1</v>
      </c>
      <c r="AN57" s="1099">
        <v>1</v>
      </c>
      <c r="AO57" s="669">
        <v>1</v>
      </c>
      <c r="AP57" s="1097">
        <v>1</v>
      </c>
      <c r="AQ57" s="1097">
        <v>1</v>
      </c>
      <c r="AR57" s="1099">
        <v>1</v>
      </c>
      <c r="AS57" s="1099">
        <v>1</v>
      </c>
      <c r="AT57" s="1099">
        <v>1</v>
      </c>
      <c r="AU57" s="1099">
        <v>1</v>
      </c>
      <c r="AV57" s="1099">
        <v>1</v>
      </c>
      <c r="AW57" s="1099">
        <v>1</v>
      </c>
      <c r="AX57" s="1099">
        <v>1</v>
      </c>
      <c r="AY57" s="157"/>
      <c r="AZ57" s="157"/>
      <c r="BA57" s="890" t="s">
        <v>393</v>
      </c>
      <c r="BB57" s="926"/>
      <c r="BC57" s="926"/>
      <c r="BD57" s="894"/>
      <c r="BE57" s="894"/>
    </row>
    <row r="58" spans="1:57" s="1057" customFormat="1" ht="29.25" customHeight="1">
      <c r="A58" s="988"/>
      <c r="B58" s="718"/>
      <c r="C58" s="1012"/>
      <c r="D58" s="1012"/>
      <c r="E58" s="623">
        <v>30</v>
      </c>
      <c r="F58" s="714" t="str">
        <f t="shared" ca="1" si="8"/>
        <v>1</v>
      </c>
      <c r="G58" s="1012"/>
      <c r="H58" s="113" t="s">
        <v>394</v>
      </c>
      <c r="I58" s="1012"/>
      <c r="J58" s="1012"/>
      <c r="K58" s="1012"/>
      <c r="L58" s="1012"/>
      <c r="M58" s="1012"/>
      <c r="N58" s="1012"/>
      <c r="O58" s="1012"/>
      <c r="P58" s="1012"/>
      <c r="Q58" s="714"/>
      <c r="R58" s="714"/>
      <c r="S58" s="1012"/>
      <c r="T58" s="1012"/>
      <c r="U58" s="803" t="b">
        <f ca="1">AND(F58&gt;0,method_reg&lt;&gt;"Метод экономически обоснованных расходов")</f>
        <v>1</v>
      </c>
      <c r="V58" s="1012"/>
      <c r="W58" s="1012"/>
      <c r="X58" s="1012"/>
      <c r="Y58" s="1405"/>
      <c r="Z58" s="1405"/>
      <c r="AA58" s="157"/>
      <c r="AB58" s="662" t="s">
        <v>343</v>
      </c>
      <c r="AC58" s="663" t="s">
        <v>395</v>
      </c>
      <c r="AD58" s="664"/>
      <c r="AE58" s="17"/>
      <c r="AF58" s="17"/>
      <c r="AG58" s="17"/>
      <c r="AH58" s="17"/>
      <c r="AI58" s="17"/>
      <c r="AJ58" s="17"/>
      <c r="AK58" s="17"/>
      <c r="AL58" s="17"/>
      <c r="AM58" s="17"/>
      <c r="AN58" s="17"/>
      <c r="AO58" s="17"/>
      <c r="AP58" s="17"/>
      <c r="AQ58" s="17"/>
      <c r="AR58" s="17"/>
      <c r="AS58" s="17"/>
      <c r="AT58" s="17"/>
      <c r="AU58" s="17"/>
      <c r="AV58" s="17"/>
      <c r="AW58" s="17"/>
      <c r="AX58" s="17"/>
      <c r="AY58" s="157"/>
      <c r="AZ58" s="157"/>
      <c r="BA58" s="926"/>
      <c r="BB58" s="926"/>
      <c r="BC58" s="926"/>
      <c r="BD58" s="894"/>
      <c r="BE58" s="894"/>
    </row>
    <row r="59" spans="1:57" s="1057" customFormat="1" ht="17.25" hidden="1" customHeight="1">
      <c r="A59" s="988"/>
      <c r="B59" s="718"/>
      <c r="C59" s="1012"/>
      <c r="D59" s="1012"/>
      <c r="E59" s="623">
        <v>0</v>
      </c>
      <c r="F59" s="714" t="str">
        <f t="shared" ca="1" si="8"/>
        <v>1</v>
      </c>
      <c r="G59" s="1012"/>
      <c r="H59" s="1012"/>
      <c r="I59" s="1012"/>
      <c r="J59" s="1012"/>
      <c r="K59" s="1012"/>
      <c r="L59" s="1012"/>
      <c r="M59" s="1012"/>
      <c r="N59" s="1012"/>
      <c r="O59" s="1012"/>
      <c r="P59" s="1012"/>
      <c r="Q59" s="714"/>
      <c r="R59" s="714"/>
      <c r="S59" s="1012"/>
      <c r="T59" s="1012"/>
      <c r="U59" s="803" t="b">
        <f ca="1">AND(F59&gt;0,method_reg&lt;&gt;"Метод экономически обоснованных расходов")</f>
        <v>1</v>
      </c>
      <c r="V59" s="1012"/>
      <c r="W59" s="1012"/>
      <c r="X59" s="1012"/>
      <c r="Y59" s="1405"/>
      <c r="Z59" s="1405"/>
      <c r="AA59" s="157"/>
      <c r="AB59" s="665"/>
      <c r="AC59" s="663"/>
      <c r="AD59" s="664"/>
      <c r="AE59" s="17"/>
      <c r="AF59" s="17"/>
      <c r="AG59" s="17"/>
      <c r="AH59" s="17"/>
      <c r="AI59" s="17"/>
      <c r="AJ59" s="17"/>
      <c r="AK59" s="17"/>
      <c r="AL59" s="17"/>
      <c r="AM59" s="17"/>
      <c r="AN59" s="17"/>
      <c r="AO59" s="17"/>
      <c r="AP59" s="17"/>
      <c r="AQ59" s="17"/>
      <c r="AR59" s="17"/>
      <c r="AS59" s="17"/>
      <c r="AT59" s="17"/>
      <c r="AU59" s="17"/>
      <c r="AV59" s="17"/>
      <c r="AW59" s="17"/>
      <c r="AX59" s="17"/>
      <c r="AY59" s="157"/>
      <c r="AZ59" s="157"/>
      <c r="BA59" s="926"/>
      <c r="BB59" s="926"/>
      <c r="BC59" s="926"/>
      <c r="BD59" s="894"/>
      <c r="BE59" s="894"/>
    </row>
    <row r="60" spans="1:57" s="1057" customFormat="1" ht="16.5" hidden="1" customHeight="1">
      <c r="A60" s="988"/>
      <c r="B60" s="718"/>
      <c r="C60" s="1012"/>
      <c r="D60" s="1012"/>
      <c r="E60" s="623">
        <v>17.100000000000001</v>
      </c>
      <c r="F60" s="714" t="str">
        <f t="shared" ca="1" si="8"/>
        <v>1</v>
      </c>
      <c r="G60" s="1012"/>
      <c r="H60" s="1012"/>
      <c r="I60" s="1012"/>
      <c r="J60" s="1012"/>
      <c r="K60" s="1012"/>
      <c r="L60" s="1012"/>
      <c r="M60" s="1012"/>
      <c r="N60" s="1012"/>
      <c r="O60" s="1012"/>
      <c r="P60" s="1012"/>
      <c r="Q60" s="714"/>
      <c r="R60" s="714"/>
      <c r="S60" s="1012"/>
      <c r="T60" s="1012"/>
      <c r="U60" s="803" t="b">
        <f ca="1">AND(F60&gt;0,AB60&lt;&gt;"2.0",method_reg&lt;&gt;"Метод экономически обоснованных расходов")</f>
        <v>0</v>
      </c>
      <c r="V60" s="1012"/>
      <c r="W60" s="1012"/>
      <c r="X60" s="113" t="s">
        <v>170</v>
      </c>
      <c r="Y60" s="1405"/>
      <c r="Z60" s="1405"/>
      <c r="AA60" s="709" t="s">
        <v>157</v>
      </c>
      <c r="AB60" s="691" t="s">
        <v>396</v>
      </c>
      <c r="AC60" s="18"/>
      <c r="AD60" s="692" t="s">
        <v>388</v>
      </c>
      <c r="AE60" s="19"/>
      <c r="AF60" s="1098"/>
      <c r="AG60" s="1098"/>
      <c r="AH60" s="19"/>
      <c r="AI60" s="19"/>
      <c r="AJ60" s="19"/>
      <c r="AK60" s="19"/>
      <c r="AL60" s="19"/>
      <c r="AM60" s="19"/>
      <c r="AN60" s="19"/>
      <c r="AO60" s="972"/>
      <c r="AP60" s="1098"/>
      <c r="AQ60" s="1098"/>
      <c r="AR60" s="19"/>
      <c r="AS60" s="19"/>
      <c r="AT60" s="19"/>
      <c r="AU60" s="19"/>
      <c r="AV60" s="19"/>
      <c r="AW60" s="19"/>
      <c r="AX60" s="19"/>
      <c r="AY60" s="157"/>
      <c r="AZ60" s="157"/>
      <c r="BA60" s="890" t="s">
        <v>397</v>
      </c>
      <c r="BB60" s="890" t="s">
        <v>398</v>
      </c>
      <c r="BC60" s="890">
        <f>AC60</f>
        <v>0</v>
      </c>
      <c r="BD60" s="894"/>
      <c r="BE60" s="894" t="b">
        <v>1</v>
      </c>
    </row>
    <row r="61" spans="1:57" s="1057" customFormat="1" ht="16.5" customHeight="1">
      <c r="A61" s="988"/>
      <c r="B61" s="718"/>
      <c r="C61" s="1012"/>
      <c r="D61" s="1012"/>
      <c r="E61" s="623">
        <v>17.100000000000001</v>
      </c>
      <c r="F61" s="714" t="str">
        <f t="shared" ca="1" si="8"/>
        <v>1</v>
      </c>
      <c r="G61" s="1012"/>
      <c r="H61" s="1012"/>
      <c r="I61" s="1012"/>
      <c r="J61" s="1012"/>
      <c r="K61" s="1012"/>
      <c r="L61" s="1012"/>
      <c r="M61" s="1012"/>
      <c r="N61" s="1012"/>
      <c r="O61" s="1012"/>
      <c r="P61" s="1012"/>
      <c r="Q61" s="714"/>
      <c r="R61" s="714"/>
      <c r="S61" s="1012"/>
      <c r="T61" s="1012"/>
      <c r="U61" s="803" t="b">
        <f ca="1">AND(F61&gt;0,method_reg&lt;&gt;"Метод экономически обоснованных расходов")</f>
        <v>1</v>
      </c>
      <c r="V61" s="1012"/>
      <c r="W61" s="1012"/>
      <c r="X61" s="756" t="s">
        <v>399</v>
      </c>
      <c r="Y61" s="1405"/>
      <c r="Z61" s="1405"/>
      <c r="AA61" s="157"/>
      <c r="AB61" s="236"/>
      <c r="AC61" s="562" t="s">
        <v>172</v>
      </c>
      <c r="AD61" s="237"/>
      <c r="AE61" s="237"/>
      <c r="AF61" s="237"/>
      <c r="AG61" s="237"/>
      <c r="AH61" s="237"/>
      <c r="AI61" s="237"/>
      <c r="AJ61" s="237"/>
      <c r="AK61" s="237"/>
      <c r="AL61" s="237"/>
      <c r="AM61" s="237"/>
      <c r="AN61" s="237"/>
      <c r="AO61" s="237"/>
      <c r="AP61" s="237"/>
      <c r="AQ61" s="237"/>
      <c r="AR61" s="237"/>
      <c r="AS61" s="237"/>
      <c r="AT61" s="237"/>
      <c r="AU61" s="237"/>
      <c r="AV61" s="237"/>
      <c r="AW61" s="237"/>
      <c r="AX61" s="238"/>
      <c r="AY61" s="157"/>
      <c r="AZ61" s="157"/>
      <c r="BA61" s="926"/>
      <c r="BB61" s="926"/>
      <c r="BC61" s="926"/>
      <c r="BD61" s="894" t="s">
        <v>398</v>
      </c>
      <c r="BE61" s="894"/>
    </row>
    <row r="62" spans="1:57" s="1057" customFormat="1" ht="16.5" customHeight="1">
      <c r="A62" s="988"/>
      <c r="B62" s="718"/>
      <c r="C62" s="1012"/>
      <c r="D62" s="1012"/>
      <c r="E62" s="623">
        <v>17.100000000000001</v>
      </c>
      <c r="F62" s="714" t="str">
        <f t="shared" ca="1" si="8"/>
        <v>1</v>
      </c>
      <c r="G62" s="714" t="s">
        <v>400</v>
      </c>
      <c r="H62" s="113" t="s">
        <v>401</v>
      </c>
      <c r="I62" s="1012"/>
      <c r="J62" s="1012"/>
      <c r="K62" s="1012"/>
      <c r="L62" s="1012"/>
      <c r="M62" s="1012"/>
      <c r="N62" s="1012"/>
      <c r="O62" s="1012"/>
      <c r="P62" s="1012"/>
      <c r="Q62" s="714"/>
      <c r="R62" s="714"/>
      <c r="S62" s="1012"/>
      <c r="T62" s="1012"/>
      <c r="U62" s="715" t="b">
        <f t="shared" ref="U62:U74" ca="1" si="9">F62&gt;0</f>
        <v>1</v>
      </c>
      <c r="V62" s="1012"/>
      <c r="W62" s="1012"/>
      <c r="X62" s="1012"/>
      <c r="Y62" s="1405"/>
      <c r="Z62" s="1405"/>
      <c r="AA62" s="157"/>
      <c r="AB62" s="693">
        <v>3</v>
      </c>
      <c r="AC62" s="694" t="s">
        <v>402</v>
      </c>
      <c r="AD62" s="695" t="s">
        <v>388</v>
      </c>
      <c r="AE62" s="1100"/>
      <c r="AF62" s="1096"/>
      <c r="AG62" s="1096"/>
      <c r="AH62" s="1100"/>
      <c r="AI62" s="1100"/>
      <c r="AJ62" s="1100"/>
      <c r="AK62" s="1100"/>
      <c r="AL62" s="1100"/>
      <c r="AM62" s="1100"/>
      <c r="AN62" s="1100"/>
      <c r="AO62" s="971"/>
      <c r="AP62" s="1096"/>
      <c r="AQ62" s="1096"/>
      <c r="AR62" s="1100"/>
      <c r="AS62" s="1100"/>
      <c r="AT62" s="1100"/>
      <c r="AU62" s="1100"/>
      <c r="AV62" s="1100"/>
      <c r="AW62" s="1100"/>
      <c r="AX62" s="1100"/>
      <c r="AY62" s="157"/>
      <c r="AZ62" s="157"/>
      <c r="BA62" s="890" t="s">
        <v>403</v>
      </c>
      <c r="BB62" s="926"/>
      <c r="BC62" s="926"/>
      <c r="BD62" s="894"/>
      <c r="BE62" s="894"/>
    </row>
    <row r="63" spans="1:57" s="1057" customFormat="1" ht="16.5" customHeight="1">
      <c r="A63" s="988"/>
      <c r="B63" s="718"/>
      <c r="C63" s="1012"/>
      <c r="D63" s="1012"/>
      <c r="E63" s="623">
        <v>17.100000000000001</v>
      </c>
      <c r="F63" s="714" t="str">
        <f t="shared" ca="1" si="8"/>
        <v>1</v>
      </c>
      <c r="G63" s="1012"/>
      <c r="H63" s="113" t="s">
        <v>404</v>
      </c>
      <c r="I63" s="1012"/>
      <c r="J63" s="1012"/>
      <c r="K63" s="1012"/>
      <c r="L63" s="1012"/>
      <c r="M63" s="1012"/>
      <c r="N63" s="1012"/>
      <c r="O63" s="1012"/>
      <c r="P63" s="1012"/>
      <c r="Q63" s="714"/>
      <c r="R63" s="714"/>
      <c r="S63" s="1012"/>
      <c r="T63" s="1012"/>
      <c r="U63" s="715" t="b">
        <f t="shared" ca="1" si="9"/>
        <v>1</v>
      </c>
      <c r="V63" s="1012"/>
      <c r="W63" s="1012"/>
      <c r="X63" s="1012"/>
      <c r="Y63" s="1405"/>
      <c r="Z63" s="1405"/>
      <c r="AA63" s="157"/>
      <c r="AB63" s="660">
        <v>4</v>
      </c>
      <c r="AC63" s="666" t="s">
        <v>405</v>
      </c>
      <c r="AD63" s="667" t="s">
        <v>388</v>
      </c>
      <c r="AE63" s="1099"/>
      <c r="AF63" s="1097"/>
      <c r="AG63" s="1097"/>
      <c r="AH63" s="1099"/>
      <c r="AI63" s="1099"/>
      <c r="AJ63" s="1099"/>
      <c r="AK63" s="1099"/>
      <c r="AL63" s="1099"/>
      <c r="AM63" s="1099"/>
      <c r="AN63" s="1099"/>
      <c r="AO63" s="669"/>
      <c r="AP63" s="1097"/>
      <c r="AQ63" s="1097"/>
      <c r="AR63" s="1099"/>
      <c r="AS63" s="1099"/>
      <c r="AT63" s="1099"/>
      <c r="AU63" s="1099"/>
      <c r="AV63" s="1099"/>
      <c r="AW63" s="1099"/>
      <c r="AX63" s="1099"/>
      <c r="AY63" s="157"/>
      <c r="AZ63" s="157"/>
      <c r="BA63" s="890" t="s">
        <v>406</v>
      </c>
      <c r="BB63" s="926"/>
      <c r="BC63" s="926"/>
      <c r="BD63" s="894"/>
      <c r="BE63" s="894"/>
    </row>
    <row r="64" spans="1:57" s="1057" customFormat="1" ht="29.25" customHeight="1">
      <c r="A64" s="988"/>
      <c r="B64" s="718"/>
      <c r="C64" s="1012"/>
      <c r="D64" s="1012"/>
      <c r="E64" s="623">
        <v>30</v>
      </c>
      <c r="F64" s="714" t="str">
        <f t="shared" ca="1" si="8"/>
        <v>1</v>
      </c>
      <c r="G64" s="1012"/>
      <c r="H64" s="113" t="s">
        <v>407</v>
      </c>
      <c r="I64" s="1012"/>
      <c r="J64" s="1012"/>
      <c r="K64" s="1012"/>
      <c r="L64" s="1012"/>
      <c r="M64" s="1012"/>
      <c r="N64" s="1012"/>
      <c r="O64" s="1012"/>
      <c r="P64" s="1012"/>
      <c r="Q64" s="714"/>
      <c r="R64" s="714"/>
      <c r="S64" s="1012"/>
      <c r="T64" s="1012"/>
      <c r="U64" s="715" t="b">
        <f t="shared" ca="1" si="9"/>
        <v>1</v>
      </c>
      <c r="V64" s="1012"/>
      <c r="W64" s="1012"/>
      <c r="X64" s="1012"/>
      <c r="Y64" s="1405"/>
      <c r="Z64" s="1405"/>
      <c r="AA64" s="157"/>
      <c r="AB64" s="660">
        <v>5</v>
      </c>
      <c r="AC64" s="668" t="s">
        <v>408</v>
      </c>
      <c r="AD64" s="667" t="s">
        <v>388</v>
      </c>
      <c r="AE64" s="1099"/>
      <c r="AF64" s="1097"/>
      <c r="AG64" s="1097"/>
      <c r="AH64" s="1099"/>
      <c r="AI64" s="1099"/>
      <c r="AJ64" s="1099"/>
      <c r="AK64" s="1099"/>
      <c r="AL64" s="1099"/>
      <c r="AM64" s="1099"/>
      <c r="AN64" s="1099"/>
      <c r="AO64" s="669"/>
      <c r="AP64" s="1097"/>
      <c r="AQ64" s="1097"/>
      <c r="AR64" s="1099"/>
      <c r="AS64" s="1099"/>
      <c r="AT64" s="1099"/>
      <c r="AU64" s="1099"/>
      <c r="AV64" s="1099"/>
      <c r="AW64" s="1099"/>
      <c r="AX64" s="1099"/>
      <c r="AY64" s="157"/>
      <c r="AZ64" s="157"/>
      <c r="BA64" s="890" t="s">
        <v>409</v>
      </c>
      <c r="BB64" s="926"/>
      <c r="BC64" s="926"/>
      <c r="BD64" s="894"/>
      <c r="BE64" s="894"/>
    </row>
    <row r="65" spans="1:57" s="1057" customFormat="1" ht="16.5" customHeight="1">
      <c r="A65" s="988"/>
      <c r="B65" s="718"/>
      <c r="C65" s="1012"/>
      <c r="D65" s="1012"/>
      <c r="E65" s="623">
        <v>17.100000000000001</v>
      </c>
      <c r="F65" s="714" t="str">
        <f t="shared" ca="1" si="8"/>
        <v>1</v>
      </c>
      <c r="G65" s="1012"/>
      <c r="H65" s="113" t="s">
        <v>410</v>
      </c>
      <c r="I65" s="1012"/>
      <c r="J65" s="1012"/>
      <c r="K65" s="1012"/>
      <c r="L65" s="1012"/>
      <c r="M65" s="1012"/>
      <c r="N65" s="1012"/>
      <c r="O65" s="1012"/>
      <c r="P65" s="1012"/>
      <c r="Q65" s="714"/>
      <c r="R65" s="714"/>
      <c r="S65" s="1012"/>
      <c r="T65" s="1012"/>
      <c r="U65" s="715" t="b">
        <f t="shared" ca="1" si="9"/>
        <v>1</v>
      </c>
      <c r="V65" s="1012"/>
      <c r="W65" s="1012"/>
      <c r="X65" s="1012"/>
      <c r="Y65" s="1405"/>
      <c r="Z65" s="1405"/>
      <c r="AA65" s="157"/>
      <c r="AB65" s="660">
        <v>6</v>
      </c>
      <c r="AC65" s="668" t="s">
        <v>411</v>
      </c>
      <c r="AD65" s="667" t="s">
        <v>388</v>
      </c>
      <c r="AE65" s="1099"/>
      <c r="AF65" s="1097"/>
      <c r="AG65" s="1097"/>
      <c r="AH65" s="1099"/>
      <c r="AI65" s="1099"/>
      <c r="AJ65" s="1099"/>
      <c r="AK65" s="1099"/>
      <c r="AL65" s="1099"/>
      <c r="AM65" s="1099"/>
      <c r="AN65" s="1099"/>
      <c r="AO65" s="669"/>
      <c r="AP65" s="1097"/>
      <c r="AQ65" s="1097"/>
      <c r="AR65" s="1099"/>
      <c r="AS65" s="1099"/>
      <c r="AT65" s="1099"/>
      <c r="AU65" s="1099"/>
      <c r="AV65" s="1099"/>
      <c r="AW65" s="1099"/>
      <c r="AX65" s="1099"/>
      <c r="AY65" s="157"/>
      <c r="AZ65" s="157"/>
      <c r="BA65" s="890" t="s">
        <v>412</v>
      </c>
      <c r="BB65" s="926"/>
      <c r="BC65" s="926"/>
      <c r="BD65" s="894"/>
      <c r="BE65" s="894"/>
    </row>
    <row r="66" spans="1:57" s="1057" customFormat="1" ht="16.5" customHeight="1">
      <c r="A66" s="988"/>
      <c r="B66" s="718"/>
      <c r="C66" s="1012"/>
      <c r="D66" s="1012"/>
      <c r="E66" s="623">
        <v>17.100000000000001</v>
      </c>
      <c r="F66" s="714" t="str">
        <f t="shared" ca="1" si="8"/>
        <v>1</v>
      </c>
      <c r="G66" s="1012"/>
      <c r="H66" s="113" t="s">
        <v>413</v>
      </c>
      <c r="I66" s="1012"/>
      <c r="J66" s="1012"/>
      <c r="K66" s="1012"/>
      <c r="L66" s="1012"/>
      <c r="M66" s="1012"/>
      <c r="N66" s="1012"/>
      <c r="O66" s="1012"/>
      <c r="P66" s="1012"/>
      <c r="Q66" s="714"/>
      <c r="R66" s="714"/>
      <c r="S66" s="1012"/>
      <c r="T66" s="1012"/>
      <c r="U66" s="715" t="b">
        <f t="shared" ca="1" si="9"/>
        <v>1</v>
      </c>
      <c r="V66" s="1012"/>
      <c r="W66" s="1012"/>
      <c r="X66" s="1012"/>
      <c r="Y66" s="1405"/>
      <c r="Z66" s="1405"/>
      <c r="AA66" s="157"/>
      <c r="AB66" s="660">
        <v>7</v>
      </c>
      <c r="AC66" s="668" t="s">
        <v>414</v>
      </c>
      <c r="AD66" s="667" t="s">
        <v>388</v>
      </c>
      <c r="AE66" s="1099"/>
      <c r="AF66" s="1097"/>
      <c r="AG66" s="1097"/>
      <c r="AH66" s="1099"/>
      <c r="AI66" s="1099"/>
      <c r="AJ66" s="1099"/>
      <c r="AK66" s="1099"/>
      <c r="AL66" s="1099"/>
      <c r="AM66" s="1099"/>
      <c r="AN66" s="1099"/>
      <c r="AO66" s="669"/>
      <c r="AP66" s="1097"/>
      <c r="AQ66" s="1097"/>
      <c r="AR66" s="1099"/>
      <c r="AS66" s="1099"/>
      <c r="AT66" s="1099"/>
      <c r="AU66" s="1099"/>
      <c r="AV66" s="1099"/>
      <c r="AW66" s="1099"/>
      <c r="AX66" s="1099"/>
      <c r="AY66" s="157"/>
      <c r="AZ66" s="157"/>
      <c r="BA66" s="890" t="s">
        <v>415</v>
      </c>
      <c r="BB66" s="926"/>
      <c r="BC66" s="926"/>
      <c r="BD66" s="894"/>
      <c r="BE66" s="894"/>
    </row>
    <row r="67" spans="1:57" s="1057" customFormat="1" ht="16.5" customHeight="1">
      <c r="A67" s="988"/>
      <c r="B67" s="718"/>
      <c r="C67" s="1012"/>
      <c r="D67" s="1012"/>
      <c r="E67" s="623">
        <v>17.100000000000001</v>
      </c>
      <c r="F67" s="714" t="str">
        <f t="shared" ca="1" si="8"/>
        <v>1</v>
      </c>
      <c r="G67" s="1012"/>
      <c r="H67" s="113" t="s">
        <v>416</v>
      </c>
      <c r="I67" s="1012"/>
      <c r="J67" s="1012"/>
      <c r="K67" s="1012"/>
      <c r="L67" s="1012"/>
      <c r="M67" s="1012"/>
      <c r="N67" s="1012"/>
      <c r="O67" s="1012"/>
      <c r="P67" s="1012"/>
      <c r="Q67" s="714"/>
      <c r="R67" s="714"/>
      <c r="S67" s="1012"/>
      <c r="T67" s="1012"/>
      <c r="U67" s="715" t="b">
        <f t="shared" ca="1" si="9"/>
        <v>1</v>
      </c>
      <c r="V67" s="1012"/>
      <c r="W67" s="1012"/>
      <c r="X67" s="1012"/>
      <c r="Y67" s="1405"/>
      <c r="Z67" s="1405"/>
      <c r="AA67" s="157"/>
      <c r="AB67" s="660">
        <v>8</v>
      </c>
      <c r="AC67" s="668" t="s">
        <v>417</v>
      </c>
      <c r="AD67" s="667" t="s">
        <v>388</v>
      </c>
      <c r="AE67" s="1099"/>
      <c r="AF67" s="1097"/>
      <c r="AG67" s="1097"/>
      <c r="AH67" s="1099"/>
      <c r="AI67" s="1099"/>
      <c r="AJ67" s="1099"/>
      <c r="AK67" s="1099"/>
      <c r="AL67" s="1099"/>
      <c r="AM67" s="1099"/>
      <c r="AN67" s="1099"/>
      <c r="AO67" s="669"/>
      <c r="AP67" s="1097"/>
      <c r="AQ67" s="1097"/>
      <c r="AR67" s="1099"/>
      <c r="AS67" s="1099"/>
      <c r="AT67" s="1099"/>
      <c r="AU67" s="1099"/>
      <c r="AV67" s="1099"/>
      <c r="AW67" s="1099"/>
      <c r="AX67" s="1099"/>
      <c r="AY67" s="157"/>
      <c r="AZ67" s="157"/>
      <c r="BA67" s="890" t="s">
        <v>418</v>
      </c>
      <c r="BB67" s="926"/>
      <c r="BC67" s="926"/>
      <c r="BD67" s="894"/>
      <c r="BE67" s="894"/>
    </row>
    <row r="68" spans="1:57" s="1057" customFormat="1" ht="16.5" customHeight="1">
      <c r="A68" s="988"/>
      <c r="B68" s="718"/>
      <c r="C68" s="1012"/>
      <c r="D68" s="1012"/>
      <c r="E68" s="623">
        <v>17.100000000000001</v>
      </c>
      <c r="F68" s="714" t="str">
        <f t="shared" ca="1" si="8"/>
        <v>1</v>
      </c>
      <c r="G68" s="1012"/>
      <c r="H68" s="113" t="s">
        <v>419</v>
      </c>
      <c r="I68" s="1012"/>
      <c r="J68" s="1012"/>
      <c r="K68" s="1012"/>
      <c r="L68" s="1012"/>
      <c r="M68" s="1012"/>
      <c r="N68" s="1012"/>
      <c r="O68" s="1012"/>
      <c r="P68" s="1012"/>
      <c r="Q68" s="714"/>
      <c r="R68" s="714"/>
      <c r="S68" s="1012"/>
      <c r="T68" s="1012"/>
      <c r="U68" s="715" t="b">
        <f t="shared" ca="1" si="9"/>
        <v>1</v>
      </c>
      <c r="V68" s="1012"/>
      <c r="W68" s="1012"/>
      <c r="X68" s="1012"/>
      <c r="Y68" s="1405"/>
      <c r="Z68" s="1405"/>
      <c r="AA68" s="157"/>
      <c r="AB68" s="660">
        <v>9</v>
      </c>
      <c r="AC68" s="668" t="s">
        <v>420</v>
      </c>
      <c r="AD68" s="110" t="s">
        <v>421</v>
      </c>
      <c r="AE68" s="1099">
        <f>7900</f>
        <v>7900</v>
      </c>
      <c r="AF68" s="1097">
        <f>7900</f>
        <v>7900</v>
      </c>
      <c r="AG68" s="1097">
        <f>7900</f>
        <v>7900</v>
      </c>
      <c r="AH68" s="1099">
        <f>7900</f>
        <v>7900</v>
      </c>
      <c r="AI68" s="1099">
        <f>7900</f>
        <v>7900</v>
      </c>
      <c r="AJ68" s="1099">
        <f>7900</f>
        <v>7900</v>
      </c>
      <c r="AK68" s="1099">
        <f>7900</f>
        <v>7900</v>
      </c>
      <c r="AL68" s="1099">
        <f>7900</f>
        <v>7900</v>
      </c>
      <c r="AM68" s="1099">
        <f>7900</f>
        <v>7900</v>
      </c>
      <c r="AN68" s="1099">
        <f>7900</f>
        <v>7900</v>
      </c>
      <c r="AO68" s="669">
        <f>7900</f>
        <v>7900</v>
      </c>
      <c r="AP68" s="1097">
        <f>7900</f>
        <v>7900</v>
      </c>
      <c r="AQ68" s="1097">
        <f>7900</f>
        <v>7900</v>
      </c>
      <c r="AR68" s="1099">
        <f>7900</f>
        <v>7900</v>
      </c>
      <c r="AS68" s="1099">
        <f>7900</f>
        <v>7900</v>
      </c>
      <c r="AT68" s="1099">
        <f>7900</f>
        <v>7900</v>
      </c>
      <c r="AU68" s="1099">
        <f>7900</f>
        <v>7900</v>
      </c>
      <c r="AV68" s="1099">
        <f>7900</f>
        <v>7900</v>
      </c>
      <c r="AW68" s="1099">
        <f>7900</f>
        <v>7900</v>
      </c>
      <c r="AX68" s="1099">
        <f>7900</f>
        <v>7900</v>
      </c>
      <c r="AY68" s="157"/>
      <c r="AZ68" s="157"/>
      <c r="BA68" s="890" t="s">
        <v>422</v>
      </c>
      <c r="BB68" s="926"/>
      <c r="BC68" s="926"/>
      <c r="BD68" s="894"/>
      <c r="BE68" s="894"/>
    </row>
    <row r="69" spans="1:57" s="1057" customFormat="1" ht="16.5" customHeight="1">
      <c r="A69" s="988"/>
      <c r="B69" s="718"/>
      <c r="C69" s="1012"/>
      <c r="D69" s="1012"/>
      <c r="E69" s="623">
        <v>17.100000000000001</v>
      </c>
      <c r="F69" s="714" t="str">
        <f t="shared" ca="1" si="8"/>
        <v>1</v>
      </c>
      <c r="G69" s="1012"/>
      <c r="H69" s="113" t="s">
        <v>423</v>
      </c>
      <c r="I69" s="1012"/>
      <c r="J69" s="1012"/>
      <c r="K69" s="1012"/>
      <c r="L69" s="1012"/>
      <c r="M69" s="1012"/>
      <c r="N69" s="1012"/>
      <c r="O69" s="1012"/>
      <c r="P69" s="1012"/>
      <c r="Q69" s="714"/>
      <c r="R69" s="714"/>
      <c r="S69" s="1012"/>
      <c r="T69" s="1012"/>
      <c r="U69" s="715" t="b">
        <f t="shared" ca="1" si="9"/>
        <v>1</v>
      </c>
      <c r="V69" s="1012"/>
      <c r="W69" s="1012"/>
      <c r="X69" s="1012"/>
      <c r="Y69" s="1405"/>
      <c r="Z69" s="1405"/>
      <c r="AA69" s="157"/>
      <c r="AB69" s="660">
        <v>10</v>
      </c>
      <c r="AC69" s="668" t="s">
        <v>424</v>
      </c>
      <c r="AD69" s="110" t="s">
        <v>425</v>
      </c>
      <c r="AE69" s="1099"/>
      <c r="AF69" s="1097"/>
      <c r="AG69" s="1097"/>
      <c r="AH69" s="1099"/>
      <c r="AI69" s="1099"/>
      <c r="AJ69" s="1099"/>
      <c r="AK69" s="1099"/>
      <c r="AL69" s="1099"/>
      <c r="AM69" s="1099"/>
      <c r="AN69" s="1099"/>
      <c r="AO69" s="669"/>
      <c r="AP69" s="1097"/>
      <c r="AQ69" s="1097"/>
      <c r="AR69" s="1099"/>
      <c r="AS69" s="1099"/>
      <c r="AT69" s="1099"/>
      <c r="AU69" s="1099"/>
      <c r="AV69" s="1099"/>
      <c r="AW69" s="1099"/>
      <c r="AX69" s="1099"/>
      <c r="AY69" s="157"/>
      <c r="AZ69" s="157"/>
      <c r="BA69" s="890" t="s">
        <v>426</v>
      </c>
      <c r="BB69" s="926"/>
      <c r="BC69" s="926"/>
      <c r="BD69" s="894"/>
      <c r="BE69" s="894"/>
    </row>
    <row r="70" spans="1:57" s="1057" customFormat="1" ht="16.5" customHeight="1">
      <c r="A70" s="988"/>
      <c r="B70" s="718"/>
      <c r="C70" s="1012"/>
      <c r="D70" s="1012"/>
      <c r="E70" s="623">
        <v>17.100000000000001</v>
      </c>
      <c r="F70" s="714" t="str">
        <f t="shared" ca="1" si="8"/>
        <v>1</v>
      </c>
      <c r="G70" s="1012"/>
      <c r="H70" s="113" t="s">
        <v>427</v>
      </c>
      <c r="I70" s="1012"/>
      <c r="J70" s="1012"/>
      <c r="K70" s="1012"/>
      <c r="L70" s="1012"/>
      <c r="M70" s="1012"/>
      <c r="N70" s="1012"/>
      <c r="O70" s="1012"/>
      <c r="P70" s="1012"/>
      <c r="Q70" s="714"/>
      <c r="R70" s="714"/>
      <c r="S70" s="1012"/>
      <c r="T70" s="1012"/>
      <c r="U70" s="715" t="b">
        <f t="shared" ca="1" si="9"/>
        <v>1</v>
      </c>
      <c r="V70" s="1012"/>
      <c r="W70" s="1012"/>
      <c r="X70" s="1012"/>
      <c r="Y70" s="1405"/>
      <c r="Z70" s="1405"/>
      <c r="AA70" s="157"/>
      <c r="AB70" s="660">
        <v>11</v>
      </c>
      <c r="AC70" s="668" t="s">
        <v>428</v>
      </c>
      <c r="AD70" s="110" t="s">
        <v>429</v>
      </c>
      <c r="AE70" s="1099">
        <f>7000</f>
        <v>7000</v>
      </c>
      <c r="AF70" s="1097">
        <f>7000</f>
        <v>7000</v>
      </c>
      <c r="AG70" s="1097">
        <f>7000</f>
        <v>7000</v>
      </c>
      <c r="AH70" s="1099">
        <f>7000</f>
        <v>7000</v>
      </c>
      <c r="AI70" s="1099">
        <f>7000</f>
        <v>7000</v>
      </c>
      <c r="AJ70" s="1099">
        <f>7000</f>
        <v>7000</v>
      </c>
      <c r="AK70" s="1099">
        <f>7000</f>
        <v>7000</v>
      </c>
      <c r="AL70" s="1099">
        <f>7000</f>
        <v>7000</v>
      </c>
      <c r="AM70" s="1099">
        <f>7000</f>
        <v>7000</v>
      </c>
      <c r="AN70" s="1099">
        <f>7000</f>
        <v>7000</v>
      </c>
      <c r="AO70" s="669">
        <f>7000</f>
        <v>7000</v>
      </c>
      <c r="AP70" s="1097">
        <f>7000</f>
        <v>7000</v>
      </c>
      <c r="AQ70" s="1097">
        <f>7000</f>
        <v>7000</v>
      </c>
      <c r="AR70" s="1099">
        <f>7000</f>
        <v>7000</v>
      </c>
      <c r="AS70" s="1099">
        <f>7000</f>
        <v>7000</v>
      </c>
      <c r="AT70" s="1099">
        <f>7000</f>
        <v>7000</v>
      </c>
      <c r="AU70" s="1099">
        <f>7000</f>
        <v>7000</v>
      </c>
      <c r="AV70" s="1099">
        <f>7000</f>
        <v>7000</v>
      </c>
      <c r="AW70" s="1099">
        <f>7000</f>
        <v>7000</v>
      </c>
      <c r="AX70" s="1099">
        <f>7000</f>
        <v>7000</v>
      </c>
      <c r="AY70" s="157"/>
      <c r="AZ70" s="157"/>
      <c r="BA70" s="890" t="s">
        <v>430</v>
      </c>
      <c r="BB70" s="926"/>
      <c r="BC70" s="926"/>
      <c r="BD70" s="894"/>
      <c r="BE70" s="894"/>
    </row>
    <row r="71" spans="1:57" s="1057" customFormat="1" ht="16.5" customHeight="1">
      <c r="A71" s="988"/>
      <c r="B71" s="718"/>
      <c r="C71" s="1012"/>
      <c r="D71" s="1012"/>
      <c r="E71" s="623">
        <v>17.100000000000001</v>
      </c>
      <c r="F71" s="714" t="str">
        <f t="shared" ca="1" si="8"/>
        <v>1</v>
      </c>
      <c r="G71" s="1012"/>
      <c r="H71" s="113" t="s">
        <v>431</v>
      </c>
      <c r="I71" s="1012"/>
      <c r="J71" s="1012"/>
      <c r="K71" s="1012"/>
      <c r="L71" s="1012"/>
      <c r="M71" s="1012"/>
      <c r="N71" s="1012"/>
      <c r="O71" s="1012"/>
      <c r="P71" s="1012"/>
      <c r="Q71" s="714"/>
      <c r="R71" s="714"/>
      <c r="S71" s="1012"/>
      <c r="T71" s="1012"/>
      <c r="U71" s="715" t="b">
        <f t="shared" ca="1" si="9"/>
        <v>1</v>
      </c>
      <c r="V71" s="1012"/>
      <c r="W71" s="1012"/>
      <c r="X71" s="1012"/>
      <c r="Y71" s="1405"/>
      <c r="Z71" s="1405"/>
      <c r="AA71" s="157"/>
      <c r="AB71" s="660">
        <v>12</v>
      </c>
      <c r="AC71" s="668" t="s">
        <v>432</v>
      </c>
      <c r="AD71" s="667" t="s">
        <v>388</v>
      </c>
      <c r="AE71" s="1099"/>
      <c r="AF71" s="1097"/>
      <c r="AG71" s="1097"/>
      <c r="AH71" s="1099"/>
      <c r="AI71" s="1099"/>
      <c r="AJ71" s="1099"/>
      <c r="AK71" s="1099"/>
      <c r="AL71" s="1099"/>
      <c r="AM71" s="1099"/>
      <c r="AN71" s="1099"/>
      <c r="AO71" s="669"/>
      <c r="AP71" s="1097"/>
      <c r="AQ71" s="1097"/>
      <c r="AR71" s="1099"/>
      <c r="AS71" s="1099"/>
      <c r="AT71" s="1099"/>
      <c r="AU71" s="1099"/>
      <c r="AV71" s="1099"/>
      <c r="AW71" s="1099"/>
      <c r="AX71" s="1099"/>
      <c r="AY71" s="157"/>
      <c r="AZ71" s="157"/>
      <c r="BA71" s="890" t="s">
        <v>433</v>
      </c>
      <c r="BB71" s="926"/>
      <c r="BC71" s="926"/>
      <c r="BD71" s="894"/>
      <c r="BE71" s="894"/>
    </row>
    <row r="72" spans="1:57" s="1057" customFormat="1" ht="16.5" customHeight="1">
      <c r="A72" s="988"/>
      <c r="B72" s="718"/>
      <c r="C72" s="1012"/>
      <c r="D72" s="1012"/>
      <c r="E72" s="623">
        <v>17.100000000000001</v>
      </c>
      <c r="F72" s="714" t="str">
        <f t="shared" ca="1" si="8"/>
        <v>1</v>
      </c>
      <c r="G72" s="1012"/>
      <c r="H72" s="113" t="s">
        <v>434</v>
      </c>
      <c r="I72" s="1012"/>
      <c r="J72" s="1012"/>
      <c r="K72" s="1012"/>
      <c r="L72" s="1012"/>
      <c r="M72" s="1012"/>
      <c r="N72" s="1012"/>
      <c r="O72" s="1012"/>
      <c r="P72" s="1012"/>
      <c r="Q72" s="714"/>
      <c r="R72" s="714"/>
      <c r="S72" s="1012"/>
      <c r="T72" s="1012"/>
      <c r="U72" s="715" t="b">
        <f t="shared" ca="1" si="9"/>
        <v>1</v>
      </c>
      <c r="V72" s="1012"/>
      <c r="W72" s="1012"/>
      <c r="X72" s="1012"/>
      <c r="Y72" s="1405"/>
      <c r="Z72" s="1405"/>
      <c r="AA72" s="157"/>
      <c r="AB72" s="660">
        <v>13</v>
      </c>
      <c r="AC72" s="668" t="s">
        <v>435</v>
      </c>
      <c r="AD72" s="667" t="s">
        <v>388</v>
      </c>
      <c r="AE72" s="1099"/>
      <c r="AF72" s="1097"/>
      <c r="AG72" s="1097"/>
      <c r="AH72" s="1099"/>
      <c r="AI72" s="1099"/>
      <c r="AJ72" s="1099"/>
      <c r="AK72" s="1099"/>
      <c r="AL72" s="1099"/>
      <c r="AM72" s="1099"/>
      <c r="AN72" s="1099"/>
      <c r="AO72" s="669"/>
      <c r="AP72" s="1097"/>
      <c r="AQ72" s="1097"/>
      <c r="AR72" s="1099"/>
      <c r="AS72" s="1099"/>
      <c r="AT72" s="1099"/>
      <c r="AU72" s="1099"/>
      <c r="AV72" s="1099"/>
      <c r="AW72" s="1099"/>
      <c r="AX72" s="1099"/>
      <c r="AY72" s="157"/>
      <c r="AZ72" s="157"/>
      <c r="BA72" s="890" t="s">
        <v>436</v>
      </c>
      <c r="BB72" s="926"/>
      <c r="BC72" s="926"/>
      <c r="BD72" s="894"/>
      <c r="BE72" s="894"/>
    </row>
    <row r="73" spans="1:57" s="1057" customFormat="1" ht="16.5" customHeight="1">
      <c r="A73" s="988"/>
      <c r="B73" s="718"/>
      <c r="C73" s="1012"/>
      <c r="D73" s="1012"/>
      <c r="E73" s="623">
        <v>17.100000000000001</v>
      </c>
      <c r="F73" s="714" t="str">
        <f t="shared" ca="1" si="8"/>
        <v>1</v>
      </c>
      <c r="G73" s="1012"/>
      <c r="H73" s="113" t="s">
        <v>437</v>
      </c>
      <c r="I73" s="1012"/>
      <c r="J73" s="1012"/>
      <c r="K73" s="1012"/>
      <c r="L73" s="1012"/>
      <c r="M73" s="1012"/>
      <c r="N73" s="1012"/>
      <c r="O73" s="1012"/>
      <c r="P73" s="1012"/>
      <c r="Q73" s="714"/>
      <c r="R73" s="714"/>
      <c r="S73" s="1012"/>
      <c r="T73" s="1012"/>
      <c r="U73" s="715" t="b">
        <f t="shared" ca="1" si="9"/>
        <v>1</v>
      </c>
      <c r="V73" s="1012"/>
      <c r="W73" s="1012"/>
      <c r="X73" s="1012"/>
      <c r="Y73" s="1405"/>
      <c r="Z73" s="1405"/>
      <c r="AA73" s="157"/>
      <c r="AB73" s="660">
        <v>14</v>
      </c>
      <c r="AC73" s="668" t="s">
        <v>438</v>
      </c>
      <c r="AD73" s="667" t="s">
        <v>388</v>
      </c>
      <c r="AE73" s="1099"/>
      <c r="AF73" s="1097"/>
      <c r="AG73" s="1097"/>
      <c r="AH73" s="1099"/>
      <c r="AI73" s="1099"/>
      <c r="AJ73" s="1099"/>
      <c r="AK73" s="1099"/>
      <c r="AL73" s="1099"/>
      <c r="AM73" s="1099"/>
      <c r="AN73" s="1099"/>
      <c r="AO73" s="669"/>
      <c r="AP73" s="1097"/>
      <c r="AQ73" s="1097"/>
      <c r="AR73" s="1099"/>
      <c r="AS73" s="1099"/>
      <c r="AT73" s="1099"/>
      <c r="AU73" s="1099"/>
      <c r="AV73" s="1099"/>
      <c r="AW73" s="1099"/>
      <c r="AX73" s="1099"/>
      <c r="AY73" s="157"/>
      <c r="AZ73" s="157"/>
      <c r="BA73" s="890" t="s">
        <v>439</v>
      </c>
      <c r="BB73" s="926"/>
      <c r="BC73" s="926"/>
      <c r="BD73" s="894"/>
      <c r="BE73" s="894"/>
    </row>
    <row r="74" spans="1:57" s="1057" customFormat="1" ht="16.5" customHeight="1">
      <c r="A74" s="988"/>
      <c r="B74" s="718"/>
      <c r="C74" s="1012"/>
      <c r="D74" s="1012"/>
      <c r="E74" s="623">
        <v>17.100000000000001</v>
      </c>
      <c r="F74" s="714" t="str">
        <f t="shared" ca="1" si="8"/>
        <v>1</v>
      </c>
      <c r="G74" s="1012"/>
      <c r="H74" s="113" t="s">
        <v>440</v>
      </c>
      <c r="I74" s="1012"/>
      <c r="J74" s="1012"/>
      <c r="K74" s="1012"/>
      <c r="L74" s="1012"/>
      <c r="M74" s="1012"/>
      <c r="N74" s="1012"/>
      <c r="O74" s="1012"/>
      <c r="P74" s="1012"/>
      <c r="Q74" s="714"/>
      <c r="R74" s="714"/>
      <c r="S74" s="1012"/>
      <c r="T74" s="1012"/>
      <c r="U74" s="715" t="b">
        <f t="shared" ca="1" si="9"/>
        <v>1</v>
      </c>
      <c r="V74" s="1012"/>
      <c r="W74" s="1012"/>
      <c r="X74" s="1012"/>
      <c r="Y74" s="1405"/>
      <c r="Z74" s="1405"/>
      <c r="AA74" s="157"/>
      <c r="AB74" s="660">
        <v>15</v>
      </c>
      <c r="AC74" s="668" t="s">
        <v>441</v>
      </c>
      <c r="AD74" s="667" t="s">
        <v>388</v>
      </c>
      <c r="AE74" s="1099"/>
      <c r="AF74" s="1097"/>
      <c r="AG74" s="1097"/>
      <c r="AH74" s="1099"/>
      <c r="AI74" s="1099"/>
      <c r="AJ74" s="1099"/>
      <c r="AK74" s="1099"/>
      <c r="AL74" s="1099"/>
      <c r="AM74" s="1099"/>
      <c r="AN74" s="1099"/>
      <c r="AO74" s="669"/>
      <c r="AP74" s="1097"/>
      <c r="AQ74" s="1097"/>
      <c r="AR74" s="1099"/>
      <c r="AS74" s="1099"/>
      <c r="AT74" s="1099"/>
      <c r="AU74" s="1099"/>
      <c r="AV74" s="1099"/>
      <c r="AW74" s="1099"/>
      <c r="AX74" s="1099"/>
      <c r="AY74" s="157"/>
      <c r="AZ74" s="157"/>
      <c r="BA74" s="890" t="s">
        <v>442</v>
      </c>
      <c r="BB74" s="926"/>
      <c r="BC74" s="926"/>
      <c r="BD74" s="894"/>
      <c r="BE74" s="894"/>
    </row>
    <row r="75" spans="1:57" s="1057" customFormat="1" ht="16.5" customHeight="1">
      <c r="A75" s="988"/>
      <c r="B75" s="718"/>
      <c r="C75" s="1012"/>
      <c r="D75" s="1012"/>
      <c r="E75" s="623">
        <v>17.100000000000001</v>
      </c>
      <c r="F75" s="714" t="str">
        <f t="shared" ca="1" si="8"/>
        <v>1</v>
      </c>
      <c r="G75" s="714" t="s">
        <v>443</v>
      </c>
      <c r="H75" s="113" t="s">
        <v>444</v>
      </c>
      <c r="I75" s="1012"/>
      <c r="J75" s="1012"/>
      <c r="K75" s="1012"/>
      <c r="L75" s="1012"/>
      <c r="M75" s="1012"/>
      <c r="N75" s="1012"/>
      <c r="O75" s="1012"/>
      <c r="P75" s="1012"/>
      <c r="Q75" s="714"/>
      <c r="R75" s="714"/>
      <c r="S75" s="1012"/>
      <c r="T75" s="1012"/>
      <c r="U75" s="803" t="b">
        <f ca="1">AND(F75&gt;0,method_reg&lt;&gt;"Метод экономически обоснованных расходов")</f>
        <v>1</v>
      </c>
      <c r="V75" s="1012"/>
      <c r="W75" s="1012"/>
      <c r="X75" s="1012"/>
      <c r="Y75" s="1405"/>
      <c r="Z75" s="1405"/>
      <c r="AA75" s="157"/>
      <c r="AB75" s="660">
        <v>16</v>
      </c>
      <c r="AC75" s="670" t="s">
        <v>445</v>
      </c>
      <c r="AD75" s="146"/>
      <c r="AE75" s="1099"/>
      <c r="AF75" s="1097"/>
      <c r="AG75" s="1097"/>
      <c r="AH75" s="1099"/>
      <c r="AI75" s="1099"/>
      <c r="AJ75" s="1099"/>
      <c r="AK75" s="1099"/>
      <c r="AL75" s="1099"/>
      <c r="AM75" s="1099"/>
      <c r="AN75" s="1099"/>
      <c r="AO75" s="669"/>
      <c r="AP75" s="1097"/>
      <c r="AQ75" s="1097"/>
      <c r="AR75" s="1099"/>
      <c r="AS75" s="1099"/>
      <c r="AT75" s="1099"/>
      <c r="AU75" s="1099"/>
      <c r="AV75" s="1099"/>
      <c r="AW75" s="1099"/>
      <c r="AX75" s="1099"/>
      <c r="AY75" s="157"/>
      <c r="AZ75" s="157"/>
      <c r="BA75" s="890" t="s">
        <v>446</v>
      </c>
      <c r="BB75" s="926"/>
      <c r="BC75" s="926"/>
      <c r="BD75" s="894"/>
      <c r="BE75" s="894"/>
    </row>
    <row r="76" spans="1:57" s="1057" customFormat="1" ht="29.25" customHeight="1">
      <c r="A76" s="988"/>
      <c r="B76" s="718"/>
      <c r="C76" s="1012"/>
      <c r="D76" s="1012"/>
      <c r="E76" s="623">
        <v>30</v>
      </c>
      <c r="F76" s="714" t="str">
        <f t="shared" ca="1" si="8"/>
        <v>1</v>
      </c>
      <c r="G76" s="714" t="s">
        <v>447</v>
      </c>
      <c r="H76" s="113" t="s">
        <v>448</v>
      </c>
      <c r="I76" s="1012"/>
      <c r="J76" s="1012"/>
      <c r="K76" s="1012"/>
      <c r="L76" s="1012"/>
      <c r="M76" s="1012"/>
      <c r="N76" s="1012"/>
      <c r="O76" s="1012"/>
      <c r="P76" s="1012"/>
      <c r="Q76" s="714"/>
      <c r="R76" s="714"/>
      <c r="S76" s="1012"/>
      <c r="T76" s="1012"/>
      <c r="U76" s="803" t="b">
        <f ca="1">AND(F76&gt;0,method_reg&lt;&gt;"Метод экономически обоснованных расходов")</f>
        <v>1</v>
      </c>
      <c r="V76" s="1012"/>
      <c r="W76" s="1012"/>
      <c r="X76" s="1012"/>
      <c r="Y76" s="1405"/>
      <c r="Z76" s="1405"/>
      <c r="AA76" s="157"/>
      <c r="AB76" s="660">
        <v>17</v>
      </c>
      <c r="AC76" s="147" t="s">
        <v>449</v>
      </c>
      <c r="AD76" s="661"/>
      <c r="AE76" s="1099">
        <f t="shared" ref="AE76:AX76" si="10">0.75</f>
        <v>0.75</v>
      </c>
      <c r="AF76" s="1097">
        <f t="shared" si="10"/>
        <v>0.75</v>
      </c>
      <c r="AG76" s="1097">
        <f t="shared" si="10"/>
        <v>0.75</v>
      </c>
      <c r="AH76" s="1099">
        <f t="shared" si="10"/>
        <v>0.75</v>
      </c>
      <c r="AI76" s="1099">
        <f t="shared" si="10"/>
        <v>0.75</v>
      </c>
      <c r="AJ76" s="1099">
        <f t="shared" si="10"/>
        <v>0.75</v>
      </c>
      <c r="AK76" s="1099">
        <f t="shared" si="10"/>
        <v>0.75</v>
      </c>
      <c r="AL76" s="1099">
        <f t="shared" si="10"/>
        <v>0.75</v>
      </c>
      <c r="AM76" s="1099">
        <f t="shared" si="10"/>
        <v>0.75</v>
      </c>
      <c r="AN76" s="1099">
        <f t="shared" si="10"/>
        <v>0.75</v>
      </c>
      <c r="AO76" s="669">
        <f t="shared" si="10"/>
        <v>0.75</v>
      </c>
      <c r="AP76" s="1097">
        <f t="shared" si="10"/>
        <v>0.75</v>
      </c>
      <c r="AQ76" s="1097">
        <f t="shared" si="10"/>
        <v>0.75</v>
      </c>
      <c r="AR76" s="1099">
        <f t="shared" si="10"/>
        <v>0.75</v>
      </c>
      <c r="AS76" s="1099">
        <f t="shared" si="10"/>
        <v>0.75</v>
      </c>
      <c r="AT76" s="1099">
        <f t="shared" si="10"/>
        <v>0.75</v>
      </c>
      <c r="AU76" s="1099">
        <f t="shared" si="10"/>
        <v>0.75</v>
      </c>
      <c r="AV76" s="1099">
        <f t="shared" si="10"/>
        <v>0.75</v>
      </c>
      <c r="AW76" s="1099">
        <f t="shared" si="10"/>
        <v>0.75</v>
      </c>
      <c r="AX76" s="1099">
        <f t="shared" si="10"/>
        <v>0.75</v>
      </c>
      <c r="AY76" s="157"/>
      <c r="AZ76" s="157"/>
      <c r="BA76" s="890" t="s">
        <v>450</v>
      </c>
      <c r="BB76" s="926"/>
      <c r="BC76" s="926"/>
      <c r="BD76" s="894"/>
      <c r="BE76" s="894"/>
    </row>
    <row r="77" spans="1:57" s="1057" customFormat="1" ht="16.5" customHeight="1">
      <c r="A77" s="988"/>
      <c r="B77" s="718"/>
      <c r="C77" s="1012"/>
      <c r="D77" s="1012"/>
      <c r="E77" s="623">
        <v>17.100000000000001</v>
      </c>
      <c r="F77" s="714" t="str">
        <f t="shared" ca="1" si="8"/>
        <v>1</v>
      </c>
      <c r="G77" s="1012"/>
      <c r="H77" s="1012"/>
      <c r="I77" s="1012"/>
      <c r="J77" s="1012"/>
      <c r="K77" s="1012"/>
      <c r="L77" s="1012"/>
      <c r="M77" s="1012"/>
      <c r="N77" s="1012"/>
      <c r="O77" s="1012"/>
      <c r="P77" s="1012"/>
      <c r="Q77" s="714"/>
      <c r="R77" s="714"/>
      <c r="S77" s="1012"/>
      <c r="T77" s="1012"/>
      <c r="U77" s="715" t="b">
        <f ca="1">F77&gt;0</f>
        <v>1</v>
      </c>
      <c r="V77" s="1012"/>
      <c r="W77" s="1012"/>
      <c r="X77" s="1012"/>
      <c r="Y77" s="1405"/>
      <c r="Z77" s="1405"/>
      <c r="AA77" s="157"/>
      <c r="AB77" s="797" t="s">
        <v>451</v>
      </c>
      <c r="AC77" s="269" t="s">
        <v>452</v>
      </c>
      <c r="AD77" s="270"/>
      <c r="AE77" s="272"/>
      <c r="AF77" s="272"/>
      <c r="AG77" s="272"/>
      <c r="AH77" s="272"/>
      <c r="AI77" s="272"/>
      <c r="AJ77" s="272"/>
      <c r="AK77" s="272"/>
      <c r="AL77" s="272"/>
      <c r="AM77" s="272"/>
      <c r="AN77" s="272"/>
      <c r="AO77" s="272"/>
      <c r="AP77" s="272"/>
      <c r="AQ77" s="272"/>
      <c r="AR77" s="272"/>
      <c r="AS77" s="272"/>
      <c r="AT77" s="272"/>
      <c r="AU77" s="272"/>
      <c r="AV77" s="272"/>
      <c r="AW77" s="272"/>
      <c r="AX77" s="272"/>
      <c r="AY77" s="157"/>
      <c r="AZ77" s="157"/>
      <c r="BA77" s="926"/>
      <c r="BB77" s="926"/>
      <c r="BC77" s="926"/>
      <c r="BD77" s="894"/>
      <c r="BE77" s="894"/>
    </row>
    <row r="78" spans="1:57" s="1057" customFormat="1" ht="16.5" customHeight="1">
      <c r="A78" s="988"/>
      <c r="B78" s="718"/>
      <c r="C78" s="1012"/>
      <c r="D78" s="1012"/>
      <c r="E78" s="623">
        <v>17.100000000000001</v>
      </c>
      <c r="F78" s="714" t="str">
        <f t="shared" ca="1" si="8"/>
        <v>1</v>
      </c>
      <c r="G78" s="714" t="s">
        <v>453</v>
      </c>
      <c r="H78" s="113" t="s">
        <v>454</v>
      </c>
      <c r="I78" s="1012"/>
      <c r="J78" s="1012"/>
      <c r="K78" s="1012"/>
      <c r="L78" s="1012"/>
      <c r="M78" s="1012"/>
      <c r="N78" s="1012"/>
      <c r="O78" s="1012"/>
      <c r="P78" s="1012"/>
      <c r="Q78" s="714"/>
      <c r="R78" s="714"/>
      <c r="S78" s="1012"/>
      <c r="T78" s="1012"/>
      <c r="U78" s="715" t="b">
        <f ca="1">F78&gt;0</f>
        <v>1</v>
      </c>
      <c r="V78" s="1012"/>
      <c r="W78" s="1012"/>
      <c r="X78" s="1012"/>
      <c r="Y78" s="1405"/>
      <c r="Z78" s="1405"/>
      <c r="AA78" s="157"/>
      <c r="AB78" s="385" t="s">
        <v>455</v>
      </c>
      <c r="AC78" s="145" t="s">
        <v>456</v>
      </c>
      <c r="AD78" s="146" t="s">
        <v>388</v>
      </c>
      <c r="AE78" s="1099"/>
      <c r="AF78" s="1097"/>
      <c r="AG78" s="1097"/>
      <c r="AH78" s="1099"/>
      <c r="AI78" s="1099"/>
      <c r="AJ78" s="1099"/>
      <c r="AK78" s="1099"/>
      <c r="AL78" s="1099"/>
      <c r="AM78" s="1099"/>
      <c r="AN78" s="1099"/>
      <c r="AO78" s="669"/>
      <c r="AP78" s="1097"/>
      <c r="AQ78" s="1097"/>
      <c r="AR78" s="1099"/>
      <c r="AS78" s="1099"/>
      <c r="AT78" s="1099"/>
      <c r="AU78" s="1099"/>
      <c r="AV78" s="1099"/>
      <c r="AW78" s="1099"/>
      <c r="AX78" s="1099"/>
      <c r="AY78" s="157"/>
      <c r="AZ78" s="157"/>
      <c r="BA78" s="890" t="s">
        <v>457</v>
      </c>
      <c r="BB78" s="926"/>
      <c r="BC78" s="926"/>
      <c r="BD78" s="894"/>
      <c r="BE78" s="894"/>
    </row>
    <row r="79" spans="1:57" s="1057" customFormat="1" ht="16.5" customHeight="1">
      <c r="A79" s="988"/>
      <c r="B79" s="718"/>
      <c r="C79" s="1012"/>
      <c r="D79" s="1012"/>
      <c r="E79" s="623">
        <v>17.100000000000001</v>
      </c>
      <c r="F79" s="714" t="str">
        <f t="shared" ca="1" si="8"/>
        <v>1</v>
      </c>
      <c r="G79" s="1012"/>
      <c r="H79" s="113" t="s">
        <v>458</v>
      </c>
      <c r="I79" s="1012"/>
      <c r="J79" s="1012"/>
      <c r="K79" s="1012"/>
      <c r="L79" s="1012"/>
      <c r="M79" s="1012"/>
      <c r="N79" s="1012"/>
      <c r="O79" s="1012"/>
      <c r="P79" s="1012"/>
      <c r="Q79" s="714"/>
      <c r="R79" s="714"/>
      <c r="S79" s="1012"/>
      <c r="T79" s="1012"/>
      <c r="U79" s="715" t="b">
        <f ca="1">F79&gt;0</f>
        <v>1</v>
      </c>
      <c r="V79" s="1012"/>
      <c r="W79" s="1012"/>
      <c r="X79" s="1012"/>
      <c r="Y79" s="1405"/>
      <c r="Z79" s="1405"/>
      <c r="AA79" s="157"/>
      <c r="AB79" s="385" t="s">
        <v>459</v>
      </c>
      <c r="AC79" s="147" t="s">
        <v>460</v>
      </c>
      <c r="AD79" s="146" t="s">
        <v>388</v>
      </c>
      <c r="AE79" s="1099"/>
      <c r="AF79" s="1097"/>
      <c r="AG79" s="1097"/>
      <c r="AH79" s="1099"/>
      <c r="AI79" s="1099"/>
      <c r="AJ79" s="1099"/>
      <c r="AK79" s="1099"/>
      <c r="AL79" s="1099"/>
      <c r="AM79" s="1099"/>
      <c r="AN79" s="1099"/>
      <c r="AO79" s="669"/>
      <c r="AP79" s="1097"/>
      <c r="AQ79" s="1097"/>
      <c r="AR79" s="1099"/>
      <c r="AS79" s="1099"/>
      <c r="AT79" s="1099"/>
      <c r="AU79" s="1099"/>
      <c r="AV79" s="1099"/>
      <c r="AW79" s="1099"/>
      <c r="AX79" s="1099"/>
      <c r="AY79" s="157"/>
      <c r="AZ79" s="157"/>
      <c r="BA79" s="890" t="s">
        <v>461</v>
      </c>
      <c r="BB79" s="926"/>
      <c r="BC79" s="926"/>
      <c r="BD79" s="894"/>
      <c r="BE79" s="894"/>
    </row>
    <row r="80" spans="1:57" s="1057" customFormat="1" ht="16.5" customHeight="1">
      <c r="A80" s="988"/>
      <c r="B80" s="718"/>
      <c r="C80" s="1012"/>
      <c r="D80" s="1012"/>
      <c r="E80" s="623">
        <v>17.100000000000001</v>
      </c>
      <c r="F80" s="714" t="str">
        <f t="shared" ca="1" si="8"/>
        <v>1</v>
      </c>
      <c r="G80" s="1012"/>
      <c r="H80" s="113" t="s">
        <v>462</v>
      </c>
      <c r="I80" s="1012"/>
      <c r="J80" s="1012"/>
      <c r="K80" s="1012"/>
      <c r="L80" s="1012"/>
      <c r="M80" s="1012"/>
      <c r="N80" s="1012"/>
      <c r="O80" s="1012"/>
      <c r="P80" s="1012"/>
      <c r="Q80" s="714"/>
      <c r="R80" s="714"/>
      <c r="S80" s="1012"/>
      <c r="T80" s="1012"/>
      <c r="U80" s="715" t="b">
        <f ca="1">F80&gt;0</f>
        <v>1</v>
      </c>
      <c r="V80" s="1012"/>
      <c r="W80" s="1012"/>
      <c r="X80" s="1012"/>
      <c r="Y80" s="1405"/>
      <c r="Z80" s="1405"/>
      <c r="AA80" s="157"/>
      <c r="AB80" s="385" t="s">
        <v>463</v>
      </c>
      <c r="AC80" s="147" t="s">
        <v>464</v>
      </c>
      <c r="AD80" s="146" t="s">
        <v>388</v>
      </c>
      <c r="AE80" s="1099"/>
      <c r="AF80" s="1097"/>
      <c r="AG80" s="1097"/>
      <c r="AH80" s="1099"/>
      <c r="AI80" s="1099"/>
      <c r="AJ80" s="1099"/>
      <c r="AK80" s="1099"/>
      <c r="AL80" s="1099"/>
      <c r="AM80" s="1099"/>
      <c r="AN80" s="1099"/>
      <c r="AO80" s="669"/>
      <c r="AP80" s="1097"/>
      <c r="AQ80" s="1097"/>
      <c r="AR80" s="1099"/>
      <c r="AS80" s="1099"/>
      <c r="AT80" s="1099"/>
      <c r="AU80" s="1099"/>
      <c r="AV80" s="1099"/>
      <c r="AW80" s="1099"/>
      <c r="AX80" s="1099"/>
      <c r="AY80" s="157"/>
      <c r="AZ80" s="157"/>
      <c r="BA80" s="890" t="s">
        <v>465</v>
      </c>
      <c r="BB80" s="926"/>
      <c r="BC80" s="926"/>
      <c r="BD80" s="894"/>
      <c r="BE80" s="894"/>
    </row>
    <row r="81" spans="1:57" s="1057" customFormat="1" ht="16.5" customHeight="1">
      <c r="A81" s="988"/>
      <c r="B81" s="718"/>
      <c r="C81" s="1012"/>
      <c r="D81" s="1012"/>
      <c r="E81" s="623">
        <v>17.100000000000001</v>
      </c>
      <c r="F81" s="714" t="str">
        <f t="shared" ca="1" si="8"/>
        <v>1</v>
      </c>
      <c r="G81" s="1012"/>
      <c r="H81" s="113" t="s">
        <v>466</v>
      </c>
      <c r="I81" s="1012"/>
      <c r="J81" s="1012"/>
      <c r="K81" s="1012"/>
      <c r="L81" s="1012"/>
      <c r="M81" s="1012"/>
      <c r="N81" s="1012"/>
      <c r="O81" s="1012"/>
      <c r="P81" s="1012"/>
      <c r="Q81" s="714"/>
      <c r="R81" s="714"/>
      <c r="S81" s="1012"/>
      <c r="T81" s="1012"/>
      <c r="U81" s="715" t="b">
        <f ca="1">F81&gt;0</f>
        <v>1</v>
      </c>
      <c r="V81" s="1012"/>
      <c r="W81" s="1012"/>
      <c r="X81" s="1012"/>
      <c r="Y81" s="1405"/>
      <c r="Z81" s="1405"/>
      <c r="AA81" s="157"/>
      <c r="AB81" s="385" t="s">
        <v>467</v>
      </c>
      <c r="AC81" s="147" t="s">
        <v>468</v>
      </c>
      <c r="AD81" s="146" t="s">
        <v>388</v>
      </c>
      <c r="AE81" s="1099">
        <v>25</v>
      </c>
      <c r="AF81" s="1097"/>
      <c r="AG81" s="1097"/>
      <c r="AH81" s="1099"/>
      <c r="AI81" s="1099"/>
      <c r="AJ81" s="1099"/>
      <c r="AK81" s="1099"/>
      <c r="AL81" s="1099"/>
      <c r="AM81" s="1099"/>
      <c r="AN81" s="1099"/>
      <c r="AO81" s="669">
        <v>25</v>
      </c>
      <c r="AP81" s="1097"/>
      <c r="AQ81" s="1097"/>
      <c r="AR81" s="1099"/>
      <c r="AS81" s="1099"/>
      <c r="AT81" s="1099"/>
      <c r="AU81" s="1099"/>
      <c r="AV81" s="1099"/>
      <c r="AW81" s="1099"/>
      <c r="AX81" s="1099"/>
      <c r="AY81" s="157"/>
      <c r="AZ81" s="157"/>
      <c r="BA81" s="890" t="s">
        <v>469</v>
      </c>
      <c r="BB81" s="926"/>
      <c r="BC81" s="926"/>
      <c r="BD81" s="894"/>
      <c r="BE81" s="894"/>
    </row>
    <row r="82" spans="1:57" ht="11.1" customHeight="1">
      <c r="E82" s="623">
        <v>11.4</v>
      </c>
      <c r="V82" s="113" t="s">
        <v>172</v>
      </c>
      <c r="W82" s="109" t="s">
        <v>470</v>
      </c>
      <c r="AC82" s="138"/>
      <c r="AY82" s="138"/>
    </row>
    <row r="83" spans="1:57" ht="11.1" hidden="1" customHeight="1">
      <c r="E83" s="623">
        <v>11.4</v>
      </c>
      <c r="AC83" s="138"/>
    </row>
  </sheetData>
  <sheetProtection formatColumns="0" formatRows="0" insertRows="0" deleteColumns="0" deleteRows="0" sort="0" autoFilter="0"/>
  <mergeCells count="7">
    <mergeCell ref="Z55:Z81"/>
    <mergeCell ref="Y55:Y81"/>
    <mergeCell ref="AB24:AB25"/>
    <mergeCell ref="AC24:AC25"/>
    <mergeCell ref="AD24:AD25"/>
    <mergeCell ref="Z28:Z54"/>
    <mergeCell ref="Y28:Y54"/>
  </mergeCells>
  <pageMargins left="0.35" right="0.35" top="0.4" bottom="0.4" header="0.31" footer="0.31"/>
  <pageSetup paperSize="9" scale="50" fitToHeight="0"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outlinePr summaryBelow="0" summaryRight="0"/>
    <pageSetUpPr fitToPage="1"/>
  </sheetPr>
  <dimension ref="A1:BB43"/>
  <sheetViews>
    <sheetView showGridLines="0" workbookViewId="0">
      <pane xSplit="31" ySplit="25" topLeftCell="AF26" activePane="bottomRight" state="frozen"/>
      <selection pane="topRight" activeCell="AF1" sqref="AF1"/>
      <selection pane="bottomLeft" activeCell="A26" sqref="A26"/>
      <selection pane="bottomRight" activeCell="AA21" sqref="AA21"/>
    </sheetView>
  </sheetViews>
  <sheetFormatPr defaultColWidth="9.140625" defaultRowHeight="11.25" customHeight="1"/>
  <cols>
    <col min="1" max="1" width="3.5703125" style="1012" hidden="1" customWidth="1"/>
    <col min="2" max="2" width="8.5703125" style="718" hidden="1" customWidth="1"/>
    <col min="3" max="4" width="3.5703125" style="1012" hidden="1" customWidth="1"/>
    <col min="5" max="5" width="8.42578125" style="717" hidden="1" customWidth="1"/>
    <col min="6" max="16" width="3.5703125" style="1012" hidden="1" customWidth="1"/>
    <col min="17" max="18" width="3.5703125" style="714" hidden="1" customWidth="1"/>
    <col min="19" max="19" width="5.85546875" style="1012" hidden="1" customWidth="1"/>
    <col min="20" max="20" width="3.5703125" style="1012" hidden="1" customWidth="1"/>
    <col min="21" max="21" width="6.7109375" style="1012" hidden="1" customWidth="1"/>
    <col min="22" max="22" width="6" style="1012" hidden="1" customWidth="1"/>
    <col min="23" max="23" width="6.28515625" style="1012" hidden="1" customWidth="1"/>
    <col min="24" max="24" width="6.42578125" style="1012" hidden="1" customWidth="1"/>
    <col min="25" max="25" width="5.85546875" style="1012" hidden="1" customWidth="1"/>
    <col min="26" max="26" width="5.42578125" style="1012" hidden="1" customWidth="1"/>
    <col min="27" max="27" width="3" style="157" customWidth="1"/>
    <col min="28" max="28" width="6.140625" style="726" customWidth="1"/>
    <col min="29" max="29" width="52" style="148" customWidth="1"/>
    <col min="30" max="30" width="28" style="148" customWidth="1"/>
    <col min="31" max="31" width="13.5703125" style="157" customWidth="1"/>
    <col min="32" max="34" width="15.140625" style="157" customWidth="1"/>
    <col min="35" max="41" width="15.140625" style="157" hidden="1" customWidth="1"/>
    <col min="42" max="44" width="15.140625" style="157" customWidth="1"/>
    <col min="45" max="51" width="15.140625" style="157" hidden="1" customWidth="1"/>
    <col min="52" max="52" width="3" style="157" customWidth="1"/>
    <col min="53" max="53" width="9.140625" style="157" hidden="1"/>
    <col min="54" max="54" width="9.140625" style="899" hidden="1"/>
  </cols>
  <sheetData>
    <row r="1" spans="1:54" s="1012" customFormat="1" ht="12" hidden="1" customHeight="1">
      <c r="B1" s="614"/>
      <c r="E1" s="614"/>
      <c r="F1" s="634" t="s">
        <v>77</v>
      </c>
      <c r="Q1" s="714"/>
      <c r="R1" s="714"/>
      <c r="U1" s="634" t="s">
        <v>78</v>
      </c>
      <c r="V1" s="634" t="s">
        <v>83</v>
      </c>
      <c r="W1" s="634" t="s">
        <v>79</v>
      </c>
      <c r="X1" s="614"/>
      <c r="Y1" s="634" t="s">
        <v>81</v>
      </c>
      <c r="Z1" s="634" t="s">
        <v>85</v>
      </c>
      <c r="AA1" s="614"/>
      <c r="AB1" s="614"/>
      <c r="AC1" s="618"/>
      <c r="AD1" s="618"/>
      <c r="BB1" s="871" t="s">
        <v>275</v>
      </c>
    </row>
    <row r="2" spans="1:54" s="718" customFormat="1" ht="12" hidden="1" customHeight="1">
      <c r="B2" s="703" t="s">
        <v>15</v>
      </c>
      <c r="AC2" s="618"/>
      <c r="AD2" s="618"/>
      <c r="AG2" s="635" t="b">
        <f t="shared" ref="AG2:AY2" si="0">AG6&lt;=last_year_vis</f>
        <v>1</v>
      </c>
      <c r="AH2" s="635" t="b">
        <f t="shared" si="0"/>
        <v>1</v>
      </c>
      <c r="AI2" s="635" t="b">
        <f t="shared" si="0"/>
        <v>0</v>
      </c>
      <c r="AJ2" s="635" t="b">
        <f t="shared" si="0"/>
        <v>0</v>
      </c>
      <c r="AK2" s="635" t="b">
        <f t="shared" si="0"/>
        <v>0</v>
      </c>
      <c r="AL2" s="635" t="b">
        <f t="shared" si="0"/>
        <v>0</v>
      </c>
      <c r="AM2" s="635" t="b">
        <f t="shared" si="0"/>
        <v>0</v>
      </c>
      <c r="AN2" s="635" t="b">
        <f t="shared" si="0"/>
        <v>0</v>
      </c>
      <c r="AO2" s="635" t="b">
        <f t="shared" si="0"/>
        <v>0</v>
      </c>
      <c r="AP2" s="635" t="b">
        <f t="shared" si="0"/>
        <v>1</v>
      </c>
      <c r="AQ2" s="635" t="b">
        <f t="shared" si="0"/>
        <v>1</v>
      </c>
      <c r="AR2" s="635" t="b">
        <f t="shared" si="0"/>
        <v>1</v>
      </c>
      <c r="AS2" s="635" t="b">
        <f t="shared" si="0"/>
        <v>0</v>
      </c>
      <c r="AT2" s="635" t="b">
        <f t="shared" si="0"/>
        <v>0</v>
      </c>
      <c r="AU2" s="635" t="b">
        <f t="shared" si="0"/>
        <v>0</v>
      </c>
      <c r="AV2" s="635" t="b">
        <f t="shared" si="0"/>
        <v>0</v>
      </c>
      <c r="AW2" s="635" t="b">
        <f t="shared" si="0"/>
        <v>0</v>
      </c>
      <c r="AX2" s="635" t="b">
        <f t="shared" si="0"/>
        <v>0</v>
      </c>
      <c r="AY2" s="635" t="b">
        <f t="shared" si="0"/>
        <v>0</v>
      </c>
      <c r="BB2" s="873"/>
    </row>
    <row r="3" spans="1:54" s="1012" customFormat="1" ht="12" hidden="1" customHeight="1">
      <c r="B3" s="614"/>
      <c r="E3" s="614"/>
      <c r="Q3" s="714"/>
      <c r="R3" s="714"/>
      <c r="AB3" s="116"/>
      <c r="AC3" s="109"/>
      <c r="AD3" s="109"/>
      <c r="BB3" s="871"/>
    </row>
    <row r="4" spans="1:54" s="1012" customFormat="1" ht="12" hidden="1" customHeight="1">
      <c r="B4" s="614"/>
      <c r="E4" s="614"/>
      <c r="Q4" s="714"/>
      <c r="R4" s="714"/>
      <c r="AB4" s="116"/>
      <c r="AC4" s="109"/>
      <c r="AD4" s="109"/>
      <c r="BB4" s="871"/>
    </row>
    <row r="5" spans="1:54" s="717" customFormat="1" ht="12" hidden="1" customHeight="1">
      <c r="A5" s="614"/>
      <c r="B5" s="614"/>
      <c r="C5" s="614"/>
      <c r="D5" s="614"/>
      <c r="E5" s="623" t="s">
        <v>16</v>
      </c>
      <c r="AA5" s="629">
        <v>3</v>
      </c>
      <c r="AB5" s="623">
        <v>6.13</v>
      </c>
      <c r="AC5" s="629">
        <v>52</v>
      </c>
      <c r="AD5" s="629">
        <v>28</v>
      </c>
      <c r="AE5" s="623">
        <v>13.63</v>
      </c>
      <c r="AF5" s="623">
        <v>15.13</v>
      </c>
      <c r="AG5" s="623">
        <v>15.13</v>
      </c>
      <c r="AH5" s="623">
        <v>15.13</v>
      </c>
      <c r="AI5" s="623">
        <v>15.13</v>
      </c>
      <c r="AJ5" s="623">
        <v>15.13</v>
      </c>
      <c r="AK5" s="623">
        <v>15.13</v>
      </c>
      <c r="AL5" s="623">
        <v>15.13</v>
      </c>
      <c r="AM5" s="623">
        <v>15.13</v>
      </c>
      <c r="AN5" s="623">
        <v>15.13</v>
      </c>
      <c r="AO5" s="623">
        <v>15.13</v>
      </c>
      <c r="AP5" s="623">
        <v>15.13</v>
      </c>
      <c r="AQ5" s="623">
        <v>15.13</v>
      </c>
      <c r="AR5" s="623">
        <v>15.13</v>
      </c>
      <c r="AS5" s="623">
        <v>15.13</v>
      </c>
      <c r="AT5" s="623">
        <v>15.13</v>
      </c>
      <c r="AU5" s="623">
        <v>15.13</v>
      </c>
      <c r="AV5" s="623">
        <v>15.13</v>
      </c>
      <c r="AW5" s="623">
        <v>15.13</v>
      </c>
      <c r="AX5" s="623">
        <v>15.13</v>
      </c>
      <c r="AY5" s="623">
        <v>15.13</v>
      </c>
      <c r="AZ5" s="623">
        <v>3</v>
      </c>
      <c r="BB5" s="873"/>
    </row>
    <row r="6" spans="1:54" s="1012" customFormat="1" ht="12" hidden="1" customHeight="1">
      <c r="B6" s="614"/>
      <c r="E6" s="623"/>
      <c r="Q6" s="714"/>
      <c r="R6" s="714"/>
      <c r="AB6" s="116"/>
      <c r="AC6" s="109"/>
      <c r="AD6" s="109"/>
      <c r="AF6" s="113">
        <f>first_year</f>
        <v>2024</v>
      </c>
      <c r="AG6" s="113">
        <f>first_year+1</f>
        <v>2025</v>
      </c>
      <c r="AH6" s="113">
        <f>first_year+2</f>
        <v>2026</v>
      </c>
      <c r="AI6" s="113">
        <f>first_year+3</f>
        <v>2027</v>
      </c>
      <c r="AJ6" s="113">
        <f>first_year+4</f>
        <v>2028</v>
      </c>
      <c r="AK6" s="113">
        <f>first_year+5</f>
        <v>2029</v>
      </c>
      <c r="AL6" s="113">
        <f>first_year+6</f>
        <v>2030</v>
      </c>
      <c r="AM6" s="113">
        <f>first_year+7</f>
        <v>2031</v>
      </c>
      <c r="AN6" s="113">
        <f>first_year+8</f>
        <v>2032</v>
      </c>
      <c r="AO6" s="113">
        <f>first_year+9</f>
        <v>2033</v>
      </c>
      <c r="AP6" s="113">
        <f>first_year</f>
        <v>2024</v>
      </c>
      <c r="AQ6" s="113">
        <f>first_year+1</f>
        <v>2025</v>
      </c>
      <c r="AR6" s="113">
        <f>first_year+2</f>
        <v>2026</v>
      </c>
      <c r="AS6" s="113">
        <f>first_year+3</f>
        <v>2027</v>
      </c>
      <c r="AT6" s="113">
        <f>first_year+4</f>
        <v>2028</v>
      </c>
      <c r="AU6" s="113">
        <f>first_year+5</f>
        <v>2029</v>
      </c>
      <c r="AV6" s="113">
        <f>first_year+6</f>
        <v>2030</v>
      </c>
      <c r="AW6" s="113">
        <f>first_year+7</f>
        <v>2031</v>
      </c>
      <c r="AX6" s="113">
        <f>first_year+8</f>
        <v>2032</v>
      </c>
      <c r="AY6" s="113">
        <f>first_year+9</f>
        <v>2033</v>
      </c>
      <c r="BB6" s="871"/>
    </row>
    <row r="7" spans="1:54" s="394" customFormat="1" ht="12" hidden="1" customHeight="1">
      <c r="A7" s="113"/>
      <c r="B7" s="614"/>
      <c r="C7" s="113"/>
      <c r="D7" s="113"/>
      <c r="E7" s="623"/>
      <c r="G7" s="113"/>
      <c r="H7" s="113"/>
      <c r="I7" s="113"/>
      <c r="J7" s="113"/>
      <c r="K7" s="113"/>
      <c r="L7" s="113"/>
      <c r="M7" s="113"/>
      <c r="N7" s="113"/>
      <c r="O7" s="113"/>
      <c r="P7" s="113"/>
      <c r="Q7" s="714"/>
      <c r="R7" s="714"/>
      <c r="S7" s="113"/>
      <c r="T7" s="113"/>
      <c r="AB7" s="151"/>
      <c r="AC7" s="152"/>
      <c r="AD7" s="152"/>
      <c r="AF7" s="150" t="str">
        <f t="shared" ref="AF7:AY7" si="1">AF25</f>
        <v>Предложение организации</v>
      </c>
      <c r="AG7" s="150" t="str">
        <f t="shared" si="1"/>
        <v>Предложение организации</v>
      </c>
      <c r="AH7" s="150" t="str">
        <f t="shared" si="1"/>
        <v>Предложение организации</v>
      </c>
      <c r="AI7" s="150" t="str">
        <f t="shared" si="1"/>
        <v>Предложение организации</v>
      </c>
      <c r="AJ7" s="150" t="str">
        <f t="shared" si="1"/>
        <v>Предложение организации</v>
      </c>
      <c r="AK7" s="150" t="str">
        <f t="shared" si="1"/>
        <v>Предложение организации</v>
      </c>
      <c r="AL7" s="150" t="str">
        <f t="shared" si="1"/>
        <v>Предложение организации</v>
      </c>
      <c r="AM7" s="150" t="str">
        <f t="shared" si="1"/>
        <v>Предложение организации</v>
      </c>
      <c r="AN7" s="150" t="str">
        <f t="shared" si="1"/>
        <v>Предложение организации</v>
      </c>
      <c r="AO7" s="150" t="str">
        <f t="shared" si="1"/>
        <v>Предложение организации</v>
      </c>
      <c r="AP7" s="150" t="str">
        <f t="shared" si="1"/>
        <v>Принято органом регулирования</v>
      </c>
      <c r="AQ7" s="150" t="str">
        <f t="shared" si="1"/>
        <v>Принято органом регулирования</v>
      </c>
      <c r="AR7" s="150" t="str">
        <f t="shared" si="1"/>
        <v>Принято органом регулирования</v>
      </c>
      <c r="AS7" s="150" t="str">
        <f t="shared" si="1"/>
        <v>Принято органом регулирования</v>
      </c>
      <c r="AT7" s="150" t="str">
        <f t="shared" si="1"/>
        <v>Принято органом регулирования</v>
      </c>
      <c r="AU7" s="150" t="str">
        <f t="shared" si="1"/>
        <v>Принято органом регулирования</v>
      </c>
      <c r="AV7" s="150" t="str">
        <f t="shared" si="1"/>
        <v>Принято органом регулирования</v>
      </c>
      <c r="AW7" s="150" t="str">
        <f t="shared" si="1"/>
        <v>Принято органом регулирования</v>
      </c>
      <c r="AX7" s="150" t="str">
        <f t="shared" si="1"/>
        <v>Принято органом регулирования</v>
      </c>
      <c r="AY7" s="150" t="str">
        <f t="shared" si="1"/>
        <v>Принято органом регулирования</v>
      </c>
      <c r="BB7" s="871"/>
    </row>
    <row r="8" spans="1:54" s="394" customFormat="1" ht="12" hidden="1" customHeight="1">
      <c r="A8" s="113"/>
      <c r="B8" s="614"/>
      <c r="C8" s="113"/>
      <c r="D8" s="113"/>
      <c r="E8" s="623"/>
      <c r="G8" s="113"/>
      <c r="H8" s="113"/>
      <c r="I8" s="113"/>
      <c r="J8" s="113"/>
      <c r="K8" s="113"/>
      <c r="L8" s="113"/>
      <c r="M8" s="113"/>
      <c r="N8" s="113"/>
      <c r="O8" s="113"/>
      <c r="P8" s="113"/>
      <c r="Q8" s="714"/>
      <c r="R8" s="714"/>
      <c r="S8" s="113"/>
      <c r="T8" s="113"/>
      <c r="AB8" s="151"/>
      <c r="AC8" s="152"/>
      <c r="AD8" s="152"/>
      <c r="AF8" s="150" t="str">
        <f t="shared" ref="AF8:AY8" si="2">AF6&amp;AF7</f>
        <v>2024Предложение организации</v>
      </c>
      <c r="AG8" s="150" t="str">
        <f t="shared" si="2"/>
        <v>2025Предложение организации</v>
      </c>
      <c r="AH8" s="150" t="str">
        <f t="shared" si="2"/>
        <v>2026Предложение организации</v>
      </c>
      <c r="AI8" s="150" t="str">
        <f t="shared" si="2"/>
        <v>2027Предложение организации</v>
      </c>
      <c r="AJ8" s="150" t="str">
        <f t="shared" si="2"/>
        <v>2028Предложение организации</v>
      </c>
      <c r="AK8" s="150" t="str">
        <f t="shared" si="2"/>
        <v>2029Предложение организации</v>
      </c>
      <c r="AL8" s="150" t="str">
        <f t="shared" si="2"/>
        <v>2030Предложение организации</v>
      </c>
      <c r="AM8" s="150" t="str">
        <f t="shared" si="2"/>
        <v>2031Предложение организации</v>
      </c>
      <c r="AN8" s="150" t="str">
        <f t="shared" si="2"/>
        <v>2032Предложение организации</v>
      </c>
      <c r="AO8" s="150" t="str">
        <f t="shared" si="2"/>
        <v>2033Предложение организации</v>
      </c>
      <c r="AP8" s="150" t="str">
        <f t="shared" si="2"/>
        <v>2024Принято органом регулирования</v>
      </c>
      <c r="AQ8" s="150" t="str">
        <f t="shared" si="2"/>
        <v>2025Принято органом регулирования</v>
      </c>
      <c r="AR8" s="150" t="str">
        <f t="shared" si="2"/>
        <v>2026Принято органом регулирования</v>
      </c>
      <c r="AS8" s="150" t="str">
        <f t="shared" si="2"/>
        <v>2027Принято органом регулирования</v>
      </c>
      <c r="AT8" s="150" t="str">
        <f t="shared" si="2"/>
        <v>2028Принято органом регулирования</v>
      </c>
      <c r="AU8" s="150" t="str">
        <f t="shared" si="2"/>
        <v>2029Принято органом регулирования</v>
      </c>
      <c r="AV8" s="150" t="str">
        <f t="shared" si="2"/>
        <v>2030Принято органом регулирования</v>
      </c>
      <c r="AW8" s="150" t="str">
        <f t="shared" si="2"/>
        <v>2031Принято органом регулирования</v>
      </c>
      <c r="AX8" s="150" t="str">
        <f t="shared" si="2"/>
        <v>2032Принято органом регулирования</v>
      </c>
      <c r="AY8" s="150" t="str">
        <f t="shared" si="2"/>
        <v>2033Принято органом регулирования</v>
      </c>
      <c r="BB8" s="871"/>
    </row>
    <row r="9" spans="1:54" s="871" customFormat="1" ht="12" hidden="1" customHeight="1">
      <c r="A9" s="870" t="s">
        <v>327</v>
      </c>
      <c r="B9" s="873"/>
      <c r="E9" s="873"/>
      <c r="Q9" s="898"/>
      <c r="R9" s="898"/>
      <c r="AB9" s="872"/>
      <c r="AF9" s="871">
        <f>first_year</f>
        <v>2024</v>
      </c>
      <c r="AG9" s="871">
        <f>first_year+1</f>
        <v>2025</v>
      </c>
      <c r="AH9" s="871">
        <f>first_year+2</f>
        <v>2026</v>
      </c>
      <c r="AI9" s="871">
        <f>first_year+3</f>
        <v>2027</v>
      </c>
      <c r="AJ9" s="871">
        <f>first_year+4</f>
        <v>2028</v>
      </c>
      <c r="AK9" s="871">
        <f>first_year+5</f>
        <v>2029</v>
      </c>
      <c r="AL9" s="871">
        <f>first_year+6</f>
        <v>2030</v>
      </c>
      <c r="AM9" s="871">
        <f>first_year+7</f>
        <v>2031</v>
      </c>
      <c r="AN9" s="871">
        <f>first_year+8</f>
        <v>2032</v>
      </c>
      <c r="AO9" s="871">
        <f>first_year+9</f>
        <v>2033</v>
      </c>
      <c r="AP9" s="871">
        <f>first_year</f>
        <v>2024</v>
      </c>
      <c r="AQ9" s="871">
        <f>first_year+1</f>
        <v>2025</v>
      </c>
      <c r="AR9" s="871">
        <f>first_year+2</f>
        <v>2026</v>
      </c>
      <c r="AS9" s="871">
        <f>first_year+3</f>
        <v>2027</v>
      </c>
      <c r="AT9" s="871">
        <f>first_year+4</f>
        <v>2028</v>
      </c>
      <c r="AU9" s="871">
        <f>first_year+5</f>
        <v>2029</v>
      </c>
      <c r="AV9" s="871">
        <f>first_year+6</f>
        <v>2030</v>
      </c>
      <c r="AW9" s="871">
        <f>first_year+7</f>
        <v>2031</v>
      </c>
      <c r="AX9" s="871">
        <f>first_year+8</f>
        <v>2032</v>
      </c>
      <c r="AY9" s="871">
        <f>first_year+9</f>
        <v>2033</v>
      </c>
    </row>
    <row r="10" spans="1:54" s="871" customFormat="1" ht="12" hidden="1" customHeight="1">
      <c r="A10" s="870" t="s">
        <v>328</v>
      </c>
      <c r="B10" s="873"/>
      <c r="E10" s="873"/>
      <c r="Q10" s="898"/>
      <c r="R10" s="898"/>
      <c r="AB10" s="872"/>
      <c r="AF10" s="871" t="str">
        <f t="shared" ref="AF10:AY10" si="3">AF25</f>
        <v>Предложение организации</v>
      </c>
      <c r="AG10" s="871" t="str">
        <f t="shared" si="3"/>
        <v>Предложение организации</v>
      </c>
      <c r="AH10" s="871" t="str">
        <f t="shared" si="3"/>
        <v>Предложение организации</v>
      </c>
      <c r="AI10" s="871" t="str">
        <f t="shared" si="3"/>
        <v>Предложение организации</v>
      </c>
      <c r="AJ10" s="871" t="str">
        <f t="shared" si="3"/>
        <v>Предложение организации</v>
      </c>
      <c r="AK10" s="871" t="str">
        <f t="shared" si="3"/>
        <v>Предложение организации</v>
      </c>
      <c r="AL10" s="871" t="str">
        <f t="shared" si="3"/>
        <v>Предложение организации</v>
      </c>
      <c r="AM10" s="871" t="str">
        <f t="shared" si="3"/>
        <v>Предложение организации</v>
      </c>
      <c r="AN10" s="871" t="str">
        <f t="shared" si="3"/>
        <v>Предложение организации</v>
      </c>
      <c r="AO10" s="871" t="str">
        <f t="shared" si="3"/>
        <v>Предложение организации</v>
      </c>
      <c r="AP10" s="871" t="str">
        <f t="shared" si="3"/>
        <v>Принято органом регулирования</v>
      </c>
      <c r="AQ10" s="871" t="str">
        <f t="shared" si="3"/>
        <v>Принято органом регулирования</v>
      </c>
      <c r="AR10" s="871" t="str">
        <f t="shared" si="3"/>
        <v>Принято органом регулирования</v>
      </c>
      <c r="AS10" s="871" t="str">
        <f t="shared" si="3"/>
        <v>Принято органом регулирования</v>
      </c>
      <c r="AT10" s="871" t="str">
        <f t="shared" si="3"/>
        <v>Принято органом регулирования</v>
      </c>
      <c r="AU10" s="871" t="str">
        <f t="shared" si="3"/>
        <v>Принято органом регулирования</v>
      </c>
      <c r="AV10" s="871" t="str">
        <f t="shared" si="3"/>
        <v>Принято органом регулирования</v>
      </c>
      <c r="AW10" s="871" t="str">
        <f t="shared" si="3"/>
        <v>Принято органом регулирования</v>
      </c>
      <c r="AX10" s="871" t="str">
        <f t="shared" si="3"/>
        <v>Принято органом регулирования</v>
      </c>
      <c r="AY10" s="871" t="str">
        <f t="shared" si="3"/>
        <v>Принято органом регулирования</v>
      </c>
    </row>
    <row r="11" spans="1:54" s="1012" customFormat="1" ht="12" hidden="1" customHeight="1">
      <c r="B11" s="614"/>
      <c r="E11" s="623"/>
      <c r="Q11" s="714"/>
      <c r="R11" s="714"/>
      <c r="AB11" s="116"/>
      <c r="AC11" s="109"/>
      <c r="AD11" s="109"/>
      <c r="BB11" s="871"/>
    </row>
    <row r="12" spans="1:54" s="1012" customFormat="1" ht="12" hidden="1" customHeight="1">
      <c r="B12" s="614"/>
      <c r="E12" s="623"/>
      <c r="Q12" s="714"/>
      <c r="R12" s="714"/>
      <c r="AB12" s="116"/>
      <c r="AC12" s="109"/>
      <c r="AD12" s="109"/>
      <c r="BB12" s="871"/>
    </row>
    <row r="13" spans="1:54" s="1012" customFormat="1" ht="12" hidden="1" customHeight="1">
      <c r="B13" s="614"/>
      <c r="E13" s="623"/>
      <c r="Q13" s="714"/>
      <c r="R13" s="714"/>
      <c r="AB13" s="116"/>
      <c r="AC13" s="109"/>
      <c r="AD13" s="109"/>
      <c r="BB13" s="871"/>
    </row>
    <row r="14" spans="1:54" s="1012" customFormat="1" ht="12" hidden="1" customHeight="1">
      <c r="B14" s="614"/>
      <c r="E14" s="623"/>
      <c r="Q14" s="714"/>
      <c r="R14" s="714"/>
      <c r="AB14" s="116"/>
      <c r="AC14" s="109"/>
      <c r="AD14" s="109"/>
      <c r="BB14" s="871"/>
    </row>
    <row r="15" spans="1:54" s="1012" customFormat="1" ht="12" hidden="1" customHeight="1">
      <c r="B15" s="614"/>
      <c r="E15" s="623"/>
      <c r="Q15" s="714"/>
      <c r="R15" s="714"/>
      <c r="AB15" s="116"/>
      <c r="AC15" s="109"/>
      <c r="AD15" s="109"/>
      <c r="BB15" s="871"/>
    </row>
    <row r="16" spans="1:54" s="1012" customFormat="1" ht="12" hidden="1" customHeight="1">
      <c r="B16" s="614"/>
      <c r="E16" s="623"/>
      <c r="Q16" s="714"/>
      <c r="R16" s="714"/>
      <c r="AB16" s="116"/>
      <c r="AC16" s="109"/>
      <c r="AD16" s="109"/>
      <c r="BB16" s="871"/>
    </row>
    <row r="17" spans="1:54" s="1012" customFormat="1" ht="12" hidden="1" customHeight="1">
      <c r="B17" s="614"/>
      <c r="E17" s="623"/>
      <c r="Q17" s="714"/>
      <c r="R17" s="714"/>
      <c r="AB17" s="116"/>
      <c r="AC17" s="109"/>
      <c r="AD17" s="109"/>
      <c r="BB17" s="871"/>
    </row>
    <row r="18" spans="1:54" s="1012" customFormat="1" ht="12" hidden="1" customHeight="1">
      <c r="B18" s="614"/>
      <c r="E18" s="623"/>
      <c r="Q18" s="714"/>
      <c r="R18" s="714"/>
      <c r="AB18" s="116"/>
      <c r="AC18" s="109"/>
      <c r="AD18" s="109"/>
      <c r="BB18" s="871"/>
    </row>
    <row r="19" spans="1:54" s="1012" customFormat="1" ht="12" hidden="1" customHeight="1">
      <c r="B19" s="614"/>
      <c r="E19" s="623"/>
      <c r="Q19" s="714"/>
      <c r="R19" s="714"/>
      <c r="AB19" s="116"/>
      <c r="AC19" s="109"/>
      <c r="AD19" s="109"/>
      <c r="BB19" s="871"/>
    </row>
    <row r="20" spans="1:54" s="1012" customFormat="1" ht="12" hidden="1" customHeight="1">
      <c r="B20" s="614"/>
      <c r="E20" s="623"/>
      <c r="Q20" s="714"/>
      <c r="R20" s="714"/>
      <c r="AB20" s="116"/>
      <c r="AC20" s="109"/>
      <c r="AD20" s="109"/>
      <c r="BB20" s="871"/>
    </row>
    <row r="21" spans="1:54" ht="14.65" customHeight="1">
      <c r="E21" s="623">
        <v>15</v>
      </c>
      <c r="AA21" s="646"/>
      <c r="AC21" s="315" t="str">
        <f>tpl_title</f>
        <v>Кемеровская область / 2026 / АО "СУЭК-Кузбасс" (ИНН:4212024138, КПП:421201001) / ДПР: 2024-2028</v>
      </c>
      <c r="AD21" s="315"/>
      <c r="AE21" s="731"/>
    </row>
    <row r="22" spans="1:54" ht="21.95" customHeight="1">
      <c r="E22" s="623">
        <v>22.5</v>
      </c>
      <c r="AB22" s="304" t="s">
        <v>29</v>
      </c>
      <c r="AC22" s="204"/>
      <c r="AD22" s="204"/>
      <c r="AE22" s="204"/>
      <c r="AF22" s="205"/>
      <c r="AG22" s="205"/>
      <c r="AH22" s="205"/>
      <c r="AI22" s="205"/>
      <c r="AJ22" s="205"/>
      <c r="AK22" s="205"/>
      <c r="AL22" s="205"/>
      <c r="AM22" s="205"/>
      <c r="AN22" s="205"/>
      <c r="AO22" s="205"/>
      <c r="AP22" s="205"/>
      <c r="AQ22" s="205"/>
      <c r="AR22" s="205"/>
      <c r="AS22" s="205"/>
      <c r="AT22" s="205"/>
      <c r="AU22" s="205"/>
      <c r="AV22" s="205"/>
      <c r="AW22" s="205"/>
      <c r="AX22" s="205"/>
      <c r="AY22" s="205"/>
    </row>
    <row r="23" spans="1:54" s="158" customFormat="1" ht="11.1" customHeight="1">
      <c r="A23" s="113"/>
      <c r="B23" s="614"/>
      <c r="C23" s="113"/>
      <c r="D23" s="113"/>
      <c r="E23" s="623">
        <v>11.4</v>
      </c>
      <c r="F23" s="113"/>
      <c r="G23" s="113"/>
      <c r="H23" s="113"/>
      <c r="I23" s="113"/>
      <c r="J23" s="113"/>
      <c r="K23" s="113"/>
      <c r="L23" s="113"/>
      <c r="M23" s="113"/>
      <c r="N23" s="113"/>
      <c r="O23" s="113"/>
      <c r="P23" s="113"/>
      <c r="Q23" s="714"/>
      <c r="R23" s="714"/>
      <c r="S23" s="113"/>
      <c r="T23" s="113"/>
      <c r="U23" s="113"/>
      <c r="V23" s="113"/>
      <c r="W23" s="113"/>
      <c r="X23" s="113"/>
      <c r="Y23" s="113"/>
      <c r="Z23" s="113"/>
      <c r="AA23" s="711"/>
      <c r="AB23" s="139"/>
      <c r="AC23" s="140"/>
      <c r="AD23" s="140"/>
      <c r="AE23" s="141"/>
      <c r="BB23" s="899"/>
    </row>
    <row r="24" spans="1:54" ht="14.65" customHeight="1">
      <c r="E24" s="623">
        <v>15</v>
      </c>
      <c r="AB24" s="1409" t="s">
        <v>288</v>
      </c>
      <c r="AC24" s="1409" t="s">
        <v>386</v>
      </c>
      <c r="AD24" s="1410" t="s">
        <v>471</v>
      </c>
      <c r="AE24" s="1409" t="s">
        <v>331</v>
      </c>
      <c r="AF24" s="1005" t="str">
        <f>first_year&amp;" год"</f>
        <v>2024 год</v>
      </c>
      <c r="AG24" s="1005" t="str">
        <f>first_year+1&amp;" год"</f>
        <v>2025 год</v>
      </c>
      <c r="AH24" s="1005" t="str">
        <f>first_year+2&amp;" год"</f>
        <v>2026 год</v>
      </c>
      <c r="AI24" s="1005" t="str">
        <f>first_year+3&amp;" год"</f>
        <v>2027 год</v>
      </c>
      <c r="AJ24" s="1005" t="str">
        <f>first_year+4&amp;" год"</f>
        <v>2028 год</v>
      </c>
      <c r="AK24" s="1001" t="str">
        <f>first_year+5&amp;" год"</f>
        <v>2029 год</v>
      </c>
      <c r="AL24" s="1001" t="str">
        <f>first_year+6&amp;" год"</f>
        <v>2030 год</v>
      </c>
      <c r="AM24" s="1001" t="str">
        <f>first_year+7&amp;" год"</f>
        <v>2031 год</v>
      </c>
      <c r="AN24" s="1001" t="str">
        <f>first_year+8&amp;" год"</f>
        <v>2032 год</v>
      </c>
      <c r="AO24" s="1001" t="str">
        <f>first_year+9&amp;" год"</f>
        <v>2033 год</v>
      </c>
      <c r="AP24" s="108" t="str">
        <f>first_year&amp;" год"</f>
        <v>2024 год</v>
      </c>
      <c r="AQ24" s="108" t="str">
        <f>first_year+1&amp;" год"</f>
        <v>2025 год</v>
      </c>
      <c r="AR24" s="108" t="str">
        <f>first_year+2&amp;" год"</f>
        <v>2026 год</v>
      </c>
      <c r="AS24" s="108" t="str">
        <f>first_year+3&amp;" год"</f>
        <v>2027 год</v>
      </c>
      <c r="AT24" s="108" t="str">
        <f>first_year+4&amp;" год"</f>
        <v>2028 год</v>
      </c>
      <c r="AU24" s="108" t="str">
        <f>first_year+5&amp;" год"</f>
        <v>2029 год</v>
      </c>
      <c r="AV24" s="108" t="str">
        <f>first_year+6&amp;" год"</f>
        <v>2030 год</v>
      </c>
      <c r="AW24" s="108" t="str">
        <f>first_year+7&amp;" год"</f>
        <v>2031 год</v>
      </c>
      <c r="AX24" s="108" t="str">
        <f>first_year+8&amp;" год"</f>
        <v>2032 год</v>
      </c>
      <c r="AY24" s="112" t="str">
        <f>first_year+9&amp;" год"</f>
        <v>2033 год</v>
      </c>
    </row>
    <row r="25" spans="1:54" ht="67.349999999999994" customHeight="1">
      <c r="E25" s="623">
        <v>69</v>
      </c>
      <c r="AB25" s="1410"/>
      <c r="AC25" s="1409"/>
      <c r="AD25" s="1414"/>
      <c r="AE25" s="1409"/>
      <c r="AF25" s="1002" t="s">
        <v>305</v>
      </c>
      <c r="AG25" s="1002" t="s">
        <v>305</v>
      </c>
      <c r="AH25" s="1002" t="s">
        <v>305</v>
      </c>
      <c r="AI25" s="1002" t="s">
        <v>305</v>
      </c>
      <c r="AJ25" s="1002" t="s">
        <v>305</v>
      </c>
      <c r="AK25" s="1002" t="s">
        <v>305</v>
      </c>
      <c r="AL25" s="1002" t="s">
        <v>305</v>
      </c>
      <c r="AM25" s="1002" t="s">
        <v>305</v>
      </c>
      <c r="AN25" s="1002" t="s">
        <v>305</v>
      </c>
      <c r="AO25" s="1002" t="s">
        <v>305</v>
      </c>
      <c r="AP25" s="324" t="s">
        <v>304</v>
      </c>
      <c r="AQ25" s="324" t="s">
        <v>304</v>
      </c>
      <c r="AR25" s="324" t="s">
        <v>304</v>
      </c>
      <c r="AS25" s="324" t="s">
        <v>304</v>
      </c>
      <c r="AT25" s="324" t="s">
        <v>304</v>
      </c>
      <c r="AU25" s="324" t="s">
        <v>304</v>
      </c>
      <c r="AV25" s="324" t="s">
        <v>304</v>
      </c>
      <c r="AW25" s="324" t="s">
        <v>304</v>
      </c>
      <c r="AX25" s="324" t="s">
        <v>304</v>
      </c>
      <c r="AY25" s="107" t="s">
        <v>304</v>
      </c>
    </row>
    <row r="26" spans="1:54" ht="23.45" customHeight="1">
      <c r="E26" s="623">
        <v>24</v>
      </c>
      <c r="AB26" s="96"/>
      <c r="AC26" s="659" t="s">
        <v>387</v>
      </c>
      <c r="AD26" s="659"/>
      <c r="AE26" s="146" t="s">
        <v>388</v>
      </c>
      <c r="AF26" s="669"/>
      <c r="AG26" s="669"/>
      <c r="AH26" s="669"/>
      <c r="AI26" s="1097"/>
      <c r="AJ26" s="1097"/>
      <c r="AK26" s="1097"/>
      <c r="AL26" s="1097"/>
      <c r="AM26" s="1097"/>
      <c r="AN26" s="1097"/>
      <c r="AO26" s="1097"/>
      <c r="AP26" s="669"/>
      <c r="AQ26" s="669"/>
      <c r="AR26" s="669"/>
      <c r="AS26" s="1097"/>
      <c r="AT26" s="1097"/>
      <c r="AU26" s="1097"/>
      <c r="AV26" s="1097"/>
      <c r="AW26" s="1097"/>
      <c r="AX26" s="1097"/>
      <c r="AY26" s="1096"/>
    </row>
    <row r="27" spans="1:54" ht="23.25" hidden="1" customHeight="1">
      <c r="E27" s="623">
        <v>0</v>
      </c>
      <c r="AB27" s="291"/>
      <c r="AC27" s="291"/>
      <c r="AD27" s="291"/>
      <c r="AE27" s="291"/>
      <c r="AF27" s="109"/>
      <c r="AG27" s="109"/>
      <c r="AH27" s="109"/>
      <c r="AI27" s="109"/>
      <c r="AJ27" s="109"/>
      <c r="AK27" s="109"/>
      <c r="AL27" s="109"/>
      <c r="AM27" s="109"/>
      <c r="AN27" s="109"/>
      <c r="AO27" s="109"/>
      <c r="AP27" s="109"/>
      <c r="AQ27" s="109"/>
      <c r="AR27" s="109"/>
      <c r="AS27" s="109"/>
      <c r="AT27" s="109"/>
      <c r="AU27" s="109"/>
      <c r="AV27" s="109"/>
      <c r="AW27" s="109"/>
      <c r="AX27" s="109"/>
      <c r="AY27" s="109"/>
    </row>
    <row r="28" spans="1:54" s="152" customFormat="1" ht="11.1" hidden="1" customHeight="1">
      <c r="E28" s="629">
        <v>11.4</v>
      </c>
      <c r="F28" s="714">
        <f>Y28</f>
        <v>0</v>
      </c>
      <c r="U28" s="715" t="b">
        <f t="shared" ref="U28:U41" si="4">F28&gt;0</f>
        <v>0</v>
      </c>
      <c r="W28" s="109" t="s">
        <v>228</v>
      </c>
      <c r="Y28" s="1400">
        <v>0</v>
      </c>
      <c r="Z28" s="1412"/>
      <c r="AB28" s="200" t="str">
        <f>INDEX('Общие сведения'!$AG$169:$AG$202,MATCH($F28,'Общие сведения'!$Z$169:$Z$202,0))</f>
        <v>Тариф 0 (Теплоснабжение) - Тарифы на теплоноситель</v>
      </c>
      <c r="AC28" s="197"/>
      <c r="AD28" s="197"/>
      <c r="AE28" s="191"/>
      <c r="AF28" s="191"/>
      <c r="AG28" s="191"/>
      <c r="AH28" s="191"/>
      <c r="AI28" s="191"/>
      <c r="AJ28" s="191"/>
      <c r="AK28" s="191"/>
      <c r="AL28" s="191"/>
      <c r="AM28" s="191"/>
      <c r="AN28" s="191"/>
      <c r="AO28" s="191"/>
      <c r="AP28" s="191"/>
      <c r="AQ28" s="191"/>
      <c r="AR28" s="191"/>
      <c r="AS28" s="191"/>
      <c r="AT28" s="191"/>
      <c r="AU28" s="191"/>
      <c r="AV28" s="191"/>
      <c r="AW28" s="191"/>
      <c r="AX28" s="191"/>
      <c r="AY28" s="191"/>
      <c r="BB28" s="871"/>
    </row>
    <row r="29" spans="1:54" ht="11.1" hidden="1" customHeight="1">
      <c r="E29" s="623">
        <v>11.4</v>
      </c>
      <c r="F29" s="714">
        <f t="shared" ref="F29:F34" ca="1" si="5">OFFSET(G29,-1,-1)</f>
        <v>0</v>
      </c>
      <c r="U29" s="715" t="b">
        <f t="shared" ca="1" si="4"/>
        <v>0</v>
      </c>
      <c r="Y29" s="1405"/>
      <c r="Z29" s="1405"/>
      <c r="AB29" s="268"/>
      <c r="AC29" s="269" t="s">
        <v>389</v>
      </c>
      <c r="AD29" s="269"/>
      <c r="AE29" s="270"/>
      <c r="AF29" s="296"/>
      <c r="AG29" s="296"/>
      <c r="AH29" s="296"/>
      <c r="AI29" s="296"/>
      <c r="AJ29" s="296"/>
      <c r="AK29" s="296"/>
      <c r="AL29" s="296"/>
      <c r="AM29" s="296"/>
      <c r="AN29" s="296"/>
      <c r="AO29" s="296"/>
      <c r="AP29" s="296"/>
      <c r="AQ29" s="296"/>
      <c r="AR29" s="296"/>
      <c r="AS29" s="296"/>
      <c r="AT29" s="296"/>
      <c r="AU29" s="296"/>
      <c r="AV29" s="296"/>
      <c r="AW29" s="296"/>
      <c r="AX29" s="296"/>
      <c r="AY29" s="296"/>
    </row>
    <row r="30" spans="1:54" ht="16.7" hidden="1" customHeight="1">
      <c r="E30" s="623">
        <v>17.100000000000001</v>
      </c>
      <c r="F30" s="714">
        <f t="shared" ca="1" si="5"/>
        <v>0</v>
      </c>
      <c r="H30" s="113" t="s">
        <v>391</v>
      </c>
      <c r="U30" s="715" t="b">
        <f t="shared" ca="1" si="4"/>
        <v>0</v>
      </c>
      <c r="Y30" s="1405"/>
      <c r="Z30" s="1405"/>
      <c r="AB30" s="93">
        <v>1</v>
      </c>
      <c r="AC30" s="1413" t="s">
        <v>472</v>
      </c>
      <c r="AD30" s="111" t="s">
        <v>473</v>
      </c>
      <c r="AE30" s="146" t="s">
        <v>388</v>
      </c>
      <c r="AF30" s="16"/>
      <c r="AG30" s="669"/>
      <c r="AH30" s="669"/>
      <c r="AI30" s="1097"/>
      <c r="AJ30" s="1097"/>
      <c r="AK30" s="16"/>
      <c r="AL30" s="16"/>
      <c r="AM30" s="16"/>
      <c r="AN30" s="16"/>
      <c r="AO30" s="16"/>
      <c r="AP30" s="669"/>
      <c r="AQ30" s="669"/>
      <c r="AR30" s="669"/>
      <c r="AS30" s="1097"/>
      <c r="AT30" s="1097"/>
      <c r="AU30" s="16"/>
      <c r="AV30" s="16"/>
      <c r="AW30" s="16"/>
      <c r="AX30" s="16"/>
      <c r="AY30" s="16"/>
      <c r="BB30" s="899" t="s">
        <v>474</v>
      </c>
    </row>
    <row r="31" spans="1:54" ht="16.7" hidden="1" customHeight="1">
      <c r="E31" s="623">
        <v>17.100000000000001</v>
      </c>
      <c r="F31" s="714">
        <f t="shared" ca="1" si="5"/>
        <v>0</v>
      </c>
      <c r="H31" s="113" t="s">
        <v>404</v>
      </c>
      <c r="U31" s="715" t="b">
        <f t="shared" ca="1" si="4"/>
        <v>0</v>
      </c>
      <c r="Y31" s="1405"/>
      <c r="Z31" s="1405"/>
      <c r="AB31" s="93">
        <v>2</v>
      </c>
      <c r="AC31" s="1413"/>
      <c r="AD31" s="111" t="s">
        <v>475</v>
      </c>
      <c r="AE31" s="146" t="s">
        <v>388</v>
      </c>
      <c r="AF31" s="973"/>
      <c r="AG31" s="669">
        <f>AG30</f>
        <v>0</v>
      </c>
      <c r="AH31" s="974">
        <f t="shared" ref="AH31:AO31" si="6">(1+AG31)*(1+AH30)-1</f>
        <v>0</v>
      </c>
      <c r="AI31" s="1101">
        <f t="shared" si="6"/>
        <v>0</v>
      </c>
      <c r="AJ31" s="1101">
        <f t="shared" si="6"/>
        <v>0</v>
      </c>
      <c r="AK31" s="21">
        <f t="shared" si="6"/>
        <v>0</v>
      </c>
      <c r="AL31" s="21">
        <f t="shared" si="6"/>
        <v>0</v>
      </c>
      <c r="AM31" s="21">
        <f t="shared" si="6"/>
        <v>0</v>
      </c>
      <c r="AN31" s="21">
        <f t="shared" si="6"/>
        <v>0</v>
      </c>
      <c r="AO31" s="21">
        <f t="shared" si="6"/>
        <v>0</v>
      </c>
      <c r="AP31" s="973"/>
      <c r="AQ31" s="669">
        <f>AQ30</f>
        <v>0</v>
      </c>
      <c r="AR31" s="974">
        <f t="shared" ref="AR31:AY31" si="7">(1+AQ31)*(1+AR30)-1</f>
        <v>0</v>
      </c>
      <c r="AS31" s="1101">
        <f t="shared" si="7"/>
        <v>0</v>
      </c>
      <c r="AT31" s="1101">
        <f t="shared" si="7"/>
        <v>0</v>
      </c>
      <c r="AU31" s="21">
        <f t="shared" si="7"/>
        <v>0</v>
      </c>
      <c r="AV31" s="21">
        <f t="shared" si="7"/>
        <v>0</v>
      </c>
      <c r="AW31" s="21">
        <f t="shared" si="7"/>
        <v>0</v>
      </c>
      <c r="AX31" s="21">
        <f t="shared" si="7"/>
        <v>0</v>
      </c>
      <c r="AY31" s="21">
        <f t="shared" si="7"/>
        <v>0</v>
      </c>
      <c r="BB31" s="899" t="s">
        <v>476</v>
      </c>
    </row>
    <row r="32" spans="1:54" ht="16.7" hidden="1" customHeight="1">
      <c r="E32" s="623">
        <v>17.100000000000001</v>
      </c>
      <c r="F32" s="714">
        <f t="shared" ca="1" si="5"/>
        <v>0</v>
      </c>
      <c r="H32" s="113" t="s">
        <v>407</v>
      </c>
      <c r="U32" s="715" t="b">
        <f t="shared" ca="1" si="4"/>
        <v>0</v>
      </c>
      <c r="Y32" s="1405"/>
      <c r="Z32" s="1405"/>
      <c r="AB32" s="93">
        <v>3</v>
      </c>
      <c r="AC32" s="1413" t="s">
        <v>477</v>
      </c>
      <c r="AD32" s="111" t="s">
        <v>473</v>
      </c>
      <c r="AE32" s="146" t="s">
        <v>388</v>
      </c>
      <c r="AF32" s="16"/>
      <c r="AG32" s="669"/>
      <c r="AH32" s="669"/>
      <c r="AI32" s="1097"/>
      <c r="AJ32" s="1097"/>
      <c r="AK32" s="16"/>
      <c r="AL32" s="16"/>
      <c r="AM32" s="16"/>
      <c r="AN32" s="16"/>
      <c r="AO32" s="16"/>
      <c r="AP32" s="669"/>
      <c r="AQ32" s="669"/>
      <c r="AR32" s="669"/>
      <c r="AS32" s="1097"/>
      <c r="AT32" s="1097"/>
      <c r="AU32" s="16"/>
      <c r="AV32" s="16"/>
      <c r="AW32" s="16"/>
      <c r="AX32" s="16"/>
      <c r="AY32" s="16"/>
      <c r="BB32" s="899" t="s">
        <v>478</v>
      </c>
    </row>
    <row r="33" spans="1:54" ht="16.7" hidden="1" customHeight="1">
      <c r="E33" s="623">
        <v>17.100000000000001</v>
      </c>
      <c r="F33" s="714">
        <f t="shared" ca="1" si="5"/>
        <v>0</v>
      </c>
      <c r="H33" s="113" t="s">
        <v>410</v>
      </c>
      <c r="U33" s="715" t="b">
        <f t="shared" ca="1" si="4"/>
        <v>0</v>
      </c>
      <c r="Y33" s="1405"/>
      <c r="Z33" s="1405"/>
      <c r="AB33" s="93">
        <v>4</v>
      </c>
      <c r="AC33" s="1413"/>
      <c r="AD33" s="111" t="s">
        <v>475</v>
      </c>
      <c r="AE33" s="146" t="s">
        <v>388</v>
      </c>
      <c r="AF33" s="973"/>
      <c r="AG33" s="669">
        <f>AG32</f>
        <v>0</v>
      </c>
      <c r="AH33" s="974">
        <f t="shared" ref="AH33:AO33" si="8">(1+AG33)*(1+AH32)-1</f>
        <v>0</v>
      </c>
      <c r="AI33" s="1101">
        <f t="shared" si="8"/>
        <v>0</v>
      </c>
      <c r="AJ33" s="1101">
        <f t="shared" si="8"/>
        <v>0</v>
      </c>
      <c r="AK33" s="21">
        <f t="shared" si="8"/>
        <v>0</v>
      </c>
      <c r="AL33" s="21">
        <f t="shared" si="8"/>
        <v>0</v>
      </c>
      <c r="AM33" s="21">
        <f t="shared" si="8"/>
        <v>0</v>
      </c>
      <c r="AN33" s="21">
        <f t="shared" si="8"/>
        <v>0</v>
      </c>
      <c r="AO33" s="21">
        <f t="shared" si="8"/>
        <v>0</v>
      </c>
      <c r="AP33" s="973"/>
      <c r="AQ33" s="669">
        <f>AQ32</f>
        <v>0</v>
      </c>
      <c r="AR33" s="974">
        <f t="shared" ref="AR33:AY33" si="9">(1+AQ33)*(1+AR32)-1</f>
        <v>0</v>
      </c>
      <c r="AS33" s="1101">
        <f t="shared" si="9"/>
        <v>0</v>
      </c>
      <c r="AT33" s="1101">
        <f t="shared" si="9"/>
        <v>0</v>
      </c>
      <c r="AU33" s="21">
        <f t="shared" si="9"/>
        <v>0</v>
      </c>
      <c r="AV33" s="21">
        <f t="shared" si="9"/>
        <v>0</v>
      </c>
      <c r="AW33" s="21">
        <f t="shared" si="9"/>
        <v>0</v>
      </c>
      <c r="AX33" s="21">
        <f t="shared" si="9"/>
        <v>0</v>
      </c>
      <c r="AY33" s="21">
        <f t="shared" si="9"/>
        <v>0</v>
      </c>
      <c r="BB33" s="899" t="s">
        <v>479</v>
      </c>
    </row>
    <row r="34" spans="1:54" ht="16.7" hidden="1" customHeight="1">
      <c r="E34" s="623">
        <v>17.100000000000001</v>
      </c>
      <c r="F34" s="714">
        <f t="shared" ca="1" si="5"/>
        <v>0</v>
      </c>
      <c r="H34" s="113" t="s">
        <v>413</v>
      </c>
      <c r="U34" s="715" t="b">
        <f t="shared" ca="1" si="4"/>
        <v>0</v>
      </c>
      <c r="Y34" s="1405"/>
      <c r="Z34" s="1405"/>
      <c r="AB34" s="93">
        <v>5</v>
      </c>
      <c r="AC34" s="1413" t="s">
        <v>480</v>
      </c>
      <c r="AD34" s="1413"/>
      <c r="AE34" s="146" t="s">
        <v>388</v>
      </c>
      <c r="AF34" s="16"/>
      <c r="AG34" s="669"/>
      <c r="AH34" s="669"/>
      <c r="AI34" s="1097"/>
      <c r="AJ34" s="1097"/>
      <c r="AK34" s="16"/>
      <c r="AL34" s="16"/>
      <c r="AM34" s="16"/>
      <c r="AN34" s="16"/>
      <c r="AO34" s="16"/>
      <c r="AP34" s="669"/>
      <c r="AQ34" s="669"/>
      <c r="AR34" s="669"/>
      <c r="AS34" s="1097"/>
      <c r="AT34" s="1097"/>
      <c r="AU34" s="16"/>
      <c r="AV34" s="16"/>
      <c r="AW34" s="16"/>
      <c r="AX34" s="16"/>
      <c r="AY34" s="16"/>
      <c r="BB34" s="899" t="s">
        <v>481</v>
      </c>
    </row>
    <row r="35" spans="1:54" s="751" customFormat="1" ht="10.5" customHeight="1">
      <c r="A35" s="152"/>
      <c r="B35" s="152"/>
      <c r="C35" s="152"/>
      <c r="D35" s="152"/>
      <c r="E35" s="629">
        <v>11.4</v>
      </c>
      <c r="F35" s="714" t="str">
        <f>Y35</f>
        <v>1</v>
      </c>
      <c r="G35" s="152"/>
      <c r="H35" s="152"/>
      <c r="I35" s="152"/>
      <c r="J35" s="152"/>
      <c r="K35" s="152"/>
      <c r="L35" s="152"/>
      <c r="M35" s="152"/>
      <c r="N35" s="152"/>
      <c r="O35" s="152"/>
      <c r="P35" s="152"/>
      <c r="Q35" s="152"/>
      <c r="R35" s="152"/>
      <c r="S35" s="152"/>
      <c r="T35" s="152"/>
      <c r="U35" s="715" t="b">
        <f t="shared" si="4"/>
        <v>1</v>
      </c>
      <c r="V35" s="152"/>
      <c r="W35" s="109" t="str">
        <f>Сценарии!$AB$55</f>
        <v>Тариф 1 (Теплоснабжение) - Тарифы на теплоноситель (Не определено)</v>
      </c>
      <c r="X35" s="152"/>
      <c r="Y35" s="1400" t="s">
        <v>247</v>
      </c>
      <c r="Z35" s="1412"/>
      <c r="AA35" s="152"/>
      <c r="AB35" s="200" t="str">
        <f>IF(ISBLANK(Сценарии!$AB$55),"",Сценарии!$AB$55)</f>
        <v>Тариф 1 (Теплоснабжение) - Тарифы на теплоноситель (Не определено)</v>
      </c>
      <c r="AC35" s="197"/>
      <c r="AD35" s="197"/>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52"/>
      <c r="BA35" s="152"/>
      <c r="BB35" s="871"/>
    </row>
    <row r="36" spans="1:54" s="1057" customFormat="1" ht="10.5" customHeight="1">
      <c r="A36" s="1012"/>
      <c r="B36" s="718"/>
      <c r="C36" s="1012"/>
      <c r="D36" s="1012"/>
      <c r="E36" s="623">
        <v>11.4</v>
      </c>
      <c r="F36" s="714" t="str">
        <f t="shared" ref="F36:F41" ca="1" si="10">OFFSET(G36,-1,-1)</f>
        <v>1</v>
      </c>
      <c r="G36" s="1012"/>
      <c r="H36" s="1012"/>
      <c r="I36" s="1012"/>
      <c r="J36" s="1012"/>
      <c r="K36" s="1012"/>
      <c r="L36" s="1012"/>
      <c r="M36" s="1012"/>
      <c r="N36" s="1012"/>
      <c r="O36" s="1012"/>
      <c r="P36" s="1012"/>
      <c r="Q36" s="714"/>
      <c r="R36" s="714"/>
      <c r="S36" s="1012"/>
      <c r="T36" s="1012"/>
      <c r="U36" s="715" t="b">
        <f t="shared" ca="1" si="4"/>
        <v>1</v>
      </c>
      <c r="V36" s="1012"/>
      <c r="W36" s="1012"/>
      <c r="X36" s="1012"/>
      <c r="Y36" s="1405"/>
      <c r="Z36" s="1405"/>
      <c r="AA36" s="157"/>
      <c r="AB36" s="268"/>
      <c r="AC36" s="269" t="s">
        <v>389</v>
      </c>
      <c r="AD36" s="269"/>
      <c r="AE36" s="270"/>
      <c r="AF36" s="296"/>
      <c r="AG36" s="296"/>
      <c r="AH36" s="296"/>
      <c r="AI36" s="296"/>
      <c r="AJ36" s="296"/>
      <c r="AK36" s="296"/>
      <c r="AL36" s="296"/>
      <c r="AM36" s="296"/>
      <c r="AN36" s="296"/>
      <c r="AO36" s="296"/>
      <c r="AP36" s="296"/>
      <c r="AQ36" s="296"/>
      <c r="AR36" s="296"/>
      <c r="AS36" s="296"/>
      <c r="AT36" s="296"/>
      <c r="AU36" s="296"/>
      <c r="AV36" s="296"/>
      <c r="AW36" s="296"/>
      <c r="AX36" s="296"/>
      <c r="AY36" s="296"/>
      <c r="AZ36" s="157"/>
      <c r="BA36" s="157"/>
      <c r="BB36" s="899"/>
    </row>
    <row r="37" spans="1:54" s="1057" customFormat="1" ht="16.5" customHeight="1">
      <c r="A37" s="1012"/>
      <c r="B37" s="718"/>
      <c r="C37" s="1012"/>
      <c r="D37" s="1012"/>
      <c r="E37" s="623">
        <v>17.100000000000001</v>
      </c>
      <c r="F37" s="714" t="str">
        <f t="shared" ca="1" si="10"/>
        <v>1</v>
      </c>
      <c r="G37" s="1012"/>
      <c r="H37" s="113" t="s">
        <v>391</v>
      </c>
      <c r="I37" s="1012"/>
      <c r="J37" s="1012"/>
      <c r="K37" s="1012"/>
      <c r="L37" s="1012"/>
      <c r="M37" s="1012"/>
      <c r="N37" s="1012"/>
      <c r="O37" s="1012"/>
      <c r="P37" s="1012"/>
      <c r="Q37" s="714"/>
      <c r="R37" s="714"/>
      <c r="S37" s="1012"/>
      <c r="T37" s="1012"/>
      <c r="U37" s="715" t="b">
        <f t="shared" ca="1" si="4"/>
        <v>1</v>
      </c>
      <c r="V37" s="1012"/>
      <c r="W37" s="1012"/>
      <c r="X37" s="1012"/>
      <c r="Y37" s="1405"/>
      <c r="Z37" s="1405"/>
      <c r="AA37" s="157"/>
      <c r="AB37" s="93">
        <v>1</v>
      </c>
      <c r="AC37" s="1413" t="s">
        <v>482</v>
      </c>
      <c r="AD37" s="111" t="s">
        <v>473</v>
      </c>
      <c r="AE37" s="146" t="s">
        <v>388</v>
      </c>
      <c r="AF37" s="1099"/>
      <c r="AG37" s="669"/>
      <c r="AH37" s="669"/>
      <c r="AI37" s="1097"/>
      <c r="AJ37" s="1097"/>
      <c r="AK37" s="1099"/>
      <c r="AL37" s="1099"/>
      <c r="AM37" s="1099"/>
      <c r="AN37" s="1099"/>
      <c r="AO37" s="1099"/>
      <c r="AP37" s="669"/>
      <c r="AQ37" s="669"/>
      <c r="AR37" s="669"/>
      <c r="AS37" s="1097"/>
      <c r="AT37" s="1097"/>
      <c r="AU37" s="1099"/>
      <c r="AV37" s="1099"/>
      <c r="AW37" s="1099"/>
      <c r="AX37" s="1099"/>
      <c r="AY37" s="1099"/>
      <c r="AZ37" s="157"/>
      <c r="BA37" s="157"/>
      <c r="BB37" s="899" t="s">
        <v>474</v>
      </c>
    </row>
    <row r="38" spans="1:54" s="1057" customFormat="1" ht="16.5" customHeight="1">
      <c r="A38" s="1012"/>
      <c r="B38" s="718"/>
      <c r="C38" s="1012"/>
      <c r="D38" s="1012"/>
      <c r="E38" s="623">
        <v>17.100000000000001</v>
      </c>
      <c r="F38" s="714" t="str">
        <f t="shared" ca="1" si="10"/>
        <v>1</v>
      </c>
      <c r="G38" s="1012"/>
      <c r="H38" s="113" t="s">
        <v>404</v>
      </c>
      <c r="I38" s="1012"/>
      <c r="J38" s="1012"/>
      <c r="K38" s="1012"/>
      <c r="L38" s="1012"/>
      <c r="M38" s="1012"/>
      <c r="N38" s="1012"/>
      <c r="O38" s="1012"/>
      <c r="P38" s="1012"/>
      <c r="Q38" s="714"/>
      <c r="R38" s="714"/>
      <c r="S38" s="1012"/>
      <c r="T38" s="1012"/>
      <c r="U38" s="715" t="b">
        <f t="shared" ca="1" si="4"/>
        <v>1</v>
      </c>
      <c r="V38" s="1012"/>
      <c r="W38" s="1012"/>
      <c r="X38" s="1012"/>
      <c r="Y38" s="1405"/>
      <c r="Z38" s="1405"/>
      <c r="AA38" s="157"/>
      <c r="AB38" s="93">
        <v>2</v>
      </c>
      <c r="AC38" s="1413"/>
      <c r="AD38" s="111" t="s">
        <v>475</v>
      </c>
      <c r="AE38" s="146" t="s">
        <v>388</v>
      </c>
      <c r="AF38" s="973"/>
      <c r="AG38" s="669">
        <f>AG37</f>
        <v>0</v>
      </c>
      <c r="AH38" s="974">
        <f t="shared" ref="AH38:AO38" si="11">(1+AG38)*(1+AH37)-1</f>
        <v>0</v>
      </c>
      <c r="AI38" s="1101">
        <f t="shared" si="11"/>
        <v>0</v>
      </c>
      <c r="AJ38" s="1101">
        <f t="shared" si="11"/>
        <v>0</v>
      </c>
      <c r="AK38" s="1102">
        <f t="shared" si="11"/>
        <v>0</v>
      </c>
      <c r="AL38" s="1102">
        <f t="shared" si="11"/>
        <v>0</v>
      </c>
      <c r="AM38" s="1102">
        <f t="shared" si="11"/>
        <v>0</v>
      </c>
      <c r="AN38" s="1102">
        <f t="shared" si="11"/>
        <v>0</v>
      </c>
      <c r="AO38" s="1102">
        <f t="shared" si="11"/>
        <v>0</v>
      </c>
      <c r="AP38" s="973"/>
      <c r="AQ38" s="669">
        <f>AQ37</f>
        <v>0</v>
      </c>
      <c r="AR38" s="974">
        <f t="shared" ref="AR38:AY38" si="12">(1+AQ38)*(1+AR37)-1</f>
        <v>0</v>
      </c>
      <c r="AS38" s="1101">
        <f t="shared" si="12"/>
        <v>0</v>
      </c>
      <c r="AT38" s="1101">
        <f t="shared" si="12"/>
        <v>0</v>
      </c>
      <c r="AU38" s="1102">
        <f t="shared" si="12"/>
        <v>0</v>
      </c>
      <c r="AV38" s="1102">
        <f t="shared" si="12"/>
        <v>0</v>
      </c>
      <c r="AW38" s="1102">
        <f t="shared" si="12"/>
        <v>0</v>
      </c>
      <c r="AX38" s="1102">
        <f t="shared" si="12"/>
        <v>0</v>
      </c>
      <c r="AY38" s="1102">
        <f t="shared" si="12"/>
        <v>0</v>
      </c>
      <c r="AZ38" s="157"/>
      <c r="BA38" s="157"/>
      <c r="BB38" s="899" t="s">
        <v>476</v>
      </c>
    </row>
    <row r="39" spans="1:54" s="1057" customFormat="1" ht="16.5" customHeight="1">
      <c r="A39" s="1012"/>
      <c r="B39" s="718"/>
      <c r="C39" s="1012"/>
      <c r="D39" s="1012"/>
      <c r="E39" s="623">
        <v>17.100000000000001</v>
      </c>
      <c r="F39" s="714" t="str">
        <f t="shared" ca="1" si="10"/>
        <v>1</v>
      </c>
      <c r="G39" s="1012"/>
      <c r="H39" s="113" t="s">
        <v>407</v>
      </c>
      <c r="I39" s="1012"/>
      <c r="J39" s="1012"/>
      <c r="K39" s="1012"/>
      <c r="L39" s="1012"/>
      <c r="M39" s="1012"/>
      <c r="N39" s="1012"/>
      <c r="O39" s="1012"/>
      <c r="P39" s="1012"/>
      <c r="Q39" s="714"/>
      <c r="R39" s="714"/>
      <c r="S39" s="1012"/>
      <c r="T39" s="1012"/>
      <c r="U39" s="715" t="b">
        <f t="shared" ca="1" si="4"/>
        <v>1</v>
      </c>
      <c r="V39" s="1012"/>
      <c r="W39" s="1012"/>
      <c r="X39" s="1012"/>
      <c r="Y39" s="1405"/>
      <c r="Z39" s="1405"/>
      <c r="AA39" s="157"/>
      <c r="AB39" s="93">
        <v>3</v>
      </c>
      <c r="AC39" s="1413" t="s">
        <v>477</v>
      </c>
      <c r="AD39" s="111" t="s">
        <v>473</v>
      </c>
      <c r="AE39" s="146" t="s">
        <v>388</v>
      </c>
      <c r="AF39" s="1099"/>
      <c r="AG39" s="669"/>
      <c r="AH39" s="669"/>
      <c r="AI39" s="1097"/>
      <c r="AJ39" s="1097"/>
      <c r="AK39" s="1099"/>
      <c r="AL39" s="1099"/>
      <c r="AM39" s="1099"/>
      <c r="AN39" s="1099"/>
      <c r="AO39" s="1099"/>
      <c r="AP39" s="669"/>
      <c r="AQ39" s="669"/>
      <c r="AR39" s="669"/>
      <c r="AS39" s="1097"/>
      <c r="AT39" s="1097"/>
      <c r="AU39" s="1099"/>
      <c r="AV39" s="1099"/>
      <c r="AW39" s="1099"/>
      <c r="AX39" s="1099"/>
      <c r="AY39" s="1099"/>
      <c r="AZ39" s="157"/>
      <c r="BA39" s="157"/>
      <c r="BB39" s="899" t="s">
        <v>478</v>
      </c>
    </row>
    <row r="40" spans="1:54" s="1057" customFormat="1" ht="16.5" customHeight="1">
      <c r="A40" s="1012"/>
      <c r="B40" s="718"/>
      <c r="C40" s="1012"/>
      <c r="D40" s="1012"/>
      <c r="E40" s="623">
        <v>17.100000000000001</v>
      </c>
      <c r="F40" s="714" t="str">
        <f t="shared" ca="1" si="10"/>
        <v>1</v>
      </c>
      <c r="G40" s="1012"/>
      <c r="H40" s="113" t="s">
        <v>410</v>
      </c>
      <c r="I40" s="1012"/>
      <c r="J40" s="1012"/>
      <c r="K40" s="1012"/>
      <c r="L40" s="1012"/>
      <c r="M40" s="1012"/>
      <c r="N40" s="1012"/>
      <c r="O40" s="1012"/>
      <c r="P40" s="1012"/>
      <c r="Q40" s="714"/>
      <c r="R40" s="714"/>
      <c r="S40" s="1012"/>
      <c r="T40" s="1012"/>
      <c r="U40" s="715" t="b">
        <f t="shared" ca="1" si="4"/>
        <v>1</v>
      </c>
      <c r="V40" s="1012"/>
      <c r="W40" s="1012"/>
      <c r="X40" s="1012"/>
      <c r="Y40" s="1405"/>
      <c r="Z40" s="1405"/>
      <c r="AA40" s="157"/>
      <c r="AB40" s="93">
        <v>4</v>
      </c>
      <c r="AC40" s="1413"/>
      <c r="AD40" s="111" t="s">
        <v>475</v>
      </c>
      <c r="AE40" s="146" t="s">
        <v>388</v>
      </c>
      <c r="AF40" s="973"/>
      <c r="AG40" s="669">
        <f>AG39</f>
        <v>0</v>
      </c>
      <c r="AH40" s="974">
        <f t="shared" ref="AH40:AO40" si="13">(1+AG40)*(1+AH39)-1</f>
        <v>0</v>
      </c>
      <c r="AI40" s="1101">
        <f t="shared" si="13"/>
        <v>0</v>
      </c>
      <c r="AJ40" s="1101">
        <f t="shared" si="13"/>
        <v>0</v>
      </c>
      <c r="AK40" s="1102">
        <f t="shared" si="13"/>
        <v>0</v>
      </c>
      <c r="AL40" s="1102">
        <f t="shared" si="13"/>
        <v>0</v>
      </c>
      <c r="AM40" s="1102">
        <f t="shared" si="13"/>
        <v>0</v>
      </c>
      <c r="AN40" s="1102">
        <f t="shared" si="13"/>
        <v>0</v>
      </c>
      <c r="AO40" s="1102">
        <f t="shared" si="13"/>
        <v>0</v>
      </c>
      <c r="AP40" s="973"/>
      <c r="AQ40" s="669">
        <f>AQ39</f>
        <v>0</v>
      </c>
      <c r="AR40" s="974">
        <f t="shared" ref="AR40:AY40" si="14">(1+AQ40)*(1+AR39)-1</f>
        <v>0</v>
      </c>
      <c r="AS40" s="1101">
        <f t="shared" si="14"/>
        <v>0</v>
      </c>
      <c r="AT40" s="1101">
        <f t="shared" si="14"/>
        <v>0</v>
      </c>
      <c r="AU40" s="1102">
        <f t="shared" si="14"/>
        <v>0</v>
      </c>
      <c r="AV40" s="1102">
        <f t="shared" si="14"/>
        <v>0</v>
      </c>
      <c r="AW40" s="1102">
        <f t="shared" si="14"/>
        <v>0</v>
      </c>
      <c r="AX40" s="1102">
        <f t="shared" si="14"/>
        <v>0</v>
      </c>
      <c r="AY40" s="1102">
        <f t="shared" si="14"/>
        <v>0</v>
      </c>
      <c r="AZ40" s="157"/>
      <c r="BA40" s="157"/>
      <c r="BB40" s="899" t="s">
        <v>479</v>
      </c>
    </row>
    <row r="41" spans="1:54" s="1057" customFormat="1" ht="16.5" customHeight="1">
      <c r="A41" s="1012"/>
      <c r="B41" s="718"/>
      <c r="C41" s="1012"/>
      <c r="D41" s="1012"/>
      <c r="E41" s="623">
        <v>17.100000000000001</v>
      </c>
      <c r="F41" s="714" t="str">
        <f t="shared" ca="1" si="10"/>
        <v>1</v>
      </c>
      <c r="G41" s="1012"/>
      <c r="H41" s="113" t="s">
        <v>413</v>
      </c>
      <c r="I41" s="1012"/>
      <c r="J41" s="1012"/>
      <c r="K41" s="1012"/>
      <c r="L41" s="1012"/>
      <c r="M41" s="1012"/>
      <c r="N41" s="1012"/>
      <c r="O41" s="1012"/>
      <c r="P41" s="1012"/>
      <c r="Q41" s="714"/>
      <c r="R41" s="714"/>
      <c r="S41" s="1012"/>
      <c r="T41" s="1012"/>
      <c r="U41" s="715" t="b">
        <f t="shared" ca="1" si="4"/>
        <v>1</v>
      </c>
      <c r="V41" s="1012"/>
      <c r="W41" s="1012"/>
      <c r="X41" s="1012"/>
      <c r="Y41" s="1405"/>
      <c r="Z41" s="1405"/>
      <c r="AA41" s="157"/>
      <c r="AB41" s="93">
        <v>5</v>
      </c>
      <c r="AC41" s="1413" t="s">
        <v>480</v>
      </c>
      <c r="AD41" s="1413"/>
      <c r="AE41" s="146" t="s">
        <v>388</v>
      </c>
      <c r="AF41" s="1099"/>
      <c r="AG41" s="669"/>
      <c r="AH41" s="669"/>
      <c r="AI41" s="1097"/>
      <c r="AJ41" s="1097"/>
      <c r="AK41" s="1099"/>
      <c r="AL41" s="1099"/>
      <c r="AM41" s="1099"/>
      <c r="AN41" s="1099"/>
      <c r="AO41" s="1099"/>
      <c r="AP41" s="669"/>
      <c r="AQ41" s="669"/>
      <c r="AR41" s="669"/>
      <c r="AS41" s="1097"/>
      <c r="AT41" s="1097"/>
      <c r="AU41" s="1099"/>
      <c r="AV41" s="1099"/>
      <c r="AW41" s="1099"/>
      <c r="AX41" s="1099"/>
      <c r="AY41" s="1099"/>
      <c r="AZ41" s="157"/>
      <c r="BA41" s="157"/>
      <c r="BB41" s="899" t="s">
        <v>481</v>
      </c>
    </row>
    <row r="42" spans="1:54" ht="11.1" customHeight="1">
      <c r="E42" s="623">
        <v>11.4</v>
      </c>
      <c r="V42" s="113" t="s">
        <v>172</v>
      </c>
      <c r="W42" s="109" t="s">
        <v>483</v>
      </c>
      <c r="AC42" s="138"/>
      <c r="AD42" s="138"/>
      <c r="AZ42" s="138"/>
    </row>
    <row r="43" spans="1:54" ht="11.1" hidden="1" customHeight="1">
      <c r="E43" s="623">
        <v>11.4</v>
      </c>
      <c r="AC43" s="138"/>
      <c r="AD43" s="138"/>
    </row>
  </sheetData>
  <sheetProtection formatColumns="0" formatRows="0" insertRows="0" deleteColumns="0" deleteRows="0" sort="0" autoFilter="0"/>
  <mergeCells count="14">
    <mergeCell ref="Y35:Y41"/>
    <mergeCell ref="Z35:Z41"/>
    <mergeCell ref="AC37:AC38"/>
    <mergeCell ref="AC39:AC40"/>
    <mergeCell ref="AC41:AD41"/>
    <mergeCell ref="AB24:AB25"/>
    <mergeCell ref="AC24:AC25"/>
    <mergeCell ref="AE24:AE25"/>
    <mergeCell ref="Y28:Y34"/>
    <mergeCell ref="Z28:Z34"/>
    <mergeCell ref="AC30:AC31"/>
    <mergeCell ref="AC32:AC33"/>
    <mergeCell ref="AC34:AD34"/>
    <mergeCell ref="AD24:AD25"/>
  </mergeCells>
  <dataValidations count="1">
    <dataValidation type="decimal" allowBlank="1" showErrorMessage="1" errorTitle="Ошибка" error="Допускается ввод только неотрицательных чисел!" sqref="AF26:AY26 AY30:AY34 AY37:AY41 AX30:AX34 AX37:AX41 AW30:AW34 AW37:AW41 AV30:AV34 AV37:AV41 AU30:AU34 AU37:AU41 AT30:AT34 AT37:AT41 AS30:AS34 AS37:AS41 AR30:AR34 AR37:AR41 AQ30:AQ34 AQ37:AQ41 AP30:AP34 AP37:AP41 AO30:AO34 AO37:AO41 AN30:AN34 AN37:AN41 AM30:AM34 AM37:AM41 AL30:AL34 AL37:AL41 AK30:AK34 AK37:AK41 AJ30:AJ34 AJ37:AJ41 AI30:AI34 AI37:AI41 AH30:AH34 AH37:AH41 AG30:AG34 AG37:AG41 AF30:AF34 AF37:AF41">
      <formula1>0</formula1>
      <formula2>9.99999999999999E+23</formula2>
    </dataValidation>
  </dataValidations>
  <pageMargins left="0.35" right="0.35" top="0.4" bottom="0.4" header="0.31" footer="0.31"/>
  <pageSetup paperSize="9" scale="50" fitToHeight="0"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38</vt:i4>
      </vt:variant>
      <vt:variant>
        <vt:lpstr>Именованные диапазоны</vt:lpstr>
      </vt:variant>
      <vt:variant>
        <vt:i4>411</vt:i4>
      </vt:variant>
    </vt:vector>
  </HeadingPairs>
  <TitlesOfParts>
    <vt:vector size="449" baseType="lpstr">
      <vt:lpstr>Инструкция</vt:lpstr>
      <vt:lpstr>Список листов</vt:lpstr>
      <vt:lpstr>Информация JSON</vt:lpstr>
      <vt:lpstr>Общие сведения</vt:lpstr>
      <vt:lpstr>Список территорий</vt:lpstr>
      <vt:lpstr>Список объектов</vt:lpstr>
      <vt:lpstr>Расчет УЕ</vt:lpstr>
      <vt:lpstr>Сценарии</vt:lpstr>
      <vt:lpstr>Сценарии (МСА)</vt:lpstr>
      <vt:lpstr>Баланс ТН</vt:lpstr>
      <vt:lpstr>Топливо 4.4</vt:lpstr>
      <vt:lpstr>ЭнергоРесурсы</vt:lpstr>
      <vt:lpstr>ХВС, ТН</vt:lpstr>
      <vt:lpstr>Амортизация</vt:lpstr>
      <vt:lpstr>Аренда</vt:lpstr>
      <vt:lpstr>Покупка услуг</vt:lpstr>
      <vt:lpstr>ФОТ</vt:lpstr>
      <vt:lpstr>Налоги</vt:lpstr>
      <vt:lpstr>Операционные (5.1)</vt:lpstr>
      <vt:lpstr>Операционные (5.2)</vt:lpstr>
      <vt:lpstr>Неподконтрольные (5.3)</vt:lpstr>
      <vt:lpstr>Ресурсы (5.4)</vt:lpstr>
      <vt:lpstr>Корр Факт</vt:lpstr>
      <vt:lpstr>Корр ИП</vt:lpstr>
      <vt:lpstr>Калькуляция (5.9)</vt:lpstr>
      <vt:lpstr>Калькуляция (6.6)</vt:lpstr>
      <vt:lpstr>Удельные расходы (МСА)</vt:lpstr>
      <vt:lpstr>Базовый уровень (МСА)</vt:lpstr>
      <vt:lpstr>Калькуляция (МСА)</vt:lpstr>
      <vt:lpstr>ТМ</vt:lpstr>
      <vt:lpstr>ДПР</vt:lpstr>
      <vt:lpstr>Комментарии</vt:lpstr>
      <vt:lpstr>TEHSHEET</vt:lpstr>
      <vt:lpstr>REESTR_OBJECT</vt:lpstr>
      <vt:lpstr>REESTR_MO</vt:lpstr>
      <vt:lpstr>REESTR_ORG</vt:lpstr>
      <vt:lpstr>DICTIONARIES</vt:lpstr>
      <vt:lpstr>REESTR_DOP</vt:lpstr>
      <vt:lpstr>'Топливо 4.4'!_ФильтрБазыДанных</vt:lpstr>
      <vt:lpstr>Amortization_LOAD_1</vt:lpstr>
      <vt:lpstr>Amortization_LOAD_2</vt:lpstr>
      <vt:lpstr>Amortization_pIns_comm</vt:lpstr>
      <vt:lpstr>AUTHORIZED_PERSON_EMAIL</vt:lpstr>
      <vt:lpstr>AUTHORIZED_PERSON_FIO</vt:lpstr>
      <vt:lpstr>AUTHORIZED_PERSON_PHONE</vt:lpstr>
      <vt:lpstr>AUTHORIZED_PERSON_POSITION</vt:lpstr>
      <vt:lpstr>BalanceTN_check_range1</vt:lpstr>
      <vt:lpstr>BalanceTN_LOAD_VOTR</vt:lpstr>
      <vt:lpstr>BalanceTN_LOAD_VOTR_COM</vt:lpstr>
      <vt:lpstr>BalanceTN_LOAD_VS</vt:lpstr>
      <vt:lpstr>BalanceTN_LOAD_VS_COM</vt:lpstr>
      <vt:lpstr>BalanceTN_pIns_comm</vt:lpstr>
      <vt:lpstr>BaseLevelMSA_LOAD_1</vt:lpstr>
      <vt:lpstr>BaseLevelMSA_LOAD_2</vt:lpstr>
      <vt:lpstr>BaseLevelMSA_pIns_comm</vt:lpstr>
      <vt:lpstr>Calculation59_LOAD_1</vt:lpstr>
      <vt:lpstr>Calculation59_LOAD_2</vt:lpstr>
      <vt:lpstr>Calculation59_pIns_comm</vt:lpstr>
      <vt:lpstr>Calculation66_LOAD_1</vt:lpstr>
      <vt:lpstr>Calculation66_LOAD_2</vt:lpstr>
      <vt:lpstr>Calculation66_pIns_comm</vt:lpstr>
      <vt:lpstr>CalculationMSA_LOAD_1</vt:lpstr>
      <vt:lpstr>CalculationMSA_LOAD_2</vt:lpstr>
      <vt:lpstr>CalculationMSA_pIns_comm</vt:lpstr>
      <vt:lpstr>code</vt:lpstr>
      <vt:lpstr>COLDVSNA_TRANSP_VTOV</vt:lpstr>
      <vt:lpstr>COLDVSNA_VTARIFF</vt:lpstr>
      <vt:lpstr>COLDVSNA_VTOV</vt:lpstr>
      <vt:lpstr>CorrectionOnlyForRegPeriod</vt:lpstr>
      <vt:lpstr>DOCUMENT_TYPES</vt:lpstr>
      <vt:lpstr>DPR_ee_divide</vt:lpstr>
      <vt:lpstr>dpr_list</vt:lpstr>
      <vt:lpstr>DPR_LOAD_1</vt:lpstr>
      <vt:lpstr>DPR_pIns_comm</vt:lpstr>
      <vt:lpstr>EnergyResources_LOAD_1</vt:lpstr>
      <vt:lpstr>EnergyResources_LOAD_2</vt:lpstr>
      <vt:lpstr>EnergyResources_pIns_comm</vt:lpstr>
      <vt:lpstr>FIRST_TIME_REG</vt:lpstr>
      <vt:lpstr>first_year</vt:lpstr>
      <vt:lpstr>flag_end_Amortization</vt:lpstr>
      <vt:lpstr>flag_end_BalanceTn</vt:lpstr>
      <vt:lpstr>flag_end_BaseLevelMSA</vt:lpstr>
      <vt:lpstr>flag_end_Calculation59</vt:lpstr>
      <vt:lpstr>flag_end_Calculation66</vt:lpstr>
      <vt:lpstr>flag_end_CalculationMSA</vt:lpstr>
      <vt:lpstr>flag_end_Comments</vt:lpstr>
      <vt:lpstr>flag_end_CorrFact</vt:lpstr>
      <vt:lpstr>flag_end_DPR</vt:lpstr>
      <vt:lpstr>flag_end_EnergyResources</vt:lpstr>
      <vt:lpstr>flag_end_Fuel</vt:lpstr>
      <vt:lpstr>flag_end_GeneralInfo</vt:lpstr>
      <vt:lpstr>flag_end_HVSTN</vt:lpstr>
      <vt:lpstr>flag_end_ObjectList</vt:lpstr>
      <vt:lpstr>flag_end_Operating51</vt:lpstr>
      <vt:lpstr>flag_end_Operating52</vt:lpstr>
      <vt:lpstr>flag_end_Rent</vt:lpstr>
      <vt:lpstr>flag_end_Resources</vt:lpstr>
      <vt:lpstr>flag_end_Scenarios</vt:lpstr>
      <vt:lpstr>flag_end_ScenariosMSA</vt:lpstr>
      <vt:lpstr>flag_end_ServicePurchase</vt:lpstr>
      <vt:lpstr>flag_end_SheetList</vt:lpstr>
      <vt:lpstr>flag_end_Taxes</vt:lpstr>
      <vt:lpstr>flag_end_TerritoryList</vt:lpstr>
      <vt:lpstr>flag_end_TM</vt:lpstr>
      <vt:lpstr>flag_end_UECalculation</vt:lpstr>
      <vt:lpstr>flag_end_Uncontrolled</vt:lpstr>
      <vt:lpstr>flag_end_UnitCostsMSA</vt:lpstr>
      <vt:lpstr>flag_end_WageFund</vt:lpstr>
      <vt:lpstr>flag_size_Amortization</vt:lpstr>
      <vt:lpstr>flag_size_BalanceTn</vt:lpstr>
      <vt:lpstr>flag_size_BaseLevelMSA</vt:lpstr>
      <vt:lpstr>flag_size_Calculation59</vt:lpstr>
      <vt:lpstr>flag_size_Calculation66</vt:lpstr>
      <vt:lpstr>flag_size_CalculationMSA</vt:lpstr>
      <vt:lpstr>flag_size_Comments</vt:lpstr>
      <vt:lpstr>flag_size_CorrFact</vt:lpstr>
      <vt:lpstr>flag_size_CorrIP</vt:lpstr>
      <vt:lpstr>flag_size_DPR</vt:lpstr>
      <vt:lpstr>flag_size_EnergyResources</vt:lpstr>
      <vt:lpstr>flag_size_Fuel</vt:lpstr>
      <vt:lpstr>flag_size_GeneralInfo</vt:lpstr>
      <vt:lpstr>flag_size_HVSTN</vt:lpstr>
      <vt:lpstr>flag_size_ObjectList</vt:lpstr>
      <vt:lpstr>flag_size_Operating51</vt:lpstr>
      <vt:lpstr>flag_size_Operating52</vt:lpstr>
      <vt:lpstr>flag_size_Rent</vt:lpstr>
      <vt:lpstr>flag_size_Resources</vt:lpstr>
      <vt:lpstr>flag_size_Scenarios</vt:lpstr>
      <vt:lpstr>flag_size_ScenariosMSA</vt:lpstr>
      <vt:lpstr>flag_size_ServicePurchase</vt:lpstr>
      <vt:lpstr>flag_size_SheetList</vt:lpstr>
      <vt:lpstr>flag_size_Taxes</vt:lpstr>
      <vt:lpstr>flag_size_TerritoryList</vt:lpstr>
      <vt:lpstr>flag_size_TM</vt:lpstr>
      <vt:lpstr>flag_size_UECalculation</vt:lpstr>
      <vt:lpstr>flag_size_Uncontrolled</vt:lpstr>
      <vt:lpstr>flag_size_UnitCostsMSA</vt:lpstr>
      <vt:lpstr>flag_size_WageFund</vt:lpstr>
      <vt:lpstr>flag_start_Amortization</vt:lpstr>
      <vt:lpstr>flag_start_BalanceTn</vt:lpstr>
      <vt:lpstr>flag_start_BaseLevelMSA</vt:lpstr>
      <vt:lpstr>flag_start_Calculation59</vt:lpstr>
      <vt:lpstr>flag_start_Calculation66</vt:lpstr>
      <vt:lpstr>flag_start_CalculationMSA</vt:lpstr>
      <vt:lpstr>flag_start_Comments</vt:lpstr>
      <vt:lpstr>flag_start_CorrFact</vt:lpstr>
      <vt:lpstr>flag_start_CorrIP</vt:lpstr>
      <vt:lpstr>flag_start_DPR</vt:lpstr>
      <vt:lpstr>flag_start_EnergyResources</vt:lpstr>
      <vt:lpstr>flag_start_Fuel</vt:lpstr>
      <vt:lpstr>flag_start_GeneralInfo</vt:lpstr>
      <vt:lpstr>flag_start_HVSTN</vt:lpstr>
      <vt:lpstr>flag_start_ObjectList</vt:lpstr>
      <vt:lpstr>flag_start_Operating51</vt:lpstr>
      <vt:lpstr>flag_start_Operating52</vt:lpstr>
      <vt:lpstr>flag_start_Rent</vt:lpstr>
      <vt:lpstr>flag_start_Resources</vt:lpstr>
      <vt:lpstr>flag_start_Scenarios</vt:lpstr>
      <vt:lpstr>flag_start_ScenariosMSA</vt:lpstr>
      <vt:lpstr>flag_start_ServicePurchase</vt:lpstr>
      <vt:lpstr>flag_start_SheetList</vt:lpstr>
      <vt:lpstr>flag_start_Taxes</vt:lpstr>
      <vt:lpstr>flag_start_TerritoryList</vt:lpstr>
      <vt:lpstr>flag_start_TM</vt:lpstr>
      <vt:lpstr>flag_start_UECalculation</vt:lpstr>
      <vt:lpstr>flag_start_Uncontrolled</vt:lpstr>
      <vt:lpstr>flag_start_UnitCostsMSA</vt:lpstr>
      <vt:lpstr>flag_start_WageFund</vt:lpstr>
      <vt:lpstr>flag_vis_Amortization</vt:lpstr>
      <vt:lpstr>flag_vis_BalanceTn</vt:lpstr>
      <vt:lpstr>flag_vis_BaseLevelMSA</vt:lpstr>
      <vt:lpstr>flag_vis_Calculation59</vt:lpstr>
      <vt:lpstr>flag_vis_Calculation66</vt:lpstr>
      <vt:lpstr>flag_vis_CalculationMSA</vt:lpstr>
      <vt:lpstr>flag_vis_Comments</vt:lpstr>
      <vt:lpstr>flag_vis_CorrFact</vt:lpstr>
      <vt:lpstr>flag_vis_CorrIP</vt:lpstr>
      <vt:lpstr>flag_vis_DPR</vt:lpstr>
      <vt:lpstr>flag_vis_EnergyResources</vt:lpstr>
      <vt:lpstr>flag_vis_Fuel</vt:lpstr>
      <vt:lpstr>flag_vis_GeneralInfo</vt:lpstr>
      <vt:lpstr>flag_vis_HVSTN</vt:lpstr>
      <vt:lpstr>flag_vis_ObjectList</vt:lpstr>
      <vt:lpstr>flag_vis_Operating51</vt:lpstr>
      <vt:lpstr>flag_vis_Operating52</vt:lpstr>
      <vt:lpstr>flag_vis_Rent</vt:lpstr>
      <vt:lpstr>flag_vis_Resources</vt:lpstr>
      <vt:lpstr>flag_vis_Scenarios</vt:lpstr>
      <vt:lpstr>flag_vis_ScenariosMSA</vt:lpstr>
      <vt:lpstr>flag_vis_ServicePurchase</vt:lpstr>
      <vt:lpstr>flag_vis_SheetList</vt:lpstr>
      <vt:lpstr>flag_vis_Taxes</vt:lpstr>
      <vt:lpstr>flag_vis_TerritoryList</vt:lpstr>
      <vt:lpstr>flag_vis_TM</vt:lpstr>
      <vt:lpstr>flag_vis_UECalculation</vt:lpstr>
      <vt:lpstr>flag_vis_Uncontrolled</vt:lpstr>
      <vt:lpstr>flag_vis_UnitCostsMSA</vt:lpstr>
      <vt:lpstr>flag_vis_WageFund</vt:lpstr>
      <vt:lpstr>fuel_ed_izm_list</vt:lpstr>
      <vt:lpstr>fuel_list</vt:lpstr>
      <vt:lpstr>GeneralInfo_check_area</vt:lpstr>
      <vt:lpstr>GeneralInfo_del_tariff_range</vt:lpstr>
      <vt:lpstr>GeneralInfo_LOAD_1</vt:lpstr>
      <vt:lpstr>GeneralInfo_pIns1</vt:lpstr>
      <vt:lpstr>GeneralInfo_pIns2</vt:lpstr>
      <vt:lpstr>GeneralInfo_pIns3</vt:lpstr>
      <vt:lpstr>GeneralInfo_pIns4</vt:lpstr>
      <vt:lpstr>GeneralInfo_pIns5</vt:lpstr>
      <vt:lpstr>GeneralInfo_pIns6</vt:lpstr>
      <vt:lpstr>GeneralInfo_pIns7</vt:lpstr>
      <vt:lpstr>GeneralInfo_tariff_start</vt:lpstr>
      <vt:lpstr>god</vt:lpstr>
      <vt:lpstr>HAS_DOC3</vt:lpstr>
      <vt:lpstr>HAS_DOC3_block</vt:lpstr>
      <vt:lpstr>HAS_DOC4</vt:lpstr>
      <vt:lpstr>HAS_DOC4_block</vt:lpstr>
      <vt:lpstr>HAS_DOC5</vt:lpstr>
      <vt:lpstr>HAS_DOC5_block</vt:lpstr>
      <vt:lpstr>HAS_DOC6</vt:lpstr>
      <vt:lpstr>HAS_DOC6_block</vt:lpstr>
      <vt:lpstr>HAS_DOC7</vt:lpstr>
      <vt:lpstr>HAS_DOC7_block</vt:lpstr>
      <vt:lpstr>hasTranspVO</vt:lpstr>
      <vt:lpstr>hasTranspVS</vt:lpstr>
      <vt:lpstr>hasVO</vt:lpstr>
      <vt:lpstr>hasVS</vt:lpstr>
      <vt:lpstr>HVSTN_LOAD_1</vt:lpstr>
      <vt:lpstr>HVSTN_LOAD_2</vt:lpstr>
      <vt:lpstr>HVSTN_pIns_comm</vt:lpstr>
      <vt:lpstr>inn</vt:lpstr>
      <vt:lpstr>InsB_GeneralInfo_tariff</vt:lpstr>
      <vt:lpstr>json_comms_Amortization</vt:lpstr>
      <vt:lpstr>json_comms_BalanceTn</vt:lpstr>
      <vt:lpstr>json_comms_BaseLevelMSA</vt:lpstr>
      <vt:lpstr>json_comms_Calculation59</vt:lpstr>
      <vt:lpstr>json_comms_Calculation66</vt:lpstr>
      <vt:lpstr>json_comms_CalculationMSA</vt:lpstr>
      <vt:lpstr>json_comms_Comments</vt:lpstr>
      <vt:lpstr>json_comms_DPR</vt:lpstr>
      <vt:lpstr>json_comms_EnergyResources</vt:lpstr>
      <vt:lpstr>json_comms_HVSTN</vt:lpstr>
      <vt:lpstr>json_comms_Operating51</vt:lpstr>
      <vt:lpstr>json_comms_Operating52</vt:lpstr>
      <vt:lpstr>json_comms_Rent</vt:lpstr>
      <vt:lpstr>json_comms_Resources</vt:lpstr>
      <vt:lpstr>json_comms_ServicePurchase</vt:lpstr>
      <vt:lpstr>json_comms_Taxes</vt:lpstr>
      <vt:lpstr>json_comms_TM</vt:lpstr>
      <vt:lpstr>json_comms_Uncontrolled</vt:lpstr>
      <vt:lpstr>json_comms_UnitCostsMSA</vt:lpstr>
      <vt:lpstr>json_comms_WageFund</vt:lpstr>
      <vt:lpstr>json_preload_Amortization</vt:lpstr>
      <vt:lpstr>json_preload_BalanceTN</vt:lpstr>
      <vt:lpstr>json_preload_BaseLevelMSA</vt:lpstr>
      <vt:lpstr>json_preload_Calculation59</vt:lpstr>
      <vt:lpstr>json_preload_Calculation66</vt:lpstr>
      <vt:lpstr>json_preload_CalculationMSA</vt:lpstr>
      <vt:lpstr>json_preload_CorrFact</vt:lpstr>
      <vt:lpstr>json_preload_DPR</vt:lpstr>
      <vt:lpstr>json_preload_EnergyResources</vt:lpstr>
      <vt:lpstr>json_preload_Fuel</vt:lpstr>
      <vt:lpstr>json_preload_HVSTN</vt:lpstr>
      <vt:lpstr>json_preload_ObjectList</vt:lpstr>
      <vt:lpstr>json_preload_Operating51</vt:lpstr>
      <vt:lpstr>json_preload_Operating52</vt:lpstr>
      <vt:lpstr>json_preload_Rent</vt:lpstr>
      <vt:lpstr>json_preload_Resources</vt:lpstr>
      <vt:lpstr>json_preload_Scenarios</vt:lpstr>
      <vt:lpstr>json_preload_ScenariosMSA</vt:lpstr>
      <vt:lpstr>json_preload_ServicePurchase</vt:lpstr>
      <vt:lpstr>json_preload_Taxes</vt:lpstr>
      <vt:lpstr>json_preload_TerritoryList</vt:lpstr>
      <vt:lpstr>json_preload_TM</vt:lpstr>
      <vt:lpstr>json_preload_UECalculation</vt:lpstr>
      <vt:lpstr>json_preload_Uncontrolled</vt:lpstr>
      <vt:lpstr>json_preload_UnitCostsMSA</vt:lpstr>
      <vt:lpstr>json_preload_WageFund</vt:lpstr>
      <vt:lpstr>kpp</vt:lpstr>
      <vt:lpstr>last_year</vt:lpstr>
      <vt:lpstr>last_year_vis</vt:lpstr>
      <vt:lpstr>method_list</vt:lpstr>
      <vt:lpstr>method_reg</vt:lpstr>
      <vt:lpstr>MO_END_DATE</vt:lpstr>
      <vt:lpstr>MO_LIST_1</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MO_LIST_3</vt:lpstr>
      <vt:lpstr>MO_LIST_4</vt:lpstr>
      <vt:lpstr>MO_LIST_5</vt:lpstr>
      <vt:lpstr>MO_LIST_6</vt:lpstr>
      <vt:lpstr>MO_LIST_7</vt:lpstr>
      <vt:lpstr>MO_LIST_8</vt:lpstr>
      <vt:lpstr>MO_LIST_9</vt:lpstr>
      <vt:lpstr>MO_START_DATE</vt:lpstr>
      <vt:lpstr>MONTH_LIST</vt:lpstr>
      <vt:lpstr>MR_LIST</vt:lpstr>
      <vt:lpstr>MR_MO_LIST</vt:lpstr>
      <vt:lpstr>nalog_system_list</vt:lpstr>
      <vt:lpstr>NDS</vt:lpstr>
      <vt:lpstr>NONPRIVATE_OWNERSHIP_TYPE</vt:lpstr>
      <vt:lpstr>ObjectList_LOAD_1</vt:lpstr>
      <vt:lpstr>ObjectList_LOAD_3</vt:lpstr>
      <vt:lpstr>ObjectList_object_range</vt:lpstr>
      <vt:lpstr>ObjectList_osn_ekpl_range</vt:lpstr>
      <vt:lpstr>OGRN</vt:lpstr>
      <vt:lpstr>OIV_LIST</vt:lpstr>
      <vt:lpstr>okopf</vt:lpstr>
      <vt:lpstr>okopf_list</vt:lpstr>
      <vt:lpstr>okpo</vt:lpstr>
      <vt:lpstr>Operating51_LOAD_1</vt:lpstr>
      <vt:lpstr>Operating51_LOAD_2</vt:lpstr>
      <vt:lpstr>Operating51_pIns_comm</vt:lpstr>
      <vt:lpstr>Operating52_LOAD_1</vt:lpstr>
      <vt:lpstr>Operating52_LOAD_2</vt:lpstr>
      <vt:lpstr>Operating52_pIns_comm</vt:lpstr>
      <vt:lpstr>org</vt:lpstr>
      <vt:lpstr>org_declaration</vt:lpstr>
      <vt:lpstr>ORG_DIRECTOR_POSITION</vt:lpstr>
      <vt:lpstr>ORG_EMAIL</vt:lpstr>
      <vt:lpstr>ORG_END_DATE</vt:lpstr>
      <vt:lpstr>ORG_EXECUTOR_EMAIL</vt:lpstr>
      <vt:lpstr>ORG_EXECUTOR_FIO</vt:lpstr>
      <vt:lpstr>ORG_EXECUTOR_PHONE</vt:lpstr>
      <vt:lpstr>ORG_EXECUTOR_POSITION</vt:lpstr>
      <vt:lpstr>ORG_FIO_DIRECTOR</vt:lpstr>
      <vt:lpstr>ORG_FULL_NAME</vt:lpstr>
      <vt:lpstr>ORG_LEGAL_ADDRESS</vt:lpstr>
      <vt:lpstr>ORG_MAIL_ADDRESS</vt:lpstr>
      <vt:lpstr>ORG_PHONE</vt:lpstr>
      <vt:lpstr>ORG_SHORT_NAME</vt:lpstr>
      <vt:lpstr>ORG_SITE</vt:lpstr>
      <vt:lpstr>ORG_START_DATE</vt:lpstr>
      <vt:lpstr>osn_expl_list</vt:lpstr>
      <vt:lpstr>OWNERSHIP_TYPE</vt:lpstr>
      <vt:lpstr>OWNERSHIP_TYPE_VALUE</vt:lpstr>
      <vt:lpstr>OwnNeedsInPO</vt:lpstr>
      <vt:lpstr>PERIOD</vt:lpstr>
      <vt:lpstr>PERIOD_LENGTH</vt:lpstr>
      <vt:lpstr>period_list</vt:lpstr>
      <vt:lpstr>pIns_Amortization_tariff</vt:lpstr>
      <vt:lpstr>pIns_BalanceTN_tariff_vo_transp</vt:lpstr>
      <vt:lpstr>pIns_BaseLevelMSA_tariff</vt:lpstr>
      <vt:lpstr>pIns_Calculation59_tariff</vt:lpstr>
      <vt:lpstr>pIns_Calculation66_tariff</vt:lpstr>
      <vt:lpstr>pIns_CalculationMSA_tariff</vt:lpstr>
      <vt:lpstr>pins_DPR_tariff</vt:lpstr>
      <vt:lpstr>pIns_EnergyResources_voltage</vt:lpstr>
      <vt:lpstr>pIns_HVSTN_postav</vt:lpstr>
      <vt:lpstr>pIns_ObjectList_obj</vt:lpstr>
      <vt:lpstr>pIns_Operating51_tariff</vt:lpstr>
      <vt:lpstr>pIns_Operating52_tariff</vt:lpstr>
      <vt:lpstr>pIns_Rent_tariff</vt:lpstr>
      <vt:lpstr>pIns_Resources_tariff</vt:lpstr>
      <vt:lpstr>pIns_Scenarios_tariff</vt:lpstr>
      <vt:lpstr>pIns_ScenariosMSA_tariff</vt:lpstr>
      <vt:lpstr>pIns_ServicePurchase_postav</vt:lpstr>
      <vt:lpstr>pIns_ServicePurchase_tariff</vt:lpstr>
      <vt:lpstr>pIns_Taxes_nalog</vt:lpstr>
      <vt:lpstr>pIns_Taxes_tariff</vt:lpstr>
      <vt:lpstr>pIns_TerritoryList_tariff</vt:lpstr>
      <vt:lpstr>pIns_TM_tariff</vt:lpstr>
      <vt:lpstr>pIns_TM_tariff_transp</vt:lpstr>
      <vt:lpstr>pIns_Uncontrolled_tariff</vt:lpstr>
      <vt:lpstr>pIns_UnitCostsMSA_tariff</vt:lpstr>
      <vt:lpstr>pIns_WageFund_dolj</vt:lpstr>
      <vt:lpstr>pIns_WageFund_tariff</vt:lpstr>
      <vt:lpstr>plat_nds</vt:lpstr>
      <vt:lpstr>REESTR_ORG_RANGE</vt:lpstr>
      <vt:lpstr>REG_YEAR_LIST</vt:lpstr>
      <vt:lpstr>REGION</vt:lpstr>
      <vt:lpstr>region_id</vt:lpstr>
      <vt:lpstr>region_name</vt:lpstr>
      <vt:lpstr>Rent_LOAD_1</vt:lpstr>
      <vt:lpstr>Rent_LOAD_2</vt:lpstr>
      <vt:lpstr>Rent_pIns_comm</vt:lpstr>
      <vt:lpstr>Resources_LOAD_1</vt:lpstr>
      <vt:lpstr>Resources_LOAD_2</vt:lpstr>
      <vt:lpstr>Resources_pIns_comm</vt:lpstr>
      <vt:lpstr>roiv</vt:lpstr>
      <vt:lpstr>rst_org_id</vt:lpstr>
      <vt:lpstr>Scenarios_LOAD_1</vt:lpstr>
      <vt:lpstr>Scenarios_LOAD_2</vt:lpstr>
      <vt:lpstr>ScenariosMSA_LOAD_1</vt:lpstr>
      <vt:lpstr>ScenariosMSA_LOAD_2</vt:lpstr>
      <vt:lpstr>ServicePurchase_LOAD_1</vt:lpstr>
      <vt:lpstr>ServicePurchase_LOAD_2</vt:lpstr>
      <vt:lpstr>ServicePurchase_pIns_comm</vt:lpstr>
      <vt:lpstr>sphere_list</vt:lpstr>
      <vt:lpstr>STATE_SHARE</vt:lpstr>
      <vt:lpstr>STATE_SHARE_EXISTENCE</vt:lpstr>
      <vt:lpstr>STATE_SHARE_VALUE</vt:lpstr>
      <vt:lpstr>STATUS_ETO</vt:lpstr>
      <vt:lpstr>STATUS_ETO_block</vt:lpstr>
      <vt:lpstr>subsidiary</vt:lpstr>
      <vt:lpstr>subsidiary_list</vt:lpstr>
      <vt:lpstr>support_docs_list</vt:lpstr>
      <vt:lpstr>TARIFF_CALC_METHOD</vt:lpstr>
      <vt:lpstr>tariff_list</vt:lpstr>
      <vt:lpstr>tariff_type_list</vt:lpstr>
      <vt:lpstr>tax_system</vt:lpstr>
      <vt:lpstr>Taxes_LOAD_1</vt:lpstr>
      <vt:lpstr>Taxes_LOAD_2</vt:lpstr>
      <vt:lpstr>Taxes_pIns_comm</vt:lpstr>
      <vt:lpstr>tech_proc</vt:lpstr>
      <vt:lpstr>TemplateState</vt:lpstr>
      <vt:lpstr>TerritoryList_mo_column</vt:lpstr>
      <vt:lpstr>TerritoryList_mr_column</vt:lpstr>
      <vt:lpstr>TM_LOAD_1</vt:lpstr>
      <vt:lpstr>TM_pIns_comm</vt:lpstr>
      <vt:lpstr>tn_type</vt:lpstr>
      <vt:lpstr>tpl_title</vt:lpstr>
      <vt:lpstr>Uncontrolled_LOAD_1</vt:lpstr>
      <vt:lpstr>Uncontrolled_LOAD_2</vt:lpstr>
      <vt:lpstr>Uncontrolled_pIns_comm</vt:lpstr>
      <vt:lpstr>UnitCostsMSA_LOAD_1</vt:lpstr>
      <vt:lpstr>UnitCostsMSA_LOAD_2</vt:lpstr>
      <vt:lpstr>UnitCostsMSA_pIns_comm</vt:lpstr>
      <vt:lpstr>VALUABLE_STATE_SHARE</vt:lpstr>
      <vt:lpstr>VDET_END_DATE</vt:lpstr>
      <vt:lpstr>vdet_list</vt:lpstr>
      <vt:lpstr>VDET_START_DATE</vt:lpstr>
      <vt:lpstr>version</vt:lpstr>
      <vt:lpstr>VOLTAGE_LEVEL_list</vt:lpstr>
      <vt:lpstr>VOLTAGE_LEVEL2_list</vt:lpstr>
      <vt:lpstr>VOTV_VTARIFF</vt:lpstr>
      <vt:lpstr>VOTV_VTOV</vt:lpstr>
      <vt:lpstr>WageFund_LOAD_1</vt:lpstr>
      <vt:lpstr>WageFund_LOAD_2</vt:lpstr>
      <vt:lpstr>YEAR_LIST</vt:lpstr>
      <vt:lpstr>year_list2</vt:lpstr>
      <vt:lpstr>YES_NO</vt:lpstr>
    </vt:vector>
  </TitlesOfParts>
  <Manager/>
  <Company>ФАС России</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Экспертное заключение об установлении тарифов в сфере холодного водоснабжения/водоотведения методом индексации (первый год ДПР)</dc:title>
  <dc:subject>Экспертное заключение об установлении тарифов в сфере холодного водоснабжения/водоотведения методом индексации (первый год ДПР)</dc:subject>
  <dc:creator>user</dc:creator>
  <dc:description/>
  <cp:lastModifiedBy>Светлана Лаврентьева</cp:lastModifiedBy>
  <cp:lastPrinted>2010-03-18T14:38:46Z</cp:lastPrinted>
  <dcterms:created xsi:type="dcterms:W3CDTF">2004-05-21T07:18:45Z</dcterms:created>
  <dcterms:modified xsi:type="dcterms:W3CDTF">2025-12-18T04:33:44Z</dcterms:modified>
</cp:coreProperties>
</file>